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UMD\AI\Table_extraction\output\"/>
    </mc:Choice>
  </mc:AlternateContent>
  <xr:revisionPtr revIDLastSave="0" documentId="13_ncr:1_{323A074B-368C-45FD-A4F5-A21BD989F074}" xr6:coauthVersionLast="47" xr6:coauthVersionMax="47" xr10:uidLastSave="{00000000-0000-0000-0000-000000000000}"/>
  <bookViews>
    <workbookView xWindow="17370" yWindow="4845" windowWidth="33765" windowHeight="15345" xr2:uid="{00000000-000D-0000-FFFF-FFFF00000000}"/>
  </bookViews>
  <sheets>
    <sheet name="Table 1" sheetId="1" r:id="rId1"/>
  </sheets>
  <functionGroups builtInGroupCount="19"/>
  <definedNames>
    <definedName name="_xlnm._FilterDatabase" localSheetId="0" hidden="1">'Table 1'!$A$1:$BC$4339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2" i="1"/>
  <c r="AB4334" i="1"/>
  <c r="AA4334" i="1"/>
  <c r="AB4333" i="1"/>
  <c r="AA4333" i="1"/>
  <c r="AB4332" i="1"/>
  <c r="AA4332" i="1"/>
  <c r="AB4331" i="1"/>
  <c r="AA4331" i="1"/>
  <c r="AB4330" i="1"/>
  <c r="AA4330" i="1"/>
  <c r="AB4329" i="1"/>
  <c r="AA4329" i="1"/>
  <c r="AB4328" i="1"/>
  <c r="AA4328" i="1"/>
  <c r="AB4327" i="1"/>
  <c r="AA4327" i="1"/>
  <c r="AB4326" i="1"/>
  <c r="AA4326" i="1"/>
  <c r="AB4325" i="1"/>
  <c r="AA4325" i="1"/>
  <c r="AB4324" i="1"/>
  <c r="AA4324" i="1"/>
  <c r="AB4323" i="1"/>
  <c r="AA4323" i="1"/>
  <c r="AB4322" i="1"/>
  <c r="AA4322" i="1"/>
  <c r="AB4321" i="1"/>
  <c r="AA4321" i="1"/>
  <c r="AB4320" i="1"/>
  <c r="AA4320" i="1"/>
  <c r="AB4319" i="1"/>
  <c r="AA4319" i="1"/>
  <c r="AB4318" i="1"/>
  <c r="AA4318" i="1"/>
  <c r="AB4317" i="1"/>
  <c r="AA4317" i="1"/>
  <c r="AB4316" i="1"/>
  <c r="AA4316" i="1"/>
  <c r="AB4315" i="1"/>
  <c r="AA4315" i="1"/>
  <c r="AB4314" i="1"/>
  <c r="AA4314" i="1"/>
  <c r="AB4313" i="1"/>
  <c r="AA4313" i="1"/>
  <c r="AB4312" i="1"/>
  <c r="AA4312" i="1"/>
  <c r="AB4311" i="1"/>
  <c r="AA4311" i="1"/>
  <c r="AB4310" i="1"/>
  <c r="AA4310" i="1"/>
  <c r="AB4309" i="1"/>
  <c r="AA4309" i="1"/>
  <c r="AB4308" i="1"/>
  <c r="AA4308" i="1"/>
  <c r="AB4307" i="1"/>
  <c r="AA4307" i="1"/>
  <c r="AB4306" i="1"/>
  <c r="AA4306" i="1"/>
  <c r="AB4305" i="1"/>
  <c r="AA4305" i="1"/>
  <c r="AB4304" i="1"/>
  <c r="AA4304" i="1"/>
  <c r="AB4303" i="1"/>
  <c r="AA4303" i="1"/>
  <c r="AB4302" i="1"/>
  <c r="AA4302" i="1"/>
  <c r="AB4301" i="1"/>
  <c r="AA4301" i="1"/>
  <c r="AB4300" i="1"/>
  <c r="AA4300" i="1"/>
  <c r="AB4299" i="1"/>
  <c r="AA4299" i="1"/>
  <c r="AB4298" i="1"/>
  <c r="AA4298" i="1"/>
  <c r="AB4297" i="1"/>
  <c r="AA4297" i="1"/>
  <c r="AB4296" i="1"/>
  <c r="AA4296" i="1"/>
  <c r="AB4295" i="1"/>
  <c r="AA4295" i="1"/>
  <c r="AB4294" i="1"/>
  <c r="AA4294" i="1"/>
  <c r="AB4293" i="1"/>
  <c r="AA4293" i="1"/>
  <c r="AB4292" i="1"/>
  <c r="AA4292" i="1"/>
  <c r="AB4291" i="1"/>
  <c r="AA4291" i="1"/>
  <c r="AB4290" i="1"/>
  <c r="AA4290" i="1"/>
  <c r="AB4289" i="1"/>
  <c r="AA4289" i="1"/>
  <c r="AB4288" i="1"/>
  <c r="AA4288" i="1"/>
  <c r="AB4287" i="1"/>
  <c r="AA4287" i="1"/>
  <c r="AB4286" i="1"/>
  <c r="AA4286" i="1"/>
  <c r="AB4285" i="1"/>
  <c r="AA4285" i="1"/>
  <c r="AB4284" i="1"/>
  <c r="AA4284" i="1"/>
  <c r="AB4283" i="1"/>
  <c r="AA4283" i="1"/>
  <c r="AB4282" i="1"/>
  <c r="AA4282" i="1"/>
  <c r="AB4281" i="1"/>
  <c r="AA4281" i="1"/>
  <c r="AB4280" i="1"/>
  <c r="AA4280" i="1"/>
  <c r="AB4279" i="1"/>
  <c r="AA4279" i="1"/>
  <c r="AB4278" i="1"/>
  <c r="AA4278" i="1"/>
  <c r="AB4277" i="1"/>
  <c r="AA4277" i="1"/>
  <c r="AB4276" i="1"/>
  <c r="AA4276" i="1"/>
  <c r="AB4275" i="1"/>
  <c r="AA4275" i="1"/>
  <c r="AB4274" i="1"/>
  <c r="AA4274" i="1"/>
  <c r="AB4273" i="1"/>
  <c r="AA4273" i="1"/>
  <c r="AB4272" i="1"/>
  <c r="AA4272" i="1"/>
  <c r="AB4271" i="1"/>
  <c r="AA4271" i="1"/>
  <c r="AB4270" i="1"/>
  <c r="AA4270" i="1"/>
  <c r="AB4269" i="1"/>
  <c r="AA4269" i="1"/>
  <c r="AB4268" i="1"/>
  <c r="AA4268" i="1"/>
  <c r="AB4267" i="1"/>
  <c r="AA4267" i="1"/>
  <c r="AB4266" i="1"/>
  <c r="AA4266" i="1"/>
  <c r="AB4265" i="1"/>
  <c r="AA4265" i="1"/>
  <c r="AB4264" i="1"/>
  <c r="AA4264" i="1"/>
  <c r="AB4263" i="1"/>
  <c r="AA4263" i="1"/>
  <c r="AB4262" i="1"/>
  <c r="AA4262" i="1"/>
  <c r="AB4261" i="1"/>
  <c r="AA4261" i="1"/>
  <c r="AB4260" i="1"/>
  <c r="AA4260" i="1"/>
  <c r="AB4259" i="1"/>
  <c r="AA4259" i="1"/>
  <c r="AB4258" i="1"/>
  <c r="AA4258" i="1"/>
  <c r="AB4257" i="1"/>
  <c r="AA4257" i="1"/>
  <c r="AB4256" i="1"/>
  <c r="AA4256" i="1"/>
  <c r="AB4255" i="1"/>
  <c r="AA4255" i="1"/>
  <c r="AB4254" i="1"/>
  <c r="AA4254" i="1"/>
  <c r="AB4253" i="1"/>
  <c r="AA4253" i="1"/>
  <c r="AB4252" i="1"/>
  <c r="AA4252" i="1"/>
  <c r="AB4251" i="1"/>
  <c r="AA4251" i="1"/>
  <c r="AB4250" i="1"/>
  <c r="AA4250" i="1"/>
  <c r="AB4249" i="1"/>
  <c r="AA4249" i="1"/>
  <c r="AB4248" i="1"/>
  <c r="AA4248" i="1"/>
  <c r="AB4247" i="1"/>
  <c r="AA4247" i="1"/>
  <c r="AB4246" i="1"/>
  <c r="AA4246" i="1"/>
  <c r="AB4245" i="1"/>
  <c r="AA4245" i="1"/>
  <c r="AB4244" i="1"/>
  <c r="AA4244" i="1"/>
  <c r="AB4243" i="1"/>
  <c r="AA4243" i="1"/>
  <c r="AB4242" i="1"/>
  <c r="AA4242" i="1"/>
  <c r="AB4241" i="1"/>
  <c r="AA4241" i="1"/>
  <c r="AB4240" i="1"/>
  <c r="AA4240" i="1"/>
  <c r="AB4239" i="1"/>
  <c r="AA4239" i="1"/>
  <c r="AB4238" i="1"/>
  <c r="AA4238" i="1"/>
  <c r="AB4237" i="1"/>
  <c r="AA4237" i="1"/>
  <c r="AB4236" i="1"/>
  <c r="AA4236" i="1"/>
  <c r="AB4235" i="1"/>
  <c r="AA4235" i="1"/>
  <c r="AB4234" i="1"/>
  <c r="AA4234" i="1"/>
  <c r="AB4233" i="1"/>
  <c r="AA4233" i="1"/>
  <c r="AB4232" i="1"/>
  <c r="AA4232" i="1"/>
  <c r="AB4231" i="1"/>
  <c r="AA4231" i="1"/>
  <c r="AB4230" i="1"/>
  <c r="AA4230" i="1"/>
  <c r="AB4229" i="1"/>
  <c r="AA4229" i="1"/>
  <c r="AB4228" i="1"/>
  <c r="AA4228" i="1"/>
  <c r="AB4227" i="1"/>
  <c r="AA4227" i="1"/>
  <c r="AB4226" i="1"/>
  <c r="AA4226" i="1"/>
  <c r="AB4225" i="1"/>
  <c r="AA4225" i="1"/>
  <c r="AB4224" i="1"/>
  <c r="AA4224" i="1"/>
  <c r="AB4223" i="1"/>
  <c r="AA4223" i="1"/>
  <c r="AB4222" i="1"/>
  <c r="AA4222" i="1"/>
  <c r="AB4221" i="1"/>
  <c r="AA4221" i="1"/>
  <c r="AB4220" i="1"/>
  <c r="AA4220" i="1"/>
  <c r="AB4219" i="1"/>
  <c r="AA4219" i="1"/>
  <c r="AB4218" i="1"/>
  <c r="AA4218" i="1"/>
  <c r="AB4217" i="1"/>
  <c r="AA4217" i="1"/>
  <c r="AB4216" i="1"/>
  <c r="AA4216" i="1"/>
  <c r="AB4215" i="1"/>
  <c r="AA4215" i="1"/>
  <c r="AB4214" i="1"/>
  <c r="AA4214" i="1"/>
  <c r="AB4213" i="1"/>
  <c r="AA4213" i="1"/>
  <c r="AB4212" i="1"/>
  <c r="AA4212" i="1"/>
  <c r="AB4211" i="1"/>
  <c r="AA4211" i="1"/>
  <c r="AB4210" i="1"/>
  <c r="AA4210" i="1"/>
  <c r="AB4209" i="1"/>
  <c r="AA4209" i="1"/>
  <c r="AB4208" i="1"/>
  <c r="AA4208" i="1"/>
  <c r="AB4207" i="1"/>
  <c r="AA4207" i="1"/>
  <c r="AB4206" i="1"/>
  <c r="AA4206" i="1"/>
  <c r="AB4205" i="1"/>
  <c r="AA4205" i="1"/>
  <c r="AB4204" i="1"/>
  <c r="AA4204" i="1"/>
  <c r="AB4203" i="1"/>
  <c r="AA4203" i="1"/>
  <c r="AB4202" i="1"/>
  <c r="AA4202" i="1"/>
  <c r="AB4201" i="1"/>
  <c r="AA4201" i="1"/>
  <c r="AB4200" i="1"/>
  <c r="AA4200" i="1"/>
  <c r="AB4199" i="1"/>
  <c r="AA4199" i="1"/>
  <c r="AB4198" i="1"/>
  <c r="AA4198" i="1"/>
  <c r="AB4197" i="1"/>
  <c r="AA4197" i="1"/>
  <c r="AB4196" i="1"/>
  <c r="AA4196" i="1"/>
  <c r="AB4195" i="1"/>
  <c r="AA4195" i="1"/>
  <c r="AB4194" i="1"/>
  <c r="AA4194" i="1"/>
  <c r="AB4193" i="1"/>
  <c r="AA4193" i="1"/>
  <c r="AB4192" i="1"/>
  <c r="AA4192" i="1"/>
  <c r="AB4191" i="1"/>
  <c r="AA4191" i="1"/>
  <c r="AB4190" i="1"/>
  <c r="AA4190" i="1"/>
  <c r="AB4189" i="1"/>
  <c r="AA4189" i="1"/>
  <c r="AB4188" i="1"/>
  <c r="AA4188" i="1"/>
  <c r="AB4187" i="1"/>
  <c r="AA4187" i="1"/>
  <c r="AB4186" i="1"/>
  <c r="AA4186" i="1"/>
  <c r="AB4185" i="1"/>
  <c r="AA4185" i="1"/>
  <c r="AB4184" i="1"/>
  <c r="AA4184" i="1"/>
  <c r="AB4183" i="1"/>
  <c r="AA4183" i="1"/>
  <c r="AB4182" i="1"/>
  <c r="AA4182" i="1"/>
  <c r="AB4181" i="1"/>
  <c r="AA4181" i="1"/>
  <c r="AB4180" i="1"/>
  <c r="AA4180" i="1"/>
  <c r="AB4179" i="1"/>
  <c r="AA4179" i="1"/>
  <c r="AB4178" i="1"/>
  <c r="AA4178" i="1"/>
  <c r="AB4177" i="1"/>
  <c r="AA4177" i="1"/>
  <c r="AB4176" i="1"/>
  <c r="AA4176" i="1"/>
  <c r="AB4175" i="1"/>
  <c r="AA4175" i="1"/>
  <c r="AB4174" i="1"/>
  <c r="AA4174" i="1"/>
  <c r="AB4173" i="1"/>
  <c r="AA4173" i="1"/>
  <c r="AB4172" i="1"/>
  <c r="AA4172" i="1"/>
  <c r="AB4171" i="1"/>
  <c r="AA4171" i="1"/>
  <c r="AB4170" i="1"/>
  <c r="AA4170" i="1"/>
  <c r="AB4169" i="1"/>
  <c r="AA4169" i="1"/>
  <c r="AB4168" i="1"/>
  <c r="AA4168" i="1"/>
  <c r="AB4167" i="1"/>
  <c r="AA4167" i="1"/>
  <c r="AB4166" i="1"/>
  <c r="AA4166" i="1"/>
  <c r="AB4165" i="1"/>
  <c r="AA4165" i="1"/>
  <c r="AB4164" i="1"/>
  <c r="AA4164" i="1"/>
  <c r="AB4163" i="1"/>
  <c r="AA4163" i="1"/>
  <c r="AB4162" i="1"/>
  <c r="AA4162" i="1"/>
  <c r="AB4161" i="1"/>
  <c r="AA4161" i="1"/>
  <c r="AB4160" i="1"/>
  <c r="AA4160" i="1"/>
  <c r="AB4159" i="1"/>
  <c r="AA4159" i="1"/>
  <c r="AB4158" i="1"/>
  <c r="AA4158" i="1"/>
  <c r="AB4157" i="1"/>
  <c r="AA4157" i="1"/>
  <c r="AB4156" i="1"/>
  <c r="AA4156" i="1"/>
  <c r="AB4155" i="1"/>
  <c r="AA4155" i="1"/>
  <c r="AB4154" i="1"/>
  <c r="AA4154" i="1"/>
  <c r="AB4153" i="1"/>
  <c r="AA4153" i="1"/>
  <c r="AB4152" i="1"/>
  <c r="AA4152" i="1"/>
  <c r="AB4151" i="1"/>
  <c r="AA4151" i="1"/>
  <c r="AB4150" i="1"/>
  <c r="AA4150" i="1"/>
  <c r="AB4149" i="1"/>
  <c r="AA4149" i="1"/>
  <c r="AB4148" i="1"/>
  <c r="AA4148" i="1"/>
  <c r="AB4147" i="1"/>
  <c r="AA4147" i="1"/>
  <c r="AB4146" i="1"/>
  <c r="AA4146" i="1"/>
  <c r="AB4145" i="1"/>
  <c r="AA4145" i="1"/>
  <c r="AB4144" i="1"/>
  <c r="AA4144" i="1"/>
  <c r="AB4143" i="1"/>
  <c r="AA4143" i="1"/>
  <c r="AB4142" i="1"/>
  <c r="AA4142" i="1"/>
  <c r="AB4141" i="1"/>
  <c r="AA4141" i="1"/>
  <c r="AB4140" i="1"/>
  <c r="AA4140" i="1"/>
  <c r="AB4139" i="1"/>
  <c r="AA4139" i="1"/>
  <c r="AB4138" i="1"/>
  <c r="AA4138" i="1"/>
  <c r="AB4137" i="1"/>
  <c r="AA4137" i="1"/>
  <c r="AB4136" i="1"/>
  <c r="AA4136" i="1"/>
  <c r="AB4135" i="1"/>
  <c r="AA4135" i="1"/>
  <c r="AB4134" i="1"/>
  <c r="AA4134" i="1"/>
  <c r="AB4133" i="1"/>
  <c r="AA4133" i="1"/>
  <c r="AB4132" i="1"/>
  <c r="AA4132" i="1"/>
  <c r="AB4131" i="1"/>
  <c r="AA4131" i="1"/>
  <c r="AB4130" i="1"/>
  <c r="AA4130" i="1"/>
  <c r="AB4129" i="1"/>
  <c r="AA4129" i="1"/>
  <c r="AB4128" i="1"/>
  <c r="AA4128" i="1"/>
  <c r="AB4127" i="1"/>
  <c r="AA4127" i="1"/>
  <c r="AB4126" i="1"/>
  <c r="AA4126" i="1"/>
  <c r="AB4125" i="1"/>
  <c r="AA4125" i="1"/>
  <c r="AB4124" i="1"/>
  <c r="AA4124" i="1"/>
  <c r="AB4123" i="1"/>
  <c r="AA4123" i="1"/>
  <c r="AB4122" i="1"/>
  <c r="AA4122" i="1"/>
  <c r="AB4121" i="1"/>
  <c r="AA4121" i="1"/>
  <c r="AB4120" i="1"/>
  <c r="AA4120" i="1"/>
  <c r="AB4119" i="1"/>
  <c r="AA4119" i="1"/>
  <c r="AB4118" i="1"/>
  <c r="AA4118" i="1"/>
  <c r="AB4117" i="1"/>
  <c r="AA4117" i="1"/>
  <c r="AB4116" i="1"/>
  <c r="AA4116" i="1"/>
  <c r="AB4115" i="1"/>
  <c r="AA4115" i="1"/>
  <c r="AB4114" i="1"/>
  <c r="AA4114" i="1"/>
  <c r="AB4113" i="1"/>
  <c r="AA4113" i="1"/>
  <c r="AB4112" i="1"/>
  <c r="AA4112" i="1"/>
  <c r="AB4111" i="1"/>
  <c r="AA4111" i="1"/>
  <c r="AB4110" i="1"/>
  <c r="AA4110" i="1"/>
  <c r="AB4109" i="1"/>
  <c r="AA4109" i="1"/>
  <c r="AB4108" i="1"/>
  <c r="AA4108" i="1"/>
  <c r="AB4107" i="1"/>
  <c r="AA4107" i="1"/>
  <c r="AB4106" i="1"/>
  <c r="AA4106" i="1"/>
  <c r="AB4105" i="1"/>
  <c r="AA4105" i="1"/>
  <c r="AB4104" i="1"/>
  <c r="AA4104" i="1"/>
  <c r="AB4103" i="1"/>
  <c r="AA4103" i="1"/>
  <c r="AB4102" i="1"/>
  <c r="AA4102" i="1"/>
  <c r="AB4101" i="1"/>
  <c r="AA4101" i="1"/>
  <c r="AB4100" i="1"/>
  <c r="AA4100" i="1"/>
  <c r="AB4099" i="1"/>
  <c r="AA4099" i="1"/>
  <c r="AB4098" i="1"/>
  <c r="AA4098" i="1"/>
  <c r="AB4097" i="1"/>
  <c r="AA4097" i="1"/>
  <c r="AB4096" i="1"/>
  <c r="AA4096" i="1"/>
  <c r="AB4095" i="1"/>
  <c r="AA4095" i="1"/>
  <c r="AB4094" i="1"/>
  <c r="AA4094" i="1"/>
  <c r="AB4093" i="1"/>
  <c r="AA4093" i="1"/>
  <c r="AB4092" i="1"/>
  <c r="AA4092" i="1"/>
  <c r="AB4091" i="1"/>
  <c r="AA4091" i="1"/>
  <c r="AB4090" i="1"/>
  <c r="AA4090" i="1"/>
  <c r="AB4089" i="1"/>
  <c r="AA4089" i="1"/>
  <c r="AB4088" i="1"/>
  <c r="AA4088" i="1"/>
  <c r="AB4087" i="1"/>
  <c r="AA4087" i="1"/>
  <c r="AB4086" i="1"/>
  <c r="AA4086" i="1"/>
  <c r="AB4085" i="1"/>
  <c r="AA4085" i="1"/>
  <c r="AB4084" i="1"/>
  <c r="AA4084" i="1"/>
  <c r="AB4083" i="1"/>
  <c r="AA4083" i="1"/>
  <c r="AB4082" i="1"/>
  <c r="AA4082" i="1"/>
  <c r="AB4081" i="1"/>
  <c r="AA4081" i="1"/>
  <c r="AB4080" i="1"/>
  <c r="AA4080" i="1"/>
  <c r="AB4079" i="1"/>
  <c r="AA4079" i="1"/>
  <c r="AB4078" i="1"/>
  <c r="AA4078" i="1"/>
  <c r="AB4077" i="1"/>
  <c r="AA4077" i="1"/>
  <c r="AB4076" i="1"/>
  <c r="AA4076" i="1"/>
  <c r="AB4075" i="1"/>
  <c r="AA4075" i="1"/>
  <c r="AB4074" i="1"/>
  <c r="AA4074" i="1"/>
  <c r="AB4073" i="1"/>
  <c r="AA4073" i="1"/>
  <c r="AB4072" i="1"/>
  <c r="AA4072" i="1"/>
  <c r="AB4071" i="1"/>
  <c r="AA4071" i="1"/>
  <c r="AB4070" i="1"/>
  <c r="AA4070" i="1"/>
  <c r="AB4069" i="1"/>
  <c r="AA4069" i="1"/>
  <c r="AB4068" i="1"/>
  <c r="AA4068" i="1"/>
  <c r="AB4067" i="1"/>
  <c r="AA4067" i="1"/>
  <c r="AB4066" i="1"/>
  <c r="AA4066" i="1"/>
  <c r="AB4065" i="1"/>
  <c r="AA4065" i="1"/>
  <c r="AB4064" i="1"/>
  <c r="AA4064" i="1"/>
  <c r="AB4063" i="1"/>
  <c r="AA4063" i="1"/>
  <c r="AB4062" i="1"/>
  <c r="AA4062" i="1"/>
  <c r="AB4061" i="1"/>
  <c r="AA4061" i="1"/>
  <c r="AB4060" i="1"/>
  <c r="AA4060" i="1"/>
  <c r="AB4059" i="1"/>
  <c r="AA4059" i="1"/>
  <c r="AB4058" i="1"/>
  <c r="AA4058" i="1"/>
  <c r="AB4057" i="1"/>
  <c r="AA4057" i="1"/>
  <c r="AB4056" i="1"/>
  <c r="AA4056" i="1"/>
  <c r="AB4055" i="1"/>
  <c r="AA4055" i="1"/>
  <c r="AB4054" i="1"/>
  <c r="AA4054" i="1"/>
  <c r="AB4053" i="1"/>
  <c r="AA4053" i="1"/>
  <c r="AB4052" i="1"/>
  <c r="AA4052" i="1"/>
  <c r="AB4051" i="1"/>
  <c r="AA4051" i="1"/>
  <c r="AB4050" i="1"/>
  <c r="AA4050" i="1"/>
  <c r="AB4049" i="1"/>
  <c r="AA4049" i="1"/>
  <c r="AB4048" i="1"/>
  <c r="AA4048" i="1"/>
  <c r="AB4047" i="1"/>
  <c r="AA4047" i="1"/>
  <c r="AB4046" i="1"/>
  <c r="AA4046" i="1"/>
  <c r="AB4045" i="1"/>
  <c r="AA4045" i="1"/>
  <c r="AB4044" i="1"/>
  <c r="AA4044" i="1"/>
  <c r="AB4043" i="1"/>
  <c r="AA4043" i="1"/>
  <c r="AB4042" i="1"/>
  <c r="AA4042" i="1"/>
  <c r="AB4041" i="1"/>
  <c r="AA4041" i="1"/>
  <c r="AB4040" i="1"/>
  <c r="AA4040" i="1"/>
  <c r="AB4039" i="1"/>
  <c r="AA4039" i="1"/>
  <c r="AB4038" i="1"/>
  <c r="AA4038" i="1"/>
  <c r="AB4037" i="1"/>
  <c r="AA4037" i="1"/>
  <c r="AB4036" i="1"/>
  <c r="AA4036" i="1"/>
  <c r="AB4035" i="1"/>
  <c r="AA4035" i="1"/>
  <c r="AB4034" i="1"/>
  <c r="AA4034" i="1"/>
  <c r="AB4033" i="1"/>
  <c r="AA4033" i="1"/>
  <c r="AB4032" i="1"/>
  <c r="AA4032" i="1"/>
  <c r="AB4031" i="1"/>
  <c r="AA4031" i="1"/>
  <c r="AB4030" i="1"/>
  <c r="AA4030" i="1"/>
  <c r="AB4029" i="1"/>
  <c r="AA4029" i="1"/>
  <c r="AB4028" i="1"/>
  <c r="AA4028" i="1"/>
  <c r="AB4027" i="1"/>
  <c r="AA4027" i="1"/>
  <c r="AB4026" i="1"/>
  <c r="AA4026" i="1"/>
  <c r="AB4025" i="1"/>
  <c r="AA4025" i="1"/>
  <c r="AB4024" i="1"/>
  <c r="AA4024" i="1"/>
  <c r="AB4023" i="1"/>
  <c r="AA4023" i="1"/>
  <c r="AB4022" i="1"/>
  <c r="AA4022" i="1"/>
  <c r="AB4021" i="1"/>
  <c r="AA4021" i="1"/>
  <c r="AB4020" i="1"/>
  <c r="AA4020" i="1"/>
  <c r="AB4019" i="1"/>
  <c r="AA4019" i="1"/>
  <c r="AB4018" i="1"/>
  <c r="AA4018" i="1"/>
  <c r="AB4017" i="1"/>
  <c r="AA4017" i="1"/>
  <c r="AB4016" i="1"/>
  <c r="AA4016" i="1"/>
  <c r="AB4015" i="1"/>
  <c r="AA4015" i="1"/>
  <c r="AB4014" i="1"/>
  <c r="AA4014" i="1"/>
  <c r="AB4013" i="1"/>
  <c r="AA4013" i="1"/>
  <c r="AB4012" i="1"/>
  <c r="AA4012" i="1"/>
  <c r="AB4011" i="1"/>
  <c r="AA4011" i="1"/>
  <c r="AB4010" i="1"/>
  <c r="AA4010" i="1"/>
  <c r="AB4009" i="1"/>
  <c r="AA4009" i="1"/>
  <c r="AB4008" i="1"/>
  <c r="AA4008" i="1"/>
  <c r="AB4007" i="1"/>
  <c r="AA4007" i="1"/>
  <c r="AB4006" i="1"/>
  <c r="AA4006" i="1"/>
  <c r="AB4005" i="1"/>
  <c r="AA4005" i="1"/>
  <c r="AB4004" i="1"/>
  <c r="AA4004" i="1"/>
  <c r="AB4003" i="1"/>
  <c r="AA4003" i="1"/>
  <c r="AB4002" i="1"/>
  <c r="AA4002" i="1"/>
  <c r="AB4001" i="1"/>
  <c r="AA4001" i="1"/>
  <c r="AB4000" i="1"/>
  <c r="AA4000" i="1"/>
  <c r="AB3999" i="1"/>
  <c r="AA3999" i="1"/>
  <c r="AB3998" i="1"/>
  <c r="AA3998" i="1"/>
  <c r="AB3997" i="1"/>
  <c r="AA3997" i="1"/>
  <c r="AB3996" i="1"/>
  <c r="AA3996" i="1"/>
  <c r="AB3995" i="1"/>
  <c r="AA3995" i="1"/>
  <c r="AB3994" i="1"/>
  <c r="AA3994" i="1"/>
  <c r="AB3993" i="1"/>
  <c r="AA3993" i="1"/>
  <c r="AB3992" i="1"/>
  <c r="AA3992" i="1"/>
  <c r="AB3991" i="1"/>
  <c r="AA3991" i="1"/>
  <c r="AB3990" i="1"/>
  <c r="AA3990" i="1"/>
  <c r="AB3989" i="1"/>
  <c r="AA3989" i="1"/>
  <c r="AB3988" i="1"/>
  <c r="AA3988" i="1"/>
  <c r="AB3987" i="1"/>
  <c r="AA3987" i="1"/>
  <c r="AB3986" i="1"/>
  <c r="AA3986" i="1"/>
  <c r="AB3985" i="1"/>
  <c r="AA3985" i="1"/>
  <c r="AB3984" i="1"/>
  <c r="AA3984" i="1"/>
  <c r="AB3983" i="1"/>
  <c r="AA3983" i="1"/>
  <c r="AB3982" i="1"/>
  <c r="AA3982" i="1"/>
  <c r="AB3981" i="1"/>
  <c r="AA3981" i="1"/>
  <c r="AB3980" i="1"/>
  <c r="AA3980" i="1"/>
  <c r="AB3979" i="1"/>
  <c r="AA3979" i="1"/>
  <c r="AB3978" i="1"/>
  <c r="AA3978" i="1"/>
  <c r="AB3977" i="1"/>
  <c r="AA3977" i="1"/>
  <c r="AB3976" i="1"/>
  <c r="AA3976" i="1"/>
  <c r="AB3975" i="1"/>
  <c r="AA3975" i="1"/>
  <c r="AB3974" i="1"/>
  <c r="AA3974" i="1"/>
  <c r="AB3973" i="1"/>
  <c r="AA3973" i="1"/>
  <c r="AB3972" i="1"/>
  <c r="AA3972" i="1"/>
  <c r="AB3971" i="1"/>
  <c r="AA3971" i="1"/>
  <c r="AB3970" i="1"/>
  <c r="AA3970" i="1"/>
  <c r="AB3969" i="1"/>
  <c r="AA3969" i="1"/>
  <c r="AB3968" i="1"/>
  <c r="AA3968" i="1"/>
  <c r="AB3967" i="1"/>
  <c r="AA3967" i="1"/>
  <c r="AB3966" i="1"/>
  <c r="AA3966" i="1"/>
  <c r="AB3965" i="1"/>
  <c r="AA3965" i="1"/>
  <c r="AB3964" i="1"/>
  <c r="AA3964" i="1"/>
  <c r="AB3963" i="1"/>
  <c r="AA3963" i="1"/>
  <c r="AB3962" i="1"/>
  <c r="AA3962" i="1"/>
  <c r="AB3961" i="1"/>
  <c r="AA3961" i="1"/>
  <c r="AB3960" i="1"/>
  <c r="AA3960" i="1"/>
  <c r="AB3959" i="1"/>
  <c r="AA3959" i="1"/>
  <c r="AB3958" i="1"/>
  <c r="AA3958" i="1"/>
  <c r="AB3957" i="1"/>
  <c r="AA3957" i="1"/>
  <c r="AB3956" i="1"/>
  <c r="AA3956" i="1"/>
  <c r="AB3955" i="1"/>
  <c r="AA3955" i="1"/>
  <c r="AB3954" i="1"/>
  <c r="AA3954" i="1"/>
  <c r="AB3953" i="1"/>
  <c r="AA3953" i="1"/>
  <c r="AB3952" i="1"/>
  <c r="AA3952" i="1"/>
  <c r="AB3951" i="1"/>
  <c r="AA3951" i="1"/>
  <c r="AB3950" i="1"/>
  <c r="AA3950" i="1"/>
  <c r="AB3949" i="1"/>
  <c r="AA3949" i="1"/>
  <c r="AB3948" i="1"/>
  <c r="AA3948" i="1"/>
  <c r="AB3947" i="1"/>
  <c r="AA3947" i="1"/>
  <c r="AB3946" i="1"/>
  <c r="AA3946" i="1"/>
  <c r="AB3945" i="1"/>
  <c r="AA3945" i="1"/>
  <c r="AB3944" i="1"/>
  <c r="AA3944" i="1"/>
  <c r="AB3943" i="1"/>
  <c r="AA3943" i="1"/>
  <c r="AB3942" i="1"/>
  <c r="AA3942" i="1"/>
  <c r="AB3941" i="1"/>
  <c r="AA3941" i="1"/>
  <c r="AB3940" i="1"/>
  <c r="AA3940" i="1"/>
  <c r="AB3939" i="1"/>
  <c r="AA3939" i="1"/>
  <c r="AB3938" i="1"/>
  <c r="AA3938" i="1"/>
  <c r="AB3937" i="1"/>
  <c r="AA3937" i="1"/>
  <c r="AB3936" i="1"/>
  <c r="AA3936" i="1"/>
  <c r="AB3935" i="1"/>
  <c r="AA3935" i="1"/>
  <c r="AB3934" i="1"/>
  <c r="AA3934" i="1"/>
  <c r="AB3933" i="1"/>
  <c r="AA3933" i="1"/>
  <c r="AB3932" i="1"/>
  <c r="AA3932" i="1"/>
  <c r="AB3931" i="1"/>
  <c r="AA3931" i="1"/>
  <c r="AB3930" i="1"/>
  <c r="AA3930" i="1"/>
  <c r="AB3929" i="1"/>
  <c r="AA3929" i="1"/>
  <c r="AB3928" i="1"/>
  <c r="AA3928" i="1"/>
  <c r="AB3927" i="1"/>
  <c r="AA3927" i="1"/>
  <c r="AB3926" i="1"/>
  <c r="AA3926" i="1"/>
  <c r="AB3925" i="1"/>
  <c r="AA3925" i="1"/>
  <c r="AB3924" i="1"/>
  <c r="AA3924" i="1"/>
  <c r="AB3923" i="1"/>
  <c r="AA3923" i="1"/>
  <c r="AB3922" i="1"/>
  <c r="AA3922" i="1"/>
  <c r="AB3921" i="1"/>
  <c r="AA3921" i="1"/>
  <c r="AB3920" i="1"/>
  <c r="AA3920" i="1"/>
  <c r="AB3919" i="1"/>
  <c r="AA3919" i="1"/>
  <c r="AB3918" i="1"/>
  <c r="AA3918" i="1"/>
  <c r="AB3917" i="1"/>
  <c r="AA3917" i="1"/>
  <c r="AB3916" i="1"/>
  <c r="AA3916" i="1"/>
  <c r="AB3915" i="1"/>
  <c r="AA3915" i="1"/>
  <c r="AB3914" i="1"/>
  <c r="AA3914" i="1"/>
  <c r="AB3913" i="1"/>
  <c r="AA3913" i="1"/>
  <c r="AB3912" i="1"/>
  <c r="AA3912" i="1"/>
  <c r="AB3911" i="1"/>
  <c r="AA3911" i="1"/>
  <c r="AB3910" i="1"/>
  <c r="AA3910" i="1"/>
  <c r="AB3909" i="1"/>
  <c r="AA3909" i="1"/>
  <c r="AB3908" i="1"/>
  <c r="AA3908" i="1"/>
  <c r="AB3907" i="1"/>
  <c r="AA3907" i="1"/>
  <c r="AB3906" i="1"/>
  <c r="AA3906" i="1"/>
  <c r="AB3905" i="1"/>
  <c r="AA3905" i="1"/>
  <c r="AB3904" i="1"/>
  <c r="AA3904" i="1"/>
  <c r="AB3903" i="1"/>
  <c r="AA3903" i="1"/>
  <c r="AB3902" i="1"/>
  <c r="AA3902" i="1"/>
  <c r="AB3901" i="1"/>
  <c r="AA3901" i="1"/>
  <c r="AB3900" i="1"/>
  <c r="AA3900" i="1"/>
  <c r="AB3899" i="1"/>
  <c r="AA3899" i="1"/>
  <c r="AB3898" i="1"/>
  <c r="AA3898" i="1"/>
  <c r="AB3897" i="1"/>
  <c r="AA3897" i="1"/>
  <c r="AB3896" i="1"/>
  <c r="AA3896" i="1"/>
  <c r="AB3895" i="1"/>
  <c r="AA3895" i="1"/>
  <c r="AB3894" i="1"/>
  <c r="AA3894" i="1"/>
  <c r="AB3893" i="1"/>
  <c r="AA3893" i="1"/>
  <c r="AB3892" i="1"/>
  <c r="AA3892" i="1"/>
  <c r="AB3891" i="1"/>
  <c r="AA3891" i="1"/>
  <c r="AB3890" i="1"/>
  <c r="AA3890" i="1"/>
  <c r="AB3889" i="1"/>
  <c r="AA3889" i="1"/>
  <c r="AB3888" i="1"/>
  <c r="AA3888" i="1"/>
  <c r="AB3887" i="1"/>
  <c r="AA3887" i="1"/>
  <c r="AB3886" i="1"/>
  <c r="AA3886" i="1"/>
  <c r="AB3885" i="1"/>
  <c r="AA3885" i="1"/>
  <c r="AB3884" i="1"/>
  <c r="AA3884" i="1"/>
  <c r="AB3883" i="1"/>
  <c r="AA3883" i="1"/>
  <c r="AB3882" i="1"/>
  <c r="AA3882" i="1"/>
  <c r="AB3881" i="1"/>
  <c r="AA3881" i="1"/>
  <c r="AB3880" i="1"/>
  <c r="AA3880" i="1"/>
  <c r="AB3879" i="1"/>
  <c r="AA3879" i="1"/>
  <c r="AB3878" i="1"/>
  <c r="AA3878" i="1"/>
  <c r="AB3877" i="1"/>
  <c r="AA3877" i="1"/>
  <c r="AB3876" i="1"/>
  <c r="AA3876" i="1"/>
  <c r="AB3875" i="1"/>
  <c r="AA3875" i="1"/>
  <c r="AB3874" i="1"/>
  <c r="AA3874" i="1"/>
  <c r="AB3873" i="1"/>
  <c r="AA3873" i="1"/>
  <c r="AB3872" i="1"/>
  <c r="AA3872" i="1"/>
  <c r="AB3871" i="1"/>
  <c r="AA3871" i="1"/>
  <c r="AB3870" i="1"/>
  <c r="AA3870" i="1"/>
  <c r="AB3869" i="1"/>
  <c r="AA3869" i="1"/>
  <c r="AB3868" i="1"/>
  <c r="AA3868" i="1"/>
  <c r="AB3867" i="1"/>
  <c r="AA3867" i="1"/>
  <c r="AB3866" i="1"/>
  <c r="AA3866" i="1"/>
  <c r="AB3865" i="1"/>
  <c r="AA3865" i="1"/>
  <c r="AB3864" i="1"/>
  <c r="AA3864" i="1"/>
  <c r="AB3863" i="1"/>
  <c r="AA3863" i="1"/>
  <c r="AB3862" i="1"/>
  <c r="AA3862" i="1"/>
  <c r="AB3861" i="1"/>
  <c r="AA3861" i="1"/>
  <c r="AB3860" i="1"/>
  <c r="AA3860" i="1"/>
  <c r="AB3859" i="1"/>
  <c r="AA3859" i="1"/>
  <c r="AB3858" i="1"/>
  <c r="AA3858" i="1"/>
  <c r="AB3857" i="1"/>
  <c r="AA3857" i="1"/>
  <c r="AB3856" i="1"/>
  <c r="AA3856" i="1"/>
  <c r="AB3855" i="1"/>
  <c r="AA3855" i="1"/>
  <c r="AB3854" i="1"/>
  <c r="AA3854" i="1"/>
  <c r="AB3853" i="1"/>
  <c r="AA3853" i="1"/>
  <c r="AB3852" i="1"/>
  <c r="AA3852" i="1"/>
  <c r="AB3851" i="1"/>
  <c r="AA3851" i="1"/>
  <c r="AB3850" i="1"/>
  <c r="AA3850" i="1"/>
  <c r="AB3849" i="1"/>
  <c r="AA3849" i="1"/>
  <c r="AB3848" i="1"/>
  <c r="AA3848" i="1"/>
  <c r="AB3847" i="1"/>
  <c r="AA3847" i="1"/>
  <c r="AB3846" i="1"/>
  <c r="AA3846" i="1"/>
  <c r="AB3845" i="1"/>
  <c r="AA3845" i="1"/>
  <c r="AB3844" i="1"/>
  <c r="AA3844" i="1"/>
  <c r="AB3843" i="1"/>
  <c r="AA3843" i="1"/>
  <c r="AB3842" i="1"/>
  <c r="AA3842" i="1"/>
  <c r="AB3841" i="1"/>
  <c r="AA3841" i="1"/>
  <c r="AB3840" i="1"/>
  <c r="AA3840" i="1"/>
  <c r="AB3839" i="1"/>
  <c r="AA3839" i="1"/>
  <c r="AB3838" i="1"/>
  <c r="AA3838" i="1"/>
  <c r="AB3837" i="1"/>
  <c r="AA3837" i="1"/>
  <c r="AB3836" i="1"/>
  <c r="AA3836" i="1"/>
  <c r="AB3835" i="1"/>
  <c r="AA3835" i="1"/>
  <c r="AB3834" i="1"/>
  <c r="AA3834" i="1"/>
  <c r="AB3833" i="1"/>
  <c r="AA3833" i="1"/>
  <c r="AB3832" i="1"/>
  <c r="AA3832" i="1"/>
  <c r="AB3831" i="1"/>
  <c r="AA3831" i="1"/>
  <c r="AB3830" i="1"/>
  <c r="AA3830" i="1"/>
  <c r="AB3829" i="1"/>
  <c r="AA3829" i="1"/>
  <c r="AB3828" i="1"/>
  <c r="AA3828" i="1"/>
  <c r="AB3827" i="1"/>
  <c r="AA3827" i="1"/>
  <c r="AB3826" i="1"/>
  <c r="AA3826" i="1"/>
  <c r="AB3825" i="1"/>
  <c r="AA3825" i="1"/>
  <c r="AB3824" i="1"/>
  <c r="AA3824" i="1"/>
  <c r="AB3823" i="1"/>
  <c r="AA3823" i="1"/>
  <c r="AB3822" i="1"/>
  <c r="AA3822" i="1"/>
  <c r="AB3821" i="1"/>
  <c r="AA3821" i="1"/>
  <c r="AB3820" i="1"/>
  <c r="AA3820" i="1"/>
  <c r="AB3819" i="1"/>
  <c r="AA3819" i="1"/>
  <c r="AB3818" i="1"/>
  <c r="AA3818" i="1"/>
  <c r="AB3817" i="1"/>
  <c r="AA3817" i="1"/>
  <c r="AB3816" i="1"/>
  <c r="AA3816" i="1"/>
  <c r="AB3815" i="1"/>
  <c r="AA3815" i="1"/>
  <c r="AB3814" i="1"/>
  <c r="AA3814" i="1"/>
  <c r="AB3813" i="1"/>
  <c r="AA3813" i="1"/>
  <c r="AB3812" i="1"/>
  <c r="AA3812" i="1"/>
  <c r="AB3811" i="1"/>
  <c r="AA3811" i="1"/>
  <c r="AB3810" i="1"/>
  <c r="AA3810" i="1"/>
  <c r="AB3809" i="1"/>
  <c r="AA3809" i="1"/>
  <c r="AB3808" i="1"/>
  <c r="AA3808" i="1"/>
  <c r="AB3807" i="1"/>
  <c r="AA3807" i="1"/>
  <c r="AB3806" i="1"/>
  <c r="AA3806" i="1"/>
  <c r="AB3805" i="1"/>
  <c r="AA3805" i="1"/>
  <c r="AB3804" i="1"/>
  <c r="AA3804" i="1"/>
  <c r="AB3803" i="1"/>
  <c r="AA3803" i="1"/>
  <c r="AB3802" i="1"/>
  <c r="AA3802" i="1"/>
  <c r="AB3801" i="1"/>
  <c r="AA3801" i="1"/>
  <c r="AB3800" i="1"/>
  <c r="AA3800" i="1"/>
  <c r="AB3799" i="1"/>
  <c r="AA3799" i="1"/>
  <c r="AB3798" i="1"/>
  <c r="AA3798" i="1"/>
  <c r="AB3797" i="1"/>
  <c r="AA3797" i="1"/>
  <c r="AB3796" i="1"/>
  <c r="AA3796" i="1"/>
  <c r="AB3795" i="1"/>
  <c r="AA3795" i="1"/>
  <c r="AB3794" i="1"/>
  <c r="AA3794" i="1"/>
  <c r="AB3793" i="1"/>
  <c r="AA3793" i="1"/>
  <c r="AB3792" i="1"/>
  <c r="AA3792" i="1"/>
  <c r="AB3791" i="1"/>
  <c r="AA3791" i="1"/>
  <c r="AB3790" i="1"/>
  <c r="AA3790" i="1"/>
  <c r="AB3789" i="1"/>
  <c r="AA3789" i="1"/>
  <c r="AB3788" i="1"/>
  <c r="AA3788" i="1"/>
  <c r="AB3787" i="1"/>
  <c r="AA3787" i="1"/>
  <c r="AB3786" i="1"/>
  <c r="AA3786" i="1"/>
  <c r="AB3785" i="1"/>
  <c r="AA3785" i="1"/>
  <c r="AB3784" i="1"/>
  <c r="AA3784" i="1"/>
  <c r="AB3783" i="1"/>
  <c r="AA3783" i="1"/>
  <c r="AB3782" i="1"/>
  <c r="AA3782" i="1"/>
  <c r="AB3781" i="1"/>
  <c r="AA3781" i="1"/>
  <c r="AB3780" i="1"/>
  <c r="AA3780" i="1"/>
  <c r="AB3779" i="1"/>
  <c r="AA3779" i="1"/>
  <c r="AB3778" i="1"/>
  <c r="AA3778" i="1"/>
  <c r="AB3777" i="1"/>
  <c r="AA3777" i="1"/>
  <c r="AB3776" i="1"/>
  <c r="AA3776" i="1"/>
  <c r="AB3775" i="1"/>
  <c r="AA3775" i="1"/>
  <c r="AB3774" i="1"/>
  <c r="AA3774" i="1"/>
  <c r="AB3773" i="1"/>
  <c r="AA3773" i="1"/>
  <c r="AB3772" i="1"/>
  <c r="AA3772" i="1"/>
  <c r="AB3771" i="1"/>
  <c r="AA3771" i="1"/>
  <c r="AB3770" i="1"/>
  <c r="AA3770" i="1"/>
  <c r="AB3769" i="1"/>
  <c r="AA3769" i="1"/>
  <c r="AB3768" i="1"/>
  <c r="AA3768" i="1"/>
  <c r="AB3767" i="1"/>
  <c r="AA3767" i="1"/>
  <c r="AB3766" i="1"/>
  <c r="AA3766" i="1"/>
  <c r="AB3765" i="1"/>
  <c r="AA3765" i="1"/>
  <c r="AB3764" i="1"/>
  <c r="AA3764" i="1"/>
  <c r="AB3763" i="1"/>
  <c r="AA3763" i="1"/>
  <c r="AB3762" i="1"/>
  <c r="AA3762" i="1"/>
  <c r="AB3761" i="1"/>
  <c r="AA3761" i="1"/>
  <c r="AB3760" i="1"/>
  <c r="AA3760" i="1"/>
  <c r="AB3759" i="1"/>
  <c r="AA3759" i="1"/>
  <c r="AB3758" i="1"/>
  <c r="AA3758" i="1"/>
  <c r="AB3757" i="1"/>
  <c r="AA3757" i="1"/>
  <c r="AB3756" i="1"/>
  <c r="AA3756" i="1"/>
  <c r="AB3755" i="1"/>
  <c r="AA3755" i="1"/>
  <c r="AB3754" i="1"/>
  <c r="AA3754" i="1"/>
  <c r="AB3753" i="1"/>
  <c r="AA3753" i="1"/>
  <c r="AB3752" i="1"/>
  <c r="AA3752" i="1"/>
  <c r="AB3751" i="1"/>
  <c r="AA3751" i="1"/>
  <c r="AB3750" i="1"/>
  <c r="AA3750" i="1"/>
  <c r="AB3749" i="1"/>
  <c r="AA3749" i="1"/>
  <c r="AB3748" i="1"/>
  <c r="AA3748" i="1"/>
  <c r="AB3747" i="1"/>
  <c r="AA3747" i="1"/>
  <c r="AB3746" i="1"/>
  <c r="AA3746" i="1"/>
  <c r="AB3745" i="1"/>
  <c r="AA3745" i="1"/>
  <c r="AB3744" i="1"/>
  <c r="AA3744" i="1"/>
  <c r="AB3743" i="1"/>
  <c r="AA3743" i="1"/>
  <c r="AB3742" i="1"/>
  <c r="AA3742" i="1"/>
  <c r="AB3741" i="1"/>
  <c r="AA3741" i="1"/>
  <c r="AB3740" i="1"/>
  <c r="AA3740" i="1"/>
  <c r="AB3739" i="1"/>
  <c r="AA3739" i="1"/>
  <c r="AB3738" i="1"/>
  <c r="AA3738" i="1"/>
  <c r="AB3737" i="1"/>
  <c r="AA3737" i="1"/>
  <c r="AB3736" i="1"/>
  <c r="AA3736" i="1"/>
  <c r="AB3735" i="1"/>
  <c r="AA3735" i="1"/>
  <c r="AB3734" i="1"/>
  <c r="AA3734" i="1"/>
  <c r="AB3733" i="1"/>
  <c r="AA3733" i="1"/>
  <c r="AB3732" i="1"/>
  <c r="AA3732" i="1"/>
  <c r="AB3731" i="1"/>
  <c r="AA3731" i="1"/>
  <c r="AB3730" i="1"/>
  <c r="AA3730" i="1"/>
  <c r="AB3729" i="1"/>
  <c r="AA3729" i="1"/>
  <c r="AB3728" i="1"/>
  <c r="AA3728" i="1"/>
  <c r="AB3727" i="1"/>
  <c r="AA3727" i="1"/>
  <c r="AB3726" i="1"/>
  <c r="AA3726" i="1"/>
  <c r="AB3725" i="1"/>
  <c r="AA3725" i="1"/>
  <c r="AB3724" i="1"/>
  <c r="AA3724" i="1"/>
  <c r="AB3723" i="1"/>
  <c r="AA3723" i="1"/>
  <c r="AB3722" i="1"/>
  <c r="AA3722" i="1"/>
  <c r="AB3721" i="1"/>
  <c r="AA3721" i="1"/>
  <c r="AB3720" i="1"/>
  <c r="AA3720" i="1"/>
  <c r="AB3719" i="1"/>
  <c r="AA3719" i="1"/>
  <c r="AB3718" i="1"/>
  <c r="AA3718" i="1"/>
  <c r="AB3717" i="1"/>
  <c r="AA3717" i="1"/>
  <c r="AB3716" i="1"/>
  <c r="AA3716" i="1"/>
  <c r="AB3715" i="1"/>
  <c r="AA3715" i="1"/>
  <c r="AB3714" i="1"/>
  <c r="AA3714" i="1"/>
  <c r="AB3713" i="1"/>
  <c r="AA3713" i="1"/>
  <c r="AB3712" i="1"/>
  <c r="AA3712" i="1"/>
  <c r="AB3711" i="1"/>
  <c r="AA3711" i="1"/>
  <c r="AB3710" i="1"/>
  <c r="AA3710" i="1"/>
  <c r="AB3709" i="1"/>
  <c r="AA3709" i="1"/>
  <c r="AB3708" i="1"/>
  <c r="AA3708" i="1"/>
  <c r="AB3707" i="1"/>
  <c r="AA3707" i="1"/>
  <c r="AB3706" i="1"/>
  <c r="AA3706" i="1"/>
  <c r="AB3705" i="1"/>
  <c r="AA3705" i="1"/>
  <c r="AB3704" i="1"/>
  <c r="AA3704" i="1"/>
  <c r="AB3703" i="1"/>
  <c r="AA3703" i="1"/>
  <c r="AB3702" i="1"/>
  <c r="AA3702" i="1"/>
  <c r="AB3701" i="1"/>
  <c r="AA3701" i="1"/>
  <c r="AB3700" i="1"/>
  <c r="AA3700" i="1"/>
  <c r="AB3699" i="1"/>
  <c r="AA3699" i="1"/>
  <c r="AB3698" i="1"/>
  <c r="AA3698" i="1"/>
  <c r="AB3697" i="1"/>
  <c r="AA3697" i="1"/>
  <c r="AB3696" i="1"/>
  <c r="AA3696" i="1"/>
  <c r="AB3695" i="1"/>
  <c r="AA3695" i="1"/>
  <c r="AB3694" i="1"/>
  <c r="AA3694" i="1"/>
  <c r="AB3693" i="1"/>
  <c r="AA3693" i="1"/>
  <c r="AB3692" i="1"/>
  <c r="AA3692" i="1"/>
  <c r="AB3691" i="1"/>
  <c r="AA3691" i="1"/>
  <c r="AB3690" i="1"/>
  <c r="AA3690" i="1"/>
  <c r="AB3689" i="1"/>
  <c r="AA3689" i="1"/>
  <c r="AB3688" i="1"/>
  <c r="AA3688" i="1"/>
  <c r="AB3687" i="1"/>
  <c r="AA3687" i="1"/>
  <c r="AB3686" i="1"/>
  <c r="AA3686" i="1"/>
  <c r="AB3685" i="1"/>
  <c r="AA3685" i="1"/>
  <c r="AB3684" i="1"/>
  <c r="AA3684" i="1"/>
  <c r="AB3683" i="1"/>
  <c r="AA3683" i="1"/>
  <c r="AB3682" i="1"/>
  <c r="AA3682" i="1"/>
  <c r="AB3681" i="1"/>
  <c r="AA3681" i="1"/>
  <c r="AB3680" i="1"/>
  <c r="AA3680" i="1"/>
  <c r="AB3679" i="1"/>
  <c r="AA3679" i="1"/>
  <c r="AB3678" i="1"/>
  <c r="AA3678" i="1"/>
  <c r="AB3677" i="1"/>
  <c r="AA3677" i="1"/>
  <c r="AB3676" i="1"/>
  <c r="AA3676" i="1"/>
  <c r="AB3675" i="1"/>
  <c r="AA3675" i="1"/>
  <c r="AB3674" i="1"/>
  <c r="AA3674" i="1"/>
  <c r="AB3673" i="1"/>
  <c r="AA3673" i="1"/>
  <c r="AB3672" i="1"/>
  <c r="AA3672" i="1"/>
  <c r="AB3671" i="1"/>
  <c r="AA3671" i="1"/>
  <c r="AB3670" i="1"/>
  <c r="AA3670" i="1"/>
  <c r="AB3669" i="1"/>
  <c r="AA3669" i="1"/>
  <c r="AB3668" i="1"/>
  <c r="AA3668" i="1"/>
  <c r="AB3667" i="1"/>
  <c r="AA3667" i="1"/>
  <c r="AB3666" i="1"/>
  <c r="AA3666" i="1"/>
  <c r="AB3665" i="1"/>
  <c r="AA3665" i="1"/>
  <c r="AB3664" i="1"/>
  <c r="AA3664" i="1"/>
  <c r="AB3663" i="1"/>
  <c r="AA3663" i="1"/>
  <c r="AB3662" i="1"/>
  <c r="AA3662" i="1"/>
  <c r="AB3661" i="1"/>
  <c r="AA3661" i="1"/>
  <c r="AB3660" i="1"/>
  <c r="AA3660" i="1"/>
  <c r="AB3659" i="1"/>
  <c r="AA3659" i="1"/>
  <c r="AB3658" i="1"/>
  <c r="AA3658" i="1"/>
  <c r="AB3657" i="1"/>
  <c r="AA3657" i="1"/>
  <c r="AB3656" i="1"/>
  <c r="AA3656" i="1"/>
  <c r="AB3655" i="1"/>
  <c r="AA3655" i="1"/>
  <c r="AB3654" i="1"/>
  <c r="AA3654" i="1"/>
  <c r="AB3653" i="1"/>
  <c r="AA3653" i="1"/>
  <c r="AB3652" i="1"/>
  <c r="AA3652" i="1"/>
  <c r="AB3651" i="1"/>
  <c r="AA3651" i="1"/>
  <c r="AB3650" i="1"/>
  <c r="AA3650" i="1"/>
  <c r="AB3649" i="1"/>
  <c r="AA3649" i="1"/>
  <c r="AB3648" i="1"/>
  <c r="AA3648" i="1"/>
  <c r="AB3647" i="1"/>
  <c r="AA3647" i="1"/>
  <c r="AB3646" i="1"/>
  <c r="AA3646" i="1"/>
  <c r="AB3645" i="1"/>
  <c r="AA3645" i="1"/>
  <c r="AB3644" i="1"/>
  <c r="AA3644" i="1"/>
  <c r="AB3643" i="1"/>
  <c r="AA3643" i="1"/>
  <c r="AB3642" i="1"/>
  <c r="AA3642" i="1"/>
  <c r="AB3641" i="1"/>
  <c r="AA3641" i="1"/>
  <c r="AB3640" i="1"/>
  <c r="AA3640" i="1"/>
  <c r="AB3639" i="1"/>
  <c r="AA3639" i="1"/>
  <c r="AB3638" i="1"/>
  <c r="AA3638" i="1"/>
  <c r="AB3637" i="1"/>
  <c r="AA3637" i="1"/>
  <c r="AB3636" i="1"/>
  <c r="AA3636" i="1"/>
  <c r="AB3635" i="1"/>
  <c r="AA3635" i="1"/>
  <c r="AB3634" i="1"/>
  <c r="AA3634" i="1"/>
  <c r="AB3633" i="1"/>
  <c r="AA3633" i="1"/>
  <c r="AB3632" i="1"/>
  <c r="AA3632" i="1"/>
  <c r="AB3631" i="1"/>
  <c r="AA3631" i="1"/>
  <c r="AB3630" i="1"/>
  <c r="AA3630" i="1"/>
  <c r="AB3629" i="1"/>
  <c r="AA3629" i="1"/>
  <c r="AB3628" i="1"/>
  <c r="AA3628" i="1"/>
  <c r="AB3627" i="1"/>
  <c r="AA3627" i="1"/>
  <c r="AB3626" i="1"/>
  <c r="AA3626" i="1"/>
  <c r="AB3625" i="1"/>
  <c r="AA3625" i="1"/>
  <c r="AB3624" i="1"/>
  <c r="AA3624" i="1"/>
  <c r="AB3623" i="1"/>
  <c r="AA3623" i="1"/>
  <c r="AB3622" i="1"/>
  <c r="AA3622" i="1"/>
  <c r="AB3621" i="1"/>
  <c r="AA3621" i="1"/>
  <c r="AB3620" i="1"/>
  <c r="AA3620" i="1"/>
  <c r="AB3619" i="1"/>
  <c r="AA3619" i="1"/>
  <c r="AB3618" i="1"/>
  <c r="AA3618" i="1"/>
  <c r="AB3617" i="1"/>
  <c r="AA3617" i="1"/>
  <c r="AB3616" i="1"/>
  <c r="AA3616" i="1"/>
  <c r="AB3615" i="1"/>
  <c r="AA3615" i="1"/>
  <c r="AB3614" i="1"/>
  <c r="AA3614" i="1"/>
  <c r="AB3613" i="1"/>
  <c r="AA3613" i="1"/>
  <c r="AB3612" i="1"/>
  <c r="AA3612" i="1"/>
  <c r="AB3611" i="1"/>
  <c r="AA3611" i="1"/>
  <c r="AB3610" i="1"/>
  <c r="AA3610" i="1"/>
  <c r="AB3609" i="1"/>
  <c r="AA3609" i="1"/>
  <c r="AB3608" i="1"/>
  <c r="AA3608" i="1"/>
  <c r="AB3607" i="1"/>
  <c r="AA3607" i="1"/>
  <c r="AB3606" i="1"/>
  <c r="AA3606" i="1"/>
  <c r="AB3605" i="1"/>
  <c r="AA3605" i="1"/>
  <c r="AB3604" i="1"/>
  <c r="AA3604" i="1"/>
  <c r="AB3603" i="1"/>
  <c r="AA3603" i="1"/>
  <c r="AB3602" i="1"/>
  <c r="AA3602" i="1"/>
  <c r="AB3601" i="1"/>
  <c r="AA3601" i="1"/>
  <c r="AB3600" i="1"/>
  <c r="AA3600" i="1"/>
  <c r="AB3599" i="1"/>
  <c r="AA3599" i="1"/>
  <c r="AB3598" i="1"/>
  <c r="AA3598" i="1"/>
  <c r="AB3597" i="1"/>
  <c r="AA3597" i="1"/>
  <c r="AB3596" i="1"/>
  <c r="AA3596" i="1"/>
  <c r="AB3595" i="1"/>
  <c r="AA3595" i="1"/>
  <c r="AB3594" i="1"/>
  <c r="AA3594" i="1"/>
  <c r="AB3593" i="1"/>
  <c r="AA3593" i="1"/>
  <c r="AB3592" i="1"/>
  <c r="AA3592" i="1"/>
  <c r="AB3591" i="1"/>
  <c r="AA3591" i="1"/>
  <c r="AB3590" i="1"/>
  <c r="AA3590" i="1"/>
  <c r="AB3589" i="1"/>
  <c r="AA3589" i="1"/>
  <c r="AB3588" i="1"/>
  <c r="AA3588" i="1"/>
  <c r="AB3587" i="1"/>
  <c r="AA3587" i="1"/>
  <c r="AB3586" i="1"/>
  <c r="AA3586" i="1"/>
  <c r="AB3585" i="1"/>
  <c r="AA3585" i="1"/>
  <c r="AB3584" i="1"/>
  <c r="AA3584" i="1"/>
  <c r="AB3583" i="1"/>
  <c r="AA3583" i="1"/>
  <c r="AB3582" i="1"/>
  <c r="AA3582" i="1"/>
  <c r="AB3581" i="1"/>
  <c r="AA3581" i="1"/>
  <c r="AB3580" i="1"/>
  <c r="AA3580" i="1"/>
  <c r="AB3579" i="1"/>
  <c r="AA3579" i="1"/>
  <c r="AB3578" i="1"/>
  <c r="AA3578" i="1"/>
  <c r="AB3577" i="1"/>
  <c r="AA3577" i="1"/>
  <c r="AB3576" i="1"/>
  <c r="AA3576" i="1"/>
  <c r="AB3575" i="1"/>
  <c r="AA3575" i="1"/>
  <c r="AB3574" i="1"/>
  <c r="AA3574" i="1"/>
  <c r="AB3573" i="1"/>
  <c r="AA3573" i="1"/>
  <c r="AB3572" i="1"/>
  <c r="AA3572" i="1"/>
  <c r="AB3571" i="1"/>
  <c r="AA3571" i="1"/>
  <c r="AB3570" i="1"/>
  <c r="AA3570" i="1"/>
  <c r="AB3569" i="1"/>
  <c r="AA3569" i="1"/>
  <c r="AB3568" i="1"/>
  <c r="AA3568" i="1"/>
  <c r="AB3567" i="1"/>
  <c r="AA3567" i="1"/>
  <c r="AB3566" i="1"/>
  <c r="AA3566" i="1"/>
  <c r="AB3565" i="1"/>
  <c r="AA3565" i="1"/>
  <c r="AB3564" i="1"/>
  <c r="AA3564" i="1"/>
  <c r="AB3563" i="1"/>
  <c r="AA3563" i="1"/>
  <c r="AB3562" i="1"/>
  <c r="AA3562" i="1"/>
  <c r="AB3561" i="1"/>
  <c r="AA3561" i="1"/>
  <c r="AB3560" i="1"/>
  <c r="AA3560" i="1"/>
  <c r="AB3559" i="1"/>
  <c r="AA3559" i="1"/>
  <c r="AB3558" i="1"/>
  <c r="AA3558" i="1"/>
  <c r="AB3557" i="1"/>
  <c r="AA3557" i="1"/>
  <c r="AB3556" i="1"/>
  <c r="AA3556" i="1"/>
  <c r="AB3555" i="1"/>
  <c r="AA3555" i="1"/>
  <c r="AB3554" i="1"/>
  <c r="AA3554" i="1"/>
  <c r="AB3553" i="1"/>
  <c r="AA3553" i="1"/>
  <c r="AB3552" i="1"/>
  <c r="AA3552" i="1"/>
  <c r="AB3551" i="1"/>
  <c r="AA3551" i="1"/>
  <c r="AB3550" i="1"/>
  <c r="AA3550" i="1"/>
  <c r="AB3549" i="1"/>
  <c r="AA3549" i="1"/>
  <c r="AB3548" i="1"/>
  <c r="AA3548" i="1"/>
  <c r="AB3547" i="1"/>
  <c r="AA3547" i="1"/>
  <c r="AB3546" i="1"/>
  <c r="AA3546" i="1"/>
  <c r="AB3545" i="1"/>
  <c r="AA3545" i="1"/>
  <c r="AB3544" i="1"/>
  <c r="AA3544" i="1"/>
  <c r="AB3543" i="1"/>
  <c r="AA3543" i="1"/>
  <c r="AB3542" i="1"/>
  <c r="AA3542" i="1"/>
  <c r="AB3541" i="1"/>
  <c r="AA3541" i="1"/>
  <c r="AB3540" i="1"/>
  <c r="AA3540" i="1"/>
  <c r="AB3539" i="1"/>
  <c r="AA3539" i="1"/>
  <c r="AB3538" i="1"/>
  <c r="AA3538" i="1"/>
  <c r="AB3537" i="1"/>
  <c r="AA3537" i="1"/>
  <c r="AB3536" i="1"/>
  <c r="AA3536" i="1"/>
  <c r="AB3535" i="1"/>
  <c r="AA3535" i="1"/>
  <c r="AB3534" i="1"/>
  <c r="AA3534" i="1"/>
  <c r="AB3533" i="1"/>
  <c r="AA3533" i="1"/>
  <c r="AB3532" i="1"/>
  <c r="AA3532" i="1"/>
  <c r="AB3531" i="1"/>
  <c r="AA3531" i="1"/>
  <c r="AB3530" i="1"/>
  <c r="AA3530" i="1"/>
  <c r="AB3529" i="1"/>
  <c r="AA3529" i="1"/>
  <c r="AB3528" i="1"/>
  <c r="AA3528" i="1"/>
  <c r="AB3527" i="1"/>
  <c r="AA3527" i="1"/>
  <c r="AB3526" i="1"/>
  <c r="AA3526" i="1"/>
  <c r="AB3525" i="1"/>
  <c r="AA3525" i="1"/>
  <c r="AB3524" i="1"/>
  <c r="AA3524" i="1"/>
  <c r="AB3523" i="1"/>
  <c r="AA3523" i="1"/>
  <c r="AB3522" i="1"/>
  <c r="AA3522" i="1"/>
  <c r="AB3521" i="1"/>
  <c r="AA3521" i="1"/>
  <c r="AB3520" i="1"/>
  <c r="AA3520" i="1"/>
  <c r="AB3519" i="1"/>
  <c r="AA3519" i="1"/>
  <c r="AB3518" i="1"/>
  <c r="AA3518" i="1"/>
  <c r="AB3517" i="1"/>
  <c r="AA3517" i="1"/>
  <c r="AB3516" i="1"/>
  <c r="AA3516" i="1"/>
  <c r="AB3515" i="1"/>
  <c r="AA3515" i="1"/>
  <c r="AB3514" i="1"/>
  <c r="AA3514" i="1"/>
  <c r="AB3513" i="1"/>
  <c r="AA3513" i="1"/>
  <c r="AB3512" i="1"/>
  <c r="AA3512" i="1"/>
  <c r="AB3511" i="1"/>
  <c r="AA3511" i="1"/>
  <c r="AB3510" i="1"/>
  <c r="AA3510" i="1"/>
  <c r="AB3509" i="1"/>
  <c r="AA3509" i="1"/>
  <c r="AB3508" i="1"/>
  <c r="AA3508" i="1"/>
  <c r="AB3507" i="1"/>
  <c r="AA3507" i="1"/>
  <c r="AB3506" i="1"/>
  <c r="AA3506" i="1"/>
  <c r="AB3505" i="1"/>
  <c r="AA3505" i="1"/>
  <c r="AB3504" i="1"/>
  <c r="AA3504" i="1"/>
  <c r="AB3503" i="1"/>
  <c r="AA3503" i="1"/>
  <c r="AB3502" i="1"/>
  <c r="AA3502" i="1"/>
  <c r="AB3501" i="1"/>
  <c r="AA3501" i="1"/>
  <c r="AB3500" i="1"/>
  <c r="AA3500" i="1"/>
  <c r="AB3499" i="1"/>
  <c r="AA3499" i="1"/>
  <c r="AB3498" i="1"/>
  <c r="AA3498" i="1"/>
  <c r="AB3497" i="1"/>
  <c r="AA3497" i="1"/>
  <c r="AB3496" i="1"/>
  <c r="AA3496" i="1"/>
  <c r="AB3495" i="1"/>
  <c r="AA3495" i="1"/>
  <c r="AB3494" i="1"/>
  <c r="AA3494" i="1"/>
  <c r="AB3493" i="1"/>
  <c r="AA3493" i="1"/>
  <c r="AB3492" i="1"/>
  <c r="AA3492" i="1"/>
  <c r="AB3491" i="1"/>
  <c r="AA3491" i="1"/>
  <c r="AB3490" i="1"/>
  <c r="AA3490" i="1"/>
  <c r="AB3489" i="1"/>
  <c r="AA3489" i="1"/>
  <c r="AB3488" i="1"/>
  <c r="AA3488" i="1"/>
  <c r="AB3487" i="1"/>
  <c r="AA3487" i="1"/>
  <c r="AB3486" i="1"/>
  <c r="AA3486" i="1"/>
  <c r="AB3485" i="1"/>
  <c r="AA3485" i="1"/>
  <c r="AB3484" i="1"/>
  <c r="AA3484" i="1"/>
  <c r="AB3483" i="1"/>
  <c r="AA3483" i="1"/>
  <c r="AB3482" i="1"/>
  <c r="AA3482" i="1"/>
  <c r="AB3481" i="1"/>
  <c r="AA3481" i="1"/>
  <c r="AB3480" i="1"/>
  <c r="AA3480" i="1"/>
  <c r="AB3479" i="1"/>
  <c r="AA3479" i="1"/>
  <c r="AB3478" i="1"/>
  <c r="AA3478" i="1"/>
  <c r="AB3477" i="1"/>
  <c r="AA3477" i="1"/>
  <c r="AB3476" i="1"/>
  <c r="AA3476" i="1"/>
  <c r="AB3475" i="1"/>
  <c r="AA3475" i="1"/>
  <c r="AB3474" i="1"/>
  <c r="AA3474" i="1"/>
  <c r="AB3473" i="1"/>
  <c r="AA3473" i="1"/>
  <c r="AB3472" i="1"/>
  <c r="AA3472" i="1"/>
  <c r="AB3471" i="1"/>
  <c r="AA3471" i="1"/>
  <c r="AB3470" i="1"/>
  <c r="AA3470" i="1"/>
  <c r="AB3469" i="1"/>
  <c r="AA3469" i="1"/>
  <c r="AB3468" i="1"/>
  <c r="AA3468" i="1"/>
  <c r="AB3467" i="1"/>
  <c r="AA3467" i="1"/>
  <c r="AB3466" i="1"/>
  <c r="AA3466" i="1"/>
  <c r="AB3465" i="1"/>
  <c r="AA3465" i="1"/>
  <c r="AB3464" i="1"/>
  <c r="AA3464" i="1"/>
  <c r="AB3463" i="1"/>
  <c r="AA3463" i="1"/>
  <c r="AB3462" i="1"/>
  <c r="AA3462" i="1"/>
  <c r="AB3461" i="1"/>
  <c r="AA3461" i="1"/>
  <c r="AB3460" i="1"/>
  <c r="AA3460" i="1"/>
  <c r="AB3459" i="1"/>
  <c r="AA3459" i="1"/>
  <c r="AB3458" i="1"/>
  <c r="AA3458" i="1"/>
  <c r="AB3457" i="1"/>
  <c r="AA3457" i="1"/>
  <c r="AB3456" i="1"/>
  <c r="AA3456" i="1"/>
  <c r="AB3455" i="1"/>
  <c r="AA3455" i="1"/>
  <c r="AB3454" i="1"/>
  <c r="AA3454" i="1"/>
  <c r="AB3453" i="1"/>
  <c r="AA3453" i="1"/>
  <c r="AB3452" i="1"/>
  <c r="AA3452" i="1"/>
  <c r="AB3451" i="1"/>
  <c r="AA3451" i="1"/>
  <c r="AB3450" i="1"/>
  <c r="AA3450" i="1"/>
  <c r="AB3449" i="1"/>
  <c r="AA3449" i="1"/>
  <c r="AB3448" i="1"/>
  <c r="AA3448" i="1"/>
  <c r="AB3447" i="1"/>
  <c r="AA3447" i="1"/>
  <c r="AB3446" i="1"/>
  <c r="AA3446" i="1"/>
  <c r="AB3445" i="1"/>
  <c r="AA3445" i="1"/>
  <c r="AB3444" i="1"/>
  <c r="AA3444" i="1"/>
  <c r="AB3443" i="1"/>
  <c r="AA3443" i="1"/>
  <c r="AB3442" i="1"/>
  <c r="AA3442" i="1"/>
  <c r="AB3441" i="1"/>
  <c r="AA3441" i="1"/>
  <c r="AB3440" i="1"/>
  <c r="AA3440" i="1"/>
  <c r="AB3439" i="1"/>
  <c r="AA3439" i="1"/>
  <c r="AB3438" i="1"/>
  <c r="AA3438" i="1"/>
  <c r="AB3437" i="1"/>
  <c r="AA3437" i="1"/>
  <c r="AB3436" i="1"/>
  <c r="AA3436" i="1"/>
  <c r="AB3435" i="1"/>
  <c r="AA3435" i="1"/>
  <c r="AB3434" i="1"/>
  <c r="AA3434" i="1"/>
  <c r="AB3433" i="1"/>
  <c r="AA3433" i="1"/>
  <c r="AB3432" i="1"/>
  <c r="AA3432" i="1"/>
  <c r="AB3431" i="1"/>
  <c r="AA3431" i="1"/>
  <c r="AB3430" i="1"/>
  <c r="AA3430" i="1"/>
  <c r="AB3429" i="1"/>
  <c r="AA3429" i="1"/>
  <c r="AB3428" i="1"/>
  <c r="AA3428" i="1"/>
  <c r="AB3427" i="1"/>
  <c r="AA3427" i="1"/>
  <c r="AB3426" i="1"/>
  <c r="AA3426" i="1"/>
  <c r="AB3425" i="1"/>
  <c r="AA3425" i="1"/>
  <c r="AB3424" i="1"/>
  <c r="AA3424" i="1"/>
  <c r="AB3423" i="1"/>
  <c r="AA3423" i="1"/>
  <c r="AB3422" i="1"/>
  <c r="AA3422" i="1"/>
  <c r="AB3421" i="1"/>
  <c r="AA3421" i="1"/>
  <c r="AB3420" i="1"/>
  <c r="AA3420" i="1"/>
  <c r="AB3419" i="1"/>
  <c r="AA3419" i="1"/>
  <c r="AB3418" i="1"/>
  <c r="AA3418" i="1"/>
  <c r="AB3417" i="1"/>
  <c r="AA3417" i="1"/>
  <c r="AB3416" i="1"/>
  <c r="AA3416" i="1"/>
  <c r="AB3415" i="1"/>
  <c r="AA3415" i="1"/>
  <c r="AB3414" i="1"/>
  <c r="AA3414" i="1"/>
  <c r="AB3413" i="1"/>
  <c r="AA3413" i="1"/>
  <c r="AB3412" i="1"/>
  <c r="AA3412" i="1"/>
  <c r="AB3411" i="1"/>
  <c r="AA3411" i="1"/>
  <c r="AB3410" i="1"/>
  <c r="AA3410" i="1"/>
  <c r="AB3409" i="1"/>
  <c r="AA3409" i="1"/>
  <c r="AB3408" i="1"/>
  <c r="AA3408" i="1"/>
  <c r="AB3407" i="1"/>
  <c r="AA3407" i="1"/>
  <c r="AB3406" i="1"/>
  <c r="AA3406" i="1"/>
  <c r="AB3405" i="1"/>
  <c r="AA3405" i="1"/>
  <c r="AB3404" i="1"/>
  <c r="AA3404" i="1"/>
  <c r="AB3403" i="1"/>
  <c r="AA3403" i="1"/>
  <c r="AB3402" i="1"/>
  <c r="AA3402" i="1"/>
  <c r="AB3401" i="1"/>
  <c r="AA3401" i="1"/>
  <c r="AB3400" i="1"/>
  <c r="AA3400" i="1"/>
  <c r="AB3399" i="1"/>
  <c r="AA3399" i="1"/>
  <c r="AB3398" i="1"/>
  <c r="AA3398" i="1"/>
  <c r="AB3397" i="1"/>
  <c r="AA3397" i="1"/>
  <c r="AB3396" i="1"/>
  <c r="AA3396" i="1"/>
  <c r="AB3395" i="1"/>
  <c r="AA3395" i="1"/>
  <c r="AB3394" i="1"/>
  <c r="AA3394" i="1"/>
  <c r="AB3393" i="1"/>
  <c r="AA3393" i="1"/>
  <c r="AB3392" i="1"/>
  <c r="AA3392" i="1"/>
  <c r="AB3391" i="1"/>
  <c r="AA3391" i="1"/>
  <c r="AB3390" i="1"/>
  <c r="AA3390" i="1"/>
  <c r="AB3389" i="1"/>
  <c r="AA3389" i="1"/>
  <c r="AB3388" i="1"/>
  <c r="AA3388" i="1"/>
  <c r="AB3387" i="1"/>
  <c r="AA3387" i="1"/>
  <c r="AB3386" i="1"/>
  <c r="AA3386" i="1"/>
  <c r="AB3385" i="1"/>
  <c r="AA3385" i="1"/>
  <c r="AB3384" i="1"/>
  <c r="AA3384" i="1"/>
  <c r="AB3383" i="1"/>
  <c r="AA3383" i="1"/>
  <c r="AB3382" i="1"/>
  <c r="AA3382" i="1"/>
  <c r="AB3381" i="1"/>
  <c r="AA3381" i="1"/>
  <c r="AB3380" i="1"/>
  <c r="AA3380" i="1"/>
  <c r="AB3379" i="1"/>
  <c r="AA3379" i="1"/>
  <c r="AB3378" i="1"/>
  <c r="AA3378" i="1"/>
  <c r="AB3377" i="1"/>
  <c r="AA3377" i="1"/>
  <c r="AB3376" i="1"/>
  <c r="AA3376" i="1"/>
  <c r="AB3375" i="1"/>
  <c r="AA3375" i="1"/>
  <c r="AB3374" i="1"/>
  <c r="AA3374" i="1"/>
  <c r="AB3373" i="1"/>
  <c r="AA3373" i="1"/>
  <c r="AB3372" i="1"/>
  <c r="AA3372" i="1"/>
  <c r="AB3371" i="1"/>
  <c r="AA3371" i="1"/>
  <c r="AB3370" i="1"/>
  <c r="AA3370" i="1"/>
  <c r="AB3369" i="1"/>
  <c r="AA3369" i="1"/>
  <c r="AB3368" i="1"/>
  <c r="AA3368" i="1"/>
  <c r="AB3367" i="1"/>
  <c r="AA3367" i="1"/>
  <c r="AB3366" i="1"/>
  <c r="AA3366" i="1"/>
  <c r="AB3365" i="1"/>
  <c r="AA3365" i="1"/>
  <c r="AB3364" i="1"/>
  <c r="AA3364" i="1"/>
  <c r="AB3363" i="1"/>
  <c r="AA3363" i="1"/>
  <c r="AB3362" i="1"/>
  <c r="AA3362" i="1"/>
  <c r="AB3361" i="1"/>
  <c r="AA3361" i="1"/>
  <c r="AB3360" i="1"/>
  <c r="AA3360" i="1"/>
  <c r="AB3359" i="1"/>
  <c r="AA3359" i="1"/>
  <c r="AB3358" i="1"/>
  <c r="AA3358" i="1"/>
  <c r="AB3357" i="1"/>
  <c r="AA3357" i="1"/>
  <c r="AB3356" i="1"/>
  <c r="AA3356" i="1"/>
  <c r="AB3355" i="1"/>
  <c r="AA3355" i="1"/>
  <c r="AB3354" i="1"/>
  <c r="AA3354" i="1"/>
  <c r="AB3353" i="1"/>
  <c r="AA3353" i="1"/>
  <c r="AB3352" i="1"/>
  <c r="AA3352" i="1"/>
  <c r="AB3351" i="1"/>
  <c r="AA3351" i="1"/>
  <c r="AB3350" i="1"/>
  <c r="AA3350" i="1"/>
  <c r="AB3349" i="1"/>
  <c r="AA3349" i="1"/>
  <c r="AB3348" i="1"/>
  <c r="AA3348" i="1"/>
  <c r="AB3347" i="1"/>
  <c r="AA3347" i="1"/>
  <c r="AB3346" i="1"/>
  <c r="AA3346" i="1"/>
  <c r="AB3345" i="1"/>
  <c r="AA3345" i="1"/>
  <c r="AB3344" i="1"/>
  <c r="AA3344" i="1"/>
  <c r="AB3343" i="1"/>
  <c r="AA3343" i="1"/>
  <c r="AB3342" i="1"/>
  <c r="AA3342" i="1"/>
  <c r="AB3341" i="1"/>
  <c r="AA3341" i="1"/>
  <c r="AB3340" i="1"/>
  <c r="AA3340" i="1"/>
  <c r="AB3339" i="1"/>
  <c r="AA3339" i="1"/>
  <c r="AB3338" i="1"/>
  <c r="AA3338" i="1"/>
  <c r="AB3337" i="1"/>
  <c r="AA3337" i="1"/>
  <c r="AB3336" i="1"/>
  <c r="AA3336" i="1"/>
  <c r="AB3335" i="1"/>
  <c r="AA3335" i="1"/>
  <c r="AB3334" i="1"/>
  <c r="AA3334" i="1"/>
  <c r="AB3333" i="1"/>
  <c r="AA3333" i="1"/>
  <c r="AB3332" i="1"/>
  <c r="AA3332" i="1"/>
  <c r="AB3331" i="1"/>
  <c r="AA3331" i="1"/>
  <c r="AB3330" i="1"/>
  <c r="AA3330" i="1"/>
  <c r="AB3329" i="1"/>
  <c r="AA3329" i="1"/>
  <c r="AB3328" i="1"/>
  <c r="AA3328" i="1"/>
  <c r="AB3327" i="1"/>
  <c r="AA3327" i="1"/>
  <c r="AB3326" i="1"/>
  <c r="AA3326" i="1"/>
  <c r="AB3325" i="1"/>
  <c r="AA3325" i="1"/>
  <c r="AB3324" i="1"/>
  <c r="AA3324" i="1"/>
  <c r="AB3323" i="1"/>
  <c r="AA3323" i="1"/>
  <c r="AB3322" i="1"/>
  <c r="AA3322" i="1"/>
  <c r="AB3321" i="1"/>
  <c r="AA3321" i="1"/>
  <c r="AB3320" i="1"/>
  <c r="AA3320" i="1"/>
  <c r="AB3319" i="1"/>
  <c r="AA3319" i="1"/>
  <c r="AB3318" i="1"/>
  <c r="AA3318" i="1"/>
  <c r="AB3317" i="1"/>
  <c r="AA3317" i="1"/>
  <c r="AB3316" i="1"/>
  <c r="AA3316" i="1"/>
  <c r="AB3315" i="1"/>
  <c r="AA3315" i="1"/>
  <c r="AB3314" i="1"/>
  <c r="AA3314" i="1"/>
  <c r="AB3313" i="1"/>
  <c r="AA3313" i="1"/>
  <c r="AB3312" i="1"/>
  <c r="AA3312" i="1"/>
  <c r="AB3311" i="1"/>
  <c r="AA3311" i="1"/>
  <c r="AB3310" i="1"/>
  <c r="AA3310" i="1"/>
  <c r="AB3309" i="1"/>
  <c r="AA3309" i="1"/>
  <c r="AB3308" i="1"/>
  <c r="AA3308" i="1"/>
  <c r="AB3307" i="1"/>
  <c r="AA3307" i="1"/>
  <c r="AB3306" i="1"/>
  <c r="AA3306" i="1"/>
  <c r="AB3305" i="1"/>
  <c r="AA3305" i="1"/>
  <c r="AB3304" i="1"/>
  <c r="AA3304" i="1"/>
  <c r="AB3303" i="1"/>
  <c r="AA3303" i="1"/>
  <c r="AB3302" i="1"/>
  <c r="AA3302" i="1"/>
  <c r="AB3301" i="1"/>
  <c r="AA3301" i="1"/>
  <c r="AB3300" i="1"/>
  <c r="AA3300" i="1"/>
  <c r="AB3299" i="1"/>
  <c r="AA3299" i="1"/>
  <c r="AB3298" i="1"/>
  <c r="AA3298" i="1"/>
  <c r="AB3297" i="1"/>
  <c r="AA3297" i="1"/>
  <c r="AB3296" i="1"/>
  <c r="AA3296" i="1"/>
  <c r="AB3295" i="1"/>
  <c r="AA3295" i="1"/>
  <c r="AB3294" i="1"/>
  <c r="AA3294" i="1"/>
  <c r="AB3293" i="1"/>
  <c r="AA3293" i="1"/>
  <c r="AB3292" i="1"/>
  <c r="AA3292" i="1"/>
  <c r="AB3291" i="1"/>
  <c r="AA3291" i="1"/>
  <c r="AB3290" i="1"/>
  <c r="AA3290" i="1"/>
  <c r="AB3289" i="1"/>
  <c r="AA3289" i="1"/>
  <c r="AB3288" i="1"/>
  <c r="AA3288" i="1"/>
  <c r="AB3287" i="1"/>
  <c r="AA3287" i="1"/>
  <c r="AB3286" i="1"/>
  <c r="AA3286" i="1"/>
  <c r="AB3285" i="1"/>
  <c r="AA3285" i="1"/>
  <c r="AB3284" i="1"/>
  <c r="AA3284" i="1"/>
  <c r="AB3283" i="1"/>
  <c r="AA3283" i="1"/>
  <c r="AB3282" i="1"/>
  <c r="AA3282" i="1"/>
  <c r="AB3281" i="1"/>
  <c r="AA3281" i="1"/>
  <c r="AB3280" i="1"/>
  <c r="AA3280" i="1"/>
  <c r="AB3279" i="1"/>
  <c r="AA3279" i="1"/>
  <c r="AB3278" i="1"/>
  <c r="AA3278" i="1"/>
  <c r="AB3277" i="1"/>
  <c r="AA3277" i="1"/>
  <c r="AB3276" i="1"/>
  <c r="AA3276" i="1"/>
  <c r="AB3275" i="1"/>
  <c r="AA3275" i="1"/>
  <c r="AB3274" i="1"/>
  <c r="AA3274" i="1"/>
  <c r="AB3273" i="1"/>
  <c r="AA3273" i="1"/>
  <c r="AB3272" i="1"/>
  <c r="AA3272" i="1"/>
  <c r="AB3271" i="1"/>
  <c r="AA3271" i="1"/>
  <c r="AB3270" i="1"/>
  <c r="AA3270" i="1"/>
  <c r="AB3269" i="1"/>
  <c r="AA3269" i="1"/>
  <c r="AB3268" i="1"/>
  <c r="AA3268" i="1"/>
  <c r="AB3267" i="1"/>
  <c r="AA3267" i="1"/>
  <c r="AB3266" i="1"/>
  <c r="AA3266" i="1"/>
  <c r="AB3265" i="1"/>
  <c r="AA3265" i="1"/>
  <c r="AB3264" i="1"/>
  <c r="AA3264" i="1"/>
  <c r="AB3263" i="1"/>
  <c r="AA3263" i="1"/>
  <c r="AB3262" i="1"/>
  <c r="AA3262" i="1"/>
  <c r="AB3261" i="1"/>
  <c r="AA3261" i="1"/>
  <c r="AB3260" i="1"/>
  <c r="AA3260" i="1"/>
  <c r="AB3259" i="1"/>
  <c r="AA3259" i="1"/>
  <c r="AB3258" i="1"/>
  <c r="AA3258" i="1"/>
  <c r="AB3257" i="1"/>
  <c r="AA3257" i="1"/>
  <c r="AB3256" i="1"/>
  <c r="AA3256" i="1"/>
  <c r="AB3255" i="1"/>
  <c r="AA3255" i="1"/>
  <c r="AB3254" i="1"/>
  <c r="AA3254" i="1"/>
  <c r="AB3253" i="1"/>
  <c r="AA3253" i="1"/>
  <c r="AB3252" i="1"/>
  <c r="AA3252" i="1"/>
  <c r="AB3251" i="1"/>
  <c r="AA3251" i="1"/>
  <c r="AB3250" i="1"/>
  <c r="AA3250" i="1"/>
  <c r="AB3249" i="1"/>
  <c r="AA3249" i="1"/>
  <c r="AB3248" i="1"/>
  <c r="AA3248" i="1"/>
  <c r="AB3247" i="1"/>
  <c r="AA3247" i="1"/>
  <c r="AB3246" i="1"/>
  <c r="AA3246" i="1"/>
  <c r="AB3245" i="1"/>
  <c r="AA3245" i="1"/>
  <c r="AB3244" i="1"/>
  <c r="AA3244" i="1"/>
  <c r="AB3243" i="1"/>
  <c r="AA3243" i="1"/>
  <c r="AB3242" i="1"/>
  <c r="AA3242" i="1"/>
  <c r="AB3241" i="1"/>
  <c r="AA3241" i="1"/>
  <c r="AB3240" i="1"/>
  <c r="AA3240" i="1"/>
  <c r="AB3239" i="1"/>
  <c r="AA3239" i="1"/>
  <c r="AB3238" i="1"/>
  <c r="AA3238" i="1"/>
  <c r="AB3237" i="1"/>
  <c r="AA3237" i="1"/>
  <c r="AB3236" i="1"/>
  <c r="AA3236" i="1"/>
  <c r="AB3235" i="1"/>
  <c r="AA3235" i="1"/>
  <c r="AB3234" i="1"/>
  <c r="AA3234" i="1"/>
  <c r="AB3233" i="1"/>
  <c r="AA3233" i="1"/>
  <c r="AB3232" i="1"/>
  <c r="AA3232" i="1"/>
  <c r="AB3231" i="1"/>
  <c r="AA3231" i="1"/>
  <c r="AB3230" i="1"/>
  <c r="AA3230" i="1"/>
  <c r="AB3229" i="1"/>
  <c r="AA3229" i="1"/>
  <c r="AB3228" i="1"/>
  <c r="AA3228" i="1"/>
  <c r="AB3227" i="1"/>
  <c r="AA3227" i="1"/>
  <c r="AB3226" i="1"/>
  <c r="AA3226" i="1"/>
  <c r="AB3225" i="1"/>
  <c r="AA3225" i="1"/>
  <c r="AB3224" i="1"/>
  <c r="AA3224" i="1"/>
  <c r="AB3223" i="1"/>
  <c r="AA3223" i="1"/>
  <c r="AB3222" i="1"/>
  <c r="AA3222" i="1"/>
  <c r="AB3221" i="1"/>
  <c r="AA3221" i="1"/>
  <c r="AB3220" i="1"/>
  <c r="AA3220" i="1"/>
  <c r="AB3219" i="1"/>
  <c r="AA3219" i="1"/>
  <c r="AB3218" i="1"/>
  <c r="AA3218" i="1"/>
  <c r="AB3217" i="1"/>
  <c r="AA3217" i="1"/>
  <c r="AB3216" i="1"/>
  <c r="AA3216" i="1"/>
  <c r="AB3215" i="1"/>
  <c r="AA3215" i="1"/>
  <c r="AB3214" i="1"/>
  <c r="AA3214" i="1"/>
  <c r="AB3213" i="1"/>
  <c r="AA3213" i="1"/>
  <c r="AB3212" i="1"/>
  <c r="AA3212" i="1"/>
  <c r="AB3211" i="1"/>
  <c r="AA3211" i="1"/>
  <c r="AB3210" i="1"/>
  <c r="AA3210" i="1"/>
  <c r="AB3209" i="1"/>
  <c r="AA3209" i="1"/>
  <c r="AB3208" i="1"/>
  <c r="AA3208" i="1"/>
  <c r="AB3207" i="1"/>
  <c r="AA3207" i="1"/>
  <c r="AB3206" i="1"/>
  <c r="AA3206" i="1"/>
  <c r="AB3205" i="1"/>
  <c r="AA3205" i="1"/>
  <c r="AB3204" i="1"/>
  <c r="AA3204" i="1"/>
  <c r="AB3203" i="1"/>
  <c r="AA3203" i="1"/>
  <c r="AB3202" i="1"/>
  <c r="AA3202" i="1"/>
  <c r="AB3201" i="1"/>
  <c r="AA3201" i="1"/>
  <c r="AB3200" i="1"/>
  <c r="AA3200" i="1"/>
  <c r="AB3199" i="1"/>
  <c r="AA3199" i="1"/>
  <c r="AB3198" i="1"/>
  <c r="AA3198" i="1"/>
  <c r="AB3197" i="1"/>
  <c r="AA3197" i="1"/>
  <c r="AB3196" i="1"/>
  <c r="AA3196" i="1"/>
  <c r="AB3195" i="1"/>
  <c r="AA3195" i="1"/>
  <c r="AB3194" i="1"/>
  <c r="AA3194" i="1"/>
  <c r="AB3193" i="1"/>
  <c r="AA3193" i="1"/>
  <c r="AB3192" i="1"/>
  <c r="AA3192" i="1"/>
  <c r="AB3191" i="1"/>
  <c r="AA3191" i="1"/>
  <c r="AB3190" i="1"/>
  <c r="AA3190" i="1"/>
  <c r="AB3189" i="1"/>
  <c r="AA3189" i="1"/>
  <c r="AB3188" i="1"/>
  <c r="AA3188" i="1"/>
  <c r="AB3187" i="1"/>
  <c r="AA3187" i="1"/>
  <c r="AB3186" i="1"/>
  <c r="AA3186" i="1"/>
  <c r="AB3185" i="1"/>
  <c r="AA3185" i="1"/>
  <c r="AB3184" i="1"/>
  <c r="AA3184" i="1"/>
  <c r="AB3183" i="1"/>
  <c r="AA3183" i="1"/>
  <c r="AB3182" i="1"/>
  <c r="AA3182" i="1"/>
  <c r="AB3181" i="1"/>
  <c r="AA3181" i="1"/>
  <c r="AB3180" i="1"/>
  <c r="AA3180" i="1"/>
  <c r="AB3179" i="1"/>
  <c r="AA3179" i="1"/>
  <c r="AB3178" i="1"/>
  <c r="AA3178" i="1"/>
  <c r="AB3177" i="1"/>
  <c r="AA3177" i="1"/>
  <c r="AB3176" i="1"/>
  <c r="AA3176" i="1"/>
  <c r="AB3175" i="1"/>
  <c r="AA3175" i="1"/>
  <c r="AB3174" i="1"/>
  <c r="AA3174" i="1"/>
  <c r="AB3173" i="1"/>
  <c r="AA3173" i="1"/>
  <c r="AB3172" i="1"/>
  <c r="AA3172" i="1"/>
  <c r="AB3171" i="1"/>
  <c r="AA3171" i="1"/>
  <c r="AB3170" i="1"/>
  <c r="AA3170" i="1"/>
  <c r="AB3169" i="1"/>
  <c r="AA3169" i="1"/>
  <c r="AB3168" i="1"/>
  <c r="AA3168" i="1"/>
  <c r="AB3167" i="1"/>
  <c r="AA3167" i="1"/>
  <c r="AB3166" i="1"/>
  <c r="AA3166" i="1"/>
  <c r="AB3165" i="1"/>
  <c r="AA3165" i="1"/>
  <c r="AB3164" i="1"/>
  <c r="AA3164" i="1"/>
  <c r="AB3163" i="1"/>
  <c r="AA3163" i="1"/>
  <c r="AB3162" i="1"/>
  <c r="AA3162" i="1"/>
  <c r="AB3161" i="1"/>
  <c r="AA3161" i="1"/>
  <c r="AB3160" i="1"/>
  <c r="AA3160" i="1"/>
  <c r="AB3159" i="1"/>
  <c r="AA3159" i="1"/>
  <c r="AB3158" i="1"/>
  <c r="AA3158" i="1"/>
  <c r="AB3157" i="1"/>
  <c r="AA3157" i="1"/>
  <c r="AB3156" i="1"/>
  <c r="AA3156" i="1"/>
  <c r="AB3155" i="1"/>
  <c r="AA3155" i="1"/>
  <c r="AB3154" i="1"/>
  <c r="AA3154" i="1"/>
  <c r="AB3153" i="1"/>
  <c r="AA3153" i="1"/>
  <c r="AB3152" i="1"/>
  <c r="AA3152" i="1"/>
  <c r="AB3151" i="1"/>
  <c r="AA3151" i="1"/>
  <c r="AB3150" i="1"/>
  <c r="AA3150" i="1"/>
  <c r="AB3149" i="1"/>
  <c r="AA3149" i="1"/>
  <c r="AB3148" i="1"/>
  <c r="AA3148" i="1"/>
  <c r="AB3147" i="1"/>
  <c r="AA3147" i="1"/>
  <c r="AB3146" i="1"/>
  <c r="AA3146" i="1"/>
  <c r="AB3145" i="1"/>
  <c r="AA3145" i="1"/>
  <c r="AB3144" i="1"/>
  <c r="AA3144" i="1"/>
  <c r="AB3143" i="1"/>
  <c r="AA3143" i="1"/>
  <c r="AB3142" i="1"/>
  <c r="AA3142" i="1"/>
  <c r="AB3141" i="1"/>
  <c r="AA3141" i="1"/>
  <c r="AB3140" i="1"/>
  <c r="AA3140" i="1"/>
  <c r="AB3139" i="1"/>
  <c r="AA3139" i="1"/>
  <c r="AB3138" i="1"/>
  <c r="AA3138" i="1"/>
  <c r="AB3137" i="1"/>
  <c r="AA3137" i="1"/>
  <c r="AB3136" i="1"/>
  <c r="AA3136" i="1"/>
  <c r="AB3135" i="1"/>
  <c r="AA3135" i="1"/>
  <c r="AB3134" i="1"/>
  <c r="AA3134" i="1"/>
  <c r="AB3133" i="1"/>
  <c r="AA3133" i="1"/>
  <c r="AB3132" i="1"/>
  <c r="AA3132" i="1"/>
  <c r="AB3131" i="1"/>
  <c r="AA3131" i="1"/>
  <c r="AB3130" i="1"/>
  <c r="AA3130" i="1"/>
  <c r="AB3129" i="1"/>
  <c r="AA3129" i="1"/>
  <c r="AB3128" i="1"/>
  <c r="AA3128" i="1"/>
  <c r="AB3127" i="1"/>
  <c r="AA3127" i="1"/>
  <c r="AB3126" i="1"/>
  <c r="AA3126" i="1"/>
  <c r="AB3125" i="1"/>
  <c r="AA3125" i="1"/>
  <c r="AB3124" i="1"/>
  <c r="AA3124" i="1"/>
  <c r="AB3123" i="1"/>
  <c r="AA3123" i="1"/>
  <c r="AB3122" i="1"/>
  <c r="AA3122" i="1"/>
  <c r="AB3121" i="1"/>
  <c r="AA3121" i="1"/>
  <c r="AB3120" i="1"/>
  <c r="AA3120" i="1"/>
  <c r="AB3119" i="1"/>
  <c r="AA3119" i="1"/>
  <c r="AB3118" i="1"/>
  <c r="AA3118" i="1"/>
  <c r="AB3117" i="1"/>
  <c r="AA3117" i="1"/>
  <c r="AB3116" i="1"/>
  <c r="AA3116" i="1"/>
  <c r="AB3115" i="1"/>
  <c r="AA3115" i="1"/>
  <c r="AB3114" i="1"/>
  <c r="AA3114" i="1"/>
  <c r="AB3113" i="1"/>
  <c r="AA3113" i="1"/>
  <c r="AB3112" i="1"/>
  <c r="AA3112" i="1"/>
  <c r="AB3111" i="1"/>
  <c r="AA3111" i="1"/>
  <c r="AB3110" i="1"/>
  <c r="AA3110" i="1"/>
  <c r="AB3109" i="1"/>
  <c r="AA3109" i="1"/>
  <c r="AB3108" i="1"/>
  <c r="AA3108" i="1"/>
  <c r="AB3107" i="1"/>
  <c r="AA3107" i="1"/>
  <c r="AB3106" i="1"/>
  <c r="AA3106" i="1"/>
  <c r="AB3105" i="1"/>
  <c r="AA3105" i="1"/>
  <c r="AB3104" i="1"/>
  <c r="AA3104" i="1"/>
  <c r="AB3103" i="1"/>
  <c r="AA3103" i="1"/>
  <c r="AB3102" i="1"/>
  <c r="AA3102" i="1"/>
  <c r="AB3101" i="1"/>
  <c r="AA3101" i="1"/>
  <c r="AB3100" i="1"/>
  <c r="AA3100" i="1"/>
  <c r="AB3099" i="1"/>
  <c r="AA3099" i="1"/>
  <c r="AB3098" i="1"/>
  <c r="AA3098" i="1"/>
  <c r="AB3097" i="1"/>
  <c r="AA3097" i="1"/>
  <c r="AB3096" i="1"/>
  <c r="AA3096" i="1"/>
  <c r="AB3095" i="1"/>
  <c r="AA3095" i="1"/>
  <c r="AB3094" i="1"/>
  <c r="AA3094" i="1"/>
  <c r="AB3093" i="1"/>
  <c r="AA3093" i="1"/>
  <c r="AB3092" i="1"/>
  <c r="AA3092" i="1"/>
  <c r="AB3091" i="1"/>
  <c r="AA3091" i="1"/>
  <c r="AB3090" i="1"/>
  <c r="AA3090" i="1"/>
  <c r="AB3089" i="1"/>
  <c r="AA3089" i="1"/>
  <c r="AB3088" i="1"/>
  <c r="AA3088" i="1"/>
  <c r="AB3087" i="1"/>
  <c r="AA3087" i="1"/>
  <c r="AB3086" i="1"/>
  <c r="AA3086" i="1"/>
  <c r="AB3085" i="1"/>
  <c r="AA3085" i="1"/>
  <c r="AB3084" i="1"/>
  <c r="AA3084" i="1"/>
  <c r="AB3083" i="1"/>
  <c r="AA3083" i="1"/>
  <c r="AB3082" i="1"/>
  <c r="AA3082" i="1"/>
  <c r="AB3081" i="1"/>
  <c r="AA3081" i="1"/>
  <c r="AB3080" i="1"/>
  <c r="AA3080" i="1"/>
  <c r="AB3079" i="1"/>
  <c r="AA3079" i="1"/>
  <c r="AB3078" i="1"/>
  <c r="AA3078" i="1"/>
  <c r="AB3077" i="1"/>
  <c r="AA3077" i="1"/>
  <c r="AB3076" i="1"/>
  <c r="AA3076" i="1"/>
  <c r="AB3075" i="1"/>
  <c r="AA3075" i="1"/>
  <c r="AB3074" i="1"/>
  <c r="AA3074" i="1"/>
  <c r="AB3073" i="1"/>
  <c r="AA3073" i="1"/>
  <c r="AB3072" i="1"/>
  <c r="AA3072" i="1"/>
  <c r="AB3071" i="1"/>
  <c r="AA3071" i="1"/>
  <c r="AB3070" i="1"/>
  <c r="AA3070" i="1"/>
  <c r="AB3069" i="1"/>
  <c r="AA3069" i="1"/>
  <c r="AB3068" i="1"/>
  <c r="AA3068" i="1"/>
  <c r="AB3067" i="1"/>
  <c r="AA3067" i="1"/>
  <c r="AB3066" i="1"/>
  <c r="AA3066" i="1"/>
  <c r="AB3065" i="1"/>
  <c r="AA3065" i="1"/>
  <c r="AB3064" i="1"/>
  <c r="AA3064" i="1"/>
  <c r="AB3063" i="1"/>
  <c r="AA3063" i="1"/>
  <c r="AB3062" i="1"/>
  <c r="AA3062" i="1"/>
  <c r="AB3061" i="1"/>
  <c r="AA3061" i="1"/>
  <c r="AB3060" i="1"/>
  <c r="AA3060" i="1"/>
  <c r="AB3059" i="1"/>
  <c r="AA3059" i="1"/>
  <c r="AB3058" i="1"/>
  <c r="AA3058" i="1"/>
  <c r="AB3057" i="1"/>
  <c r="AA3057" i="1"/>
  <c r="AB3056" i="1"/>
  <c r="AA3056" i="1"/>
  <c r="AB3055" i="1"/>
  <c r="AA3055" i="1"/>
  <c r="AB3054" i="1"/>
  <c r="AA3054" i="1"/>
  <c r="AB3053" i="1"/>
  <c r="AA3053" i="1"/>
  <c r="AB3052" i="1"/>
  <c r="AA3052" i="1"/>
  <c r="AB3051" i="1"/>
  <c r="AA3051" i="1"/>
  <c r="AB3050" i="1"/>
  <c r="AA3050" i="1"/>
  <c r="AB3049" i="1"/>
  <c r="AA3049" i="1"/>
  <c r="AB3048" i="1"/>
  <c r="AA3048" i="1"/>
  <c r="AB3047" i="1"/>
  <c r="AA3047" i="1"/>
  <c r="AB3046" i="1"/>
  <c r="AA3046" i="1"/>
  <c r="AB3045" i="1"/>
  <c r="AA3045" i="1"/>
  <c r="AB3044" i="1"/>
  <c r="AA3044" i="1"/>
  <c r="AB3043" i="1"/>
  <c r="AA3043" i="1"/>
  <c r="AB3042" i="1"/>
  <c r="AA3042" i="1"/>
  <c r="AB3041" i="1"/>
  <c r="AA3041" i="1"/>
  <c r="AB3040" i="1"/>
  <c r="AA3040" i="1"/>
  <c r="AB3039" i="1"/>
  <c r="AA3039" i="1"/>
  <c r="AB3038" i="1"/>
  <c r="AA3038" i="1"/>
  <c r="AB3037" i="1"/>
  <c r="AA3037" i="1"/>
  <c r="AB3036" i="1"/>
  <c r="AA3036" i="1"/>
  <c r="AB3035" i="1"/>
  <c r="AA3035" i="1"/>
  <c r="AB3034" i="1"/>
  <c r="AA3034" i="1"/>
  <c r="AB3033" i="1"/>
  <c r="AA3033" i="1"/>
  <c r="AB3032" i="1"/>
  <c r="AA3032" i="1"/>
  <c r="AB3031" i="1"/>
  <c r="AA3031" i="1"/>
  <c r="AB3030" i="1"/>
  <c r="AA3030" i="1"/>
  <c r="AB3029" i="1"/>
  <c r="AA3029" i="1"/>
  <c r="AB3028" i="1"/>
  <c r="AA3028" i="1"/>
  <c r="AB3027" i="1"/>
  <c r="AA3027" i="1"/>
  <c r="AB3026" i="1"/>
  <c r="AA3026" i="1"/>
  <c r="AB3025" i="1"/>
  <c r="AA3025" i="1"/>
  <c r="AB3024" i="1"/>
  <c r="AA3024" i="1"/>
  <c r="AB3023" i="1"/>
  <c r="AA3023" i="1"/>
  <c r="AB3022" i="1"/>
  <c r="AA3022" i="1"/>
  <c r="AB3021" i="1"/>
  <c r="AA3021" i="1"/>
  <c r="AB3020" i="1"/>
  <c r="AA3020" i="1"/>
  <c r="AB3019" i="1"/>
  <c r="AA3019" i="1"/>
  <c r="AB3018" i="1"/>
  <c r="AA3018" i="1"/>
  <c r="AB3017" i="1"/>
  <c r="AA3017" i="1"/>
  <c r="AB3016" i="1"/>
  <c r="AA3016" i="1"/>
  <c r="AB3015" i="1"/>
  <c r="AA3015" i="1"/>
  <c r="AB3014" i="1"/>
  <c r="AA3014" i="1"/>
  <c r="AB3013" i="1"/>
  <c r="AA3013" i="1"/>
  <c r="AB3012" i="1"/>
  <c r="AA3012" i="1"/>
  <c r="AB3011" i="1"/>
  <c r="AA3011" i="1"/>
  <c r="AB3010" i="1"/>
  <c r="AA3010" i="1"/>
  <c r="AB3009" i="1"/>
  <c r="AA3009" i="1"/>
  <c r="AB3008" i="1"/>
  <c r="AA3008" i="1"/>
  <c r="AB3007" i="1"/>
  <c r="AA3007" i="1"/>
  <c r="AB3006" i="1"/>
  <c r="AA3006" i="1"/>
  <c r="AB3005" i="1"/>
  <c r="AA3005" i="1"/>
  <c r="AB3004" i="1"/>
  <c r="AA3004" i="1"/>
  <c r="AB3003" i="1"/>
  <c r="AA3003" i="1"/>
  <c r="AB3002" i="1"/>
  <c r="AA3002" i="1"/>
  <c r="AB3001" i="1"/>
  <c r="AA3001" i="1"/>
  <c r="AB3000" i="1"/>
  <c r="AA3000" i="1"/>
  <c r="AB2999" i="1"/>
  <c r="AA2999" i="1"/>
  <c r="AB2998" i="1"/>
  <c r="AA2998" i="1"/>
  <c r="AB2997" i="1"/>
  <c r="AA2997" i="1"/>
  <c r="AB2996" i="1"/>
  <c r="AA2996" i="1"/>
  <c r="AB2995" i="1"/>
  <c r="AA2995" i="1"/>
  <c r="AB2994" i="1"/>
  <c r="AA2994" i="1"/>
  <c r="AB2993" i="1"/>
  <c r="AA2993" i="1"/>
  <c r="AB2992" i="1"/>
  <c r="AA2992" i="1"/>
  <c r="AB2991" i="1"/>
  <c r="AA2991" i="1"/>
  <c r="AB2990" i="1"/>
  <c r="AA2990" i="1"/>
  <c r="AB2989" i="1"/>
  <c r="AA2989" i="1"/>
  <c r="AB2988" i="1"/>
  <c r="AA2988" i="1"/>
  <c r="AB2987" i="1"/>
  <c r="AA2987" i="1"/>
  <c r="AB2986" i="1"/>
  <c r="AA2986" i="1"/>
  <c r="AB2985" i="1"/>
  <c r="AA2985" i="1"/>
  <c r="AB2984" i="1"/>
  <c r="AA2984" i="1"/>
  <c r="AB2983" i="1"/>
  <c r="AA2983" i="1"/>
  <c r="AB2982" i="1"/>
  <c r="AA2982" i="1"/>
  <c r="AB2981" i="1"/>
  <c r="AA2981" i="1"/>
  <c r="AB2980" i="1"/>
  <c r="AA2980" i="1"/>
  <c r="AB2979" i="1"/>
  <c r="AA2979" i="1"/>
  <c r="AB2978" i="1"/>
  <c r="AA2978" i="1"/>
  <c r="AB2977" i="1"/>
  <c r="AA2977" i="1"/>
  <c r="AB2976" i="1"/>
  <c r="AA2976" i="1"/>
  <c r="AB2975" i="1"/>
  <c r="AA2975" i="1"/>
  <c r="AB2974" i="1"/>
  <c r="AA2974" i="1"/>
  <c r="AB2973" i="1"/>
  <c r="AA2973" i="1"/>
  <c r="AB2972" i="1"/>
  <c r="AA2972" i="1"/>
  <c r="AB2971" i="1"/>
  <c r="AA2971" i="1"/>
  <c r="AB2970" i="1"/>
  <c r="AA2970" i="1"/>
  <c r="AB2969" i="1"/>
  <c r="AA2969" i="1"/>
  <c r="AB2968" i="1"/>
  <c r="AA2968" i="1"/>
  <c r="AB2967" i="1"/>
  <c r="AA2967" i="1"/>
  <c r="AB2966" i="1"/>
  <c r="AA2966" i="1"/>
  <c r="AB2965" i="1"/>
  <c r="AA2965" i="1"/>
  <c r="AB2964" i="1"/>
  <c r="AA2964" i="1"/>
  <c r="AB2963" i="1"/>
  <c r="AA2963" i="1"/>
  <c r="AB2962" i="1"/>
  <c r="AA2962" i="1"/>
  <c r="AB2961" i="1"/>
  <c r="AA2961" i="1"/>
  <c r="AB2960" i="1"/>
  <c r="AA2960" i="1"/>
  <c r="AB2959" i="1"/>
  <c r="AA2959" i="1"/>
  <c r="AB2958" i="1"/>
  <c r="AA2958" i="1"/>
  <c r="AB2957" i="1"/>
  <c r="AA2957" i="1"/>
  <c r="AB2956" i="1"/>
  <c r="AA2956" i="1"/>
  <c r="AB2955" i="1"/>
  <c r="AA2955" i="1"/>
  <c r="AB2954" i="1"/>
  <c r="AA2954" i="1"/>
  <c r="AB2953" i="1"/>
  <c r="AA2953" i="1"/>
  <c r="AB2952" i="1"/>
  <c r="AA2952" i="1"/>
  <c r="AB2951" i="1"/>
  <c r="AA2951" i="1"/>
  <c r="AB2950" i="1"/>
  <c r="AA2950" i="1"/>
  <c r="AB2949" i="1"/>
  <c r="AA2949" i="1"/>
  <c r="AB2948" i="1"/>
  <c r="AA2948" i="1"/>
  <c r="AB2947" i="1"/>
  <c r="AA2947" i="1"/>
  <c r="AB2946" i="1"/>
  <c r="AA2946" i="1"/>
  <c r="AB2945" i="1"/>
  <c r="AA2945" i="1"/>
  <c r="AB2944" i="1"/>
  <c r="AA2944" i="1"/>
  <c r="AB2943" i="1"/>
  <c r="AA2943" i="1"/>
  <c r="AB2942" i="1"/>
  <c r="AA2942" i="1"/>
  <c r="AB2941" i="1"/>
  <c r="AA2941" i="1"/>
  <c r="AB2940" i="1"/>
  <c r="AA2940" i="1"/>
  <c r="AB2939" i="1"/>
  <c r="AA2939" i="1"/>
  <c r="AB2938" i="1"/>
  <c r="AA2938" i="1"/>
  <c r="AB2937" i="1"/>
  <c r="AA2937" i="1"/>
  <c r="AB2936" i="1"/>
  <c r="AA2936" i="1"/>
  <c r="AB2935" i="1"/>
  <c r="AA2935" i="1"/>
  <c r="AB2934" i="1"/>
  <c r="AA2934" i="1"/>
  <c r="AB2933" i="1"/>
  <c r="AA2933" i="1"/>
  <c r="AB2932" i="1"/>
  <c r="AA2932" i="1"/>
  <c r="AB2931" i="1"/>
  <c r="AA2931" i="1"/>
  <c r="AB2930" i="1"/>
  <c r="AA2930" i="1"/>
  <c r="AB2929" i="1"/>
  <c r="AA2929" i="1"/>
  <c r="AB2928" i="1"/>
  <c r="AA2928" i="1"/>
  <c r="AB2927" i="1"/>
  <c r="AA2927" i="1"/>
  <c r="AB2926" i="1"/>
  <c r="AA2926" i="1"/>
  <c r="AB2925" i="1"/>
  <c r="AA2925" i="1"/>
  <c r="AB2924" i="1"/>
  <c r="AA2924" i="1"/>
  <c r="AB2923" i="1"/>
  <c r="AA2923" i="1"/>
  <c r="AB2922" i="1"/>
  <c r="AA2922" i="1"/>
  <c r="AB2921" i="1"/>
  <c r="AA2921" i="1"/>
  <c r="AB2920" i="1"/>
  <c r="AA2920" i="1"/>
  <c r="AB2919" i="1"/>
  <c r="AA2919" i="1"/>
  <c r="AB2918" i="1"/>
  <c r="AA2918" i="1"/>
  <c r="AB2917" i="1"/>
  <c r="AA2917" i="1"/>
  <c r="AB2916" i="1"/>
  <c r="AA2916" i="1"/>
  <c r="AB2915" i="1"/>
  <c r="AA2915" i="1"/>
  <c r="AB2914" i="1"/>
  <c r="AA2914" i="1"/>
  <c r="AB2913" i="1"/>
  <c r="AA2913" i="1"/>
  <c r="AB2912" i="1"/>
  <c r="AA2912" i="1"/>
  <c r="AB2911" i="1"/>
  <c r="AA2911" i="1"/>
  <c r="AB2910" i="1"/>
  <c r="AA2910" i="1"/>
  <c r="AB2909" i="1"/>
  <c r="AA2909" i="1"/>
  <c r="AB2908" i="1"/>
  <c r="AA2908" i="1"/>
  <c r="AB2907" i="1"/>
  <c r="AA2907" i="1"/>
  <c r="AB2906" i="1"/>
  <c r="AA2906" i="1"/>
  <c r="AB2905" i="1"/>
  <c r="AA2905" i="1"/>
  <c r="AB2904" i="1"/>
  <c r="AA2904" i="1"/>
  <c r="AB2903" i="1"/>
  <c r="AA2903" i="1"/>
  <c r="AB2902" i="1"/>
  <c r="AA2902" i="1"/>
  <c r="AB2901" i="1"/>
  <c r="AA2901" i="1"/>
  <c r="AB2900" i="1"/>
  <c r="AA2900" i="1"/>
  <c r="AB2899" i="1"/>
  <c r="AA2899" i="1"/>
  <c r="AB2898" i="1"/>
  <c r="AA2898" i="1"/>
  <c r="AB2897" i="1"/>
  <c r="AA2897" i="1"/>
  <c r="AB2896" i="1"/>
  <c r="AA2896" i="1"/>
  <c r="AB2895" i="1"/>
  <c r="AA2895" i="1"/>
  <c r="AB2894" i="1"/>
  <c r="AA2894" i="1"/>
  <c r="AB2893" i="1"/>
  <c r="AA2893" i="1"/>
  <c r="AB2892" i="1"/>
  <c r="AA2892" i="1"/>
  <c r="AB2891" i="1"/>
  <c r="AA2891" i="1"/>
  <c r="AB2890" i="1"/>
  <c r="AA2890" i="1"/>
  <c r="AB2889" i="1"/>
  <c r="AA2889" i="1"/>
  <c r="AB2888" i="1"/>
  <c r="AA2888" i="1"/>
  <c r="AB2887" i="1"/>
  <c r="AA2887" i="1"/>
  <c r="AB2886" i="1"/>
  <c r="AA2886" i="1"/>
  <c r="AB2885" i="1"/>
  <c r="AA2885" i="1"/>
  <c r="AB2884" i="1"/>
  <c r="AA2884" i="1"/>
  <c r="AB2883" i="1"/>
  <c r="AA2883" i="1"/>
  <c r="AB2882" i="1"/>
  <c r="AA2882" i="1"/>
  <c r="AB2881" i="1"/>
  <c r="AA2881" i="1"/>
  <c r="AB2880" i="1"/>
  <c r="AA2880" i="1"/>
  <c r="AB2879" i="1"/>
  <c r="AA2879" i="1"/>
  <c r="AB2878" i="1"/>
  <c r="AA2878" i="1"/>
  <c r="AB2877" i="1"/>
  <c r="AA2877" i="1"/>
  <c r="AB2876" i="1"/>
  <c r="AA2876" i="1"/>
  <c r="AB2875" i="1"/>
  <c r="AA2875" i="1"/>
  <c r="AB2874" i="1"/>
  <c r="AA2874" i="1"/>
  <c r="AB2873" i="1"/>
  <c r="AA2873" i="1"/>
  <c r="AB2872" i="1"/>
  <c r="AA2872" i="1"/>
  <c r="AB2871" i="1"/>
  <c r="AA2871" i="1"/>
  <c r="AB2870" i="1"/>
  <c r="AA2870" i="1"/>
  <c r="AB2869" i="1"/>
  <c r="AA2869" i="1"/>
  <c r="AB2868" i="1"/>
  <c r="AA2868" i="1"/>
  <c r="AB2867" i="1"/>
  <c r="AA2867" i="1"/>
  <c r="AB2866" i="1"/>
  <c r="AA2866" i="1"/>
  <c r="AB2865" i="1"/>
  <c r="AA2865" i="1"/>
  <c r="AB2864" i="1"/>
  <c r="AA2864" i="1"/>
  <c r="AB2863" i="1"/>
  <c r="AA2863" i="1"/>
  <c r="AB2862" i="1"/>
  <c r="AA2862" i="1"/>
  <c r="AB2861" i="1"/>
  <c r="AA2861" i="1"/>
  <c r="AB2860" i="1"/>
  <c r="AA2860" i="1"/>
  <c r="AB2859" i="1"/>
  <c r="AA2859" i="1"/>
  <c r="AB2858" i="1"/>
  <c r="AA2858" i="1"/>
  <c r="AB2857" i="1"/>
  <c r="AA2857" i="1"/>
  <c r="AB2856" i="1"/>
  <c r="AA2856" i="1"/>
  <c r="AB2855" i="1"/>
  <c r="AA2855" i="1"/>
  <c r="AB2854" i="1"/>
  <c r="AA2854" i="1"/>
  <c r="AB2853" i="1"/>
  <c r="AA2853" i="1"/>
  <c r="AB2852" i="1"/>
  <c r="AA2852" i="1"/>
  <c r="AB2851" i="1"/>
  <c r="AA2851" i="1"/>
  <c r="AB2850" i="1"/>
  <c r="AA2850" i="1"/>
  <c r="AB2849" i="1"/>
  <c r="AA2849" i="1"/>
  <c r="AB2848" i="1"/>
  <c r="AA2848" i="1"/>
  <c r="AB2847" i="1"/>
  <c r="AA2847" i="1"/>
  <c r="AB2846" i="1"/>
  <c r="AA2846" i="1"/>
  <c r="AB2845" i="1"/>
  <c r="AA2845" i="1"/>
  <c r="AB2844" i="1"/>
  <c r="AA2844" i="1"/>
  <c r="AB2843" i="1"/>
  <c r="AA2843" i="1"/>
  <c r="AB2842" i="1"/>
  <c r="AA2842" i="1"/>
  <c r="AB2841" i="1"/>
  <c r="AA2841" i="1"/>
  <c r="AB2840" i="1"/>
  <c r="AA2840" i="1"/>
  <c r="AB2839" i="1"/>
  <c r="AA2839" i="1"/>
  <c r="AB2838" i="1"/>
  <c r="AA2838" i="1"/>
  <c r="AB2837" i="1"/>
  <c r="AA2837" i="1"/>
  <c r="AB2836" i="1"/>
  <c r="AA2836" i="1"/>
  <c r="AB2835" i="1"/>
  <c r="AA2835" i="1"/>
  <c r="AB2834" i="1"/>
  <c r="AA2834" i="1"/>
  <c r="AB2833" i="1"/>
  <c r="AA2833" i="1"/>
  <c r="AB2832" i="1"/>
  <c r="AA2832" i="1"/>
  <c r="AB2831" i="1"/>
  <c r="AA2831" i="1"/>
  <c r="AB2830" i="1"/>
  <c r="AA2830" i="1"/>
  <c r="AB2829" i="1"/>
  <c r="AA2829" i="1"/>
  <c r="AB2828" i="1"/>
  <c r="AA2828" i="1"/>
  <c r="AB2827" i="1"/>
  <c r="AA2827" i="1"/>
  <c r="AB2826" i="1"/>
  <c r="AA2826" i="1"/>
  <c r="AB2825" i="1"/>
  <c r="AA2825" i="1"/>
  <c r="AB2824" i="1"/>
  <c r="AA2824" i="1"/>
  <c r="AB2823" i="1"/>
  <c r="AA2823" i="1"/>
  <c r="AB2822" i="1"/>
  <c r="AA2822" i="1"/>
  <c r="AB2821" i="1"/>
  <c r="AA2821" i="1"/>
  <c r="AB2820" i="1"/>
  <c r="AA2820" i="1"/>
  <c r="AB2819" i="1"/>
  <c r="AA2819" i="1"/>
  <c r="AB2818" i="1"/>
  <c r="AA2818" i="1"/>
  <c r="AB2817" i="1"/>
  <c r="AA2817" i="1"/>
  <c r="AB2816" i="1"/>
  <c r="AA2816" i="1"/>
  <c r="AB2815" i="1"/>
  <c r="AA2815" i="1"/>
  <c r="AB2814" i="1"/>
  <c r="AA2814" i="1"/>
  <c r="AB2813" i="1"/>
  <c r="AA2813" i="1"/>
  <c r="AB2812" i="1"/>
  <c r="AA2812" i="1"/>
  <c r="AB2811" i="1"/>
  <c r="AA2811" i="1"/>
  <c r="AB2810" i="1"/>
  <c r="AA2810" i="1"/>
  <c r="AB2809" i="1"/>
  <c r="AA2809" i="1"/>
  <c r="AB2808" i="1"/>
  <c r="AA2808" i="1"/>
  <c r="AB2807" i="1"/>
  <c r="AA2807" i="1"/>
  <c r="AB2806" i="1"/>
  <c r="AA2806" i="1"/>
  <c r="AB2805" i="1"/>
  <c r="AA2805" i="1"/>
  <c r="AB2804" i="1"/>
  <c r="AA2804" i="1"/>
  <c r="AB2803" i="1"/>
  <c r="AA2803" i="1"/>
  <c r="AB2802" i="1"/>
  <c r="AA2802" i="1"/>
  <c r="AB2801" i="1"/>
  <c r="AA2801" i="1"/>
  <c r="AB2800" i="1"/>
  <c r="AA2800" i="1"/>
  <c r="AB2799" i="1"/>
  <c r="AA2799" i="1"/>
  <c r="AB2798" i="1"/>
  <c r="AA2798" i="1"/>
  <c r="AB2797" i="1"/>
  <c r="AA2797" i="1"/>
  <c r="AB2796" i="1"/>
  <c r="AA2796" i="1"/>
  <c r="AB2795" i="1"/>
  <c r="AA2795" i="1"/>
  <c r="AB2794" i="1"/>
  <c r="AA2794" i="1"/>
  <c r="AB2793" i="1"/>
  <c r="AA2793" i="1"/>
  <c r="AB2792" i="1"/>
  <c r="AA2792" i="1"/>
  <c r="AB2791" i="1"/>
  <c r="AA2791" i="1"/>
  <c r="AB2790" i="1"/>
  <c r="AA2790" i="1"/>
  <c r="AB2789" i="1"/>
  <c r="AA2789" i="1"/>
  <c r="AB2788" i="1"/>
  <c r="AA2788" i="1"/>
  <c r="AB2787" i="1"/>
  <c r="AA2787" i="1"/>
  <c r="AB2786" i="1"/>
  <c r="AA2786" i="1"/>
  <c r="AB2785" i="1"/>
  <c r="AA2785" i="1"/>
  <c r="AB2784" i="1"/>
  <c r="AA2784" i="1"/>
  <c r="AB2783" i="1"/>
  <c r="AA2783" i="1"/>
  <c r="AB2782" i="1"/>
  <c r="AA2782" i="1"/>
  <c r="AB2781" i="1"/>
  <c r="AA2781" i="1"/>
  <c r="AB2780" i="1"/>
  <c r="AA2780" i="1"/>
  <c r="AB2779" i="1"/>
  <c r="AA2779" i="1"/>
  <c r="AB2778" i="1"/>
  <c r="AA2778" i="1"/>
  <c r="AB2777" i="1"/>
  <c r="AA2777" i="1"/>
  <c r="AB2776" i="1"/>
  <c r="AA2776" i="1"/>
  <c r="AB2775" i="1"/>
  <c r="AA2775" i="1"/>
  <c r="AB2774" i="1"/>
  <c r="AA2774" i="1"/>
  <c r="AB2773" i="1"/>
  <c r="AA2773" i="1"/>
  <c r="AB2772" i="1"/>
  <c r="AA2772" i="1"/>
  <c r="AB2771" i="1"/>
  <c r="AA2771" i="1"/>
  <c r="AB2770" i="1"/>
  <c r="AA2770" i="1"/>
  <c r="AB2769" i="1"/>
  <c r="AA2769" i="1"/>
  <c r="AB2768" i="1"/>
  <c r="AA2768" i="1"/>
  <c r="AB2767" i="1"/>
  <c r="AA2767" i="1"/>
  <c r="AB2766" i="1"/>
  <c r="AA2766" i="1"/>
  <c r="AB2765" i="1"/>
  <c r="AA2765" i="1"/>
  <c r="AB2764" i="1"/>
  <c r="AA2764" i="1"/>
  <c r="AB2763" i="1"/>
  <c r="AA2763" i="1"/>
  <c r="AB2762" i="1"/>
  <c r="AA2762" i="1"/>
  <c r="AB2761" i="1"/>
  <c r="AA2761" i="1"/>
  <c r="AB2760" i="1"/>
  <c r="AA2760" i="1"/>
  <c r="AB2759" i="1"/>
  <c r="AA2759" i="1"/>
  <c r="AB2758" i="1"/>
  <c r="AA2758" i="1"/>
  <c r="AB2757" i="1"/>
  <c r="AA2757" i="1"/>
  <c r="AB2756" i="1"/>
  <c r="AA2756" i="1"/>
  <c r="AB2755" i="1"/>
  <c r="AA2755" i="1"/>
  <c r="AB2754" i="1"/>
  <c r="AA2754" i="1"/>
  <c r="AB2753" i="1"/>
  <c r="AA2753" i="1"/>
  <c r="AB2752" i="1"/>
  <c r="AA2752" i="1"/>
  <c r="AB2751" i="1"/>
  <c r="AA2751" i="1"/>
  <c r="AB2750" i="1"/>
  <c r="AA2750" i="1"/>
  <c r="AB2749" i="1"/>
  <c r="AA2749" i="1"/>
  <c r="AB2748" i="1"/>
  <c r="AA2748" i="1"/>
  <c r="AB2747" i="1"/>
  <c r="AA2747" i="1"/>
  <c r="AB2746" i="1"/>
  <c r="AA2746" i="1"/>
  <c r="AB2745" i="1"/>
  <c r="AA2745" i="1"/>
  <c r="AB2744" i="1"/>
  <c r="AA2744" i="1"/>
  <c r="AB2743" i="1"/>
  <c r="AA2743" i="1"/>
  <c r="AB2742" i="1"/>
  <c r="AA2742" i="1"/>
  <c r="AB2741" i="1"/>
  <c r="AA2741" i="1"/>
  <c r="AB2740" i="1"/>
  <c r="AA2740" i="1"/>
  <c r="AB2739" i="1"/>
  <c r="AA2739" i="1"/>
  <c r="AB2738" i="1"/>
  <c r="AA2738" i="1"/>
  <c r="AB2737" i="1"/>
  <c r="AA2737" i="1"/>
  <c r="AB2736" i="1"/>
  <c r="AA2736" i="1"/>
  <c r="AB2735" i="1"/>
  <c r="AA2735" i="1"/>
  <c r="AB2734" i="1"/>
  <c r="AA2734" i="1"/>
  <c r="AB2733" i="1"/>
  <c r="AA2733" i="1"/>
  <c r="AB2732" i="1"/>
  <c r="AA2732" i="1"/>
  <c r="AB2731" i="1"/>
  <c r="AA2731" i="1"/>
  <c r="AB2730" i="1"/>
  <c r="AA2730" i="1"/>
  <c r="AB2729" i="1"/>
  <c r="AA2729" i="1"/>
  <c r="AB2728" i="1"/>
  <c r="AA2728" i="1"/>
  <c r="AB2727" i="1"/>
  <c r="AA2727" i="1"/>
  <c r="AB2726" i="1"/>
  <c r="AA2726" i="1"/>
  <c r="AB2725" i="1"/>
  <c r="AA2725" i="1"/>
  <c r="AB2724" i="1"/>
  <c r="AA2724" i="1"/>
  <c r="AB2723" i="1"/>
  <c r="AA2723" i="1"/>
  <c r="AB2722" i="1"/>
  <c r="AA2722" i="1"/>
  <c r="AB2721" i="1"/>
  <c r="AA2721" i="1"/>
  <c r="AB2720" i="1"/>
  <c r="AA2720" i="1"/>
  <c r="AB2719" i="1"/>
  <c r="AA2719" i="1"/>
  <c r="AB2718" i="1"/>
  <c r="AA2718" i="1"/>
  <c r="AB2717" i="1"/>
  <c r="AA2717" i="1"/>
  <c r="AB2716" i="1"/>
  <c r="AA2716" i="1"/>
  <c r="AB2715" i="1"/>
  <c r="AA2715" i="1"/>
  <c r="AB2714" i="1"/>
  <c r="AA2714" i="1"/>
  <c r="AB2713" i="1"/>
  <c r="AA2713" i="1"/>
  <c r="AB2712" i="1"/>
  <c r="AA2712" i="1"/>
  <c r="AB2711" i="1"/>
  <c r="AA2711" i="1"/>
  <c r="AB2710" i="1"/>
  <c r="AA2710" i="1"/>
  <c r="AB2709" i="1"/>
  <c r="AA2709" i="1"/>
  <c r="AB2708" i="1"/>
  <c r="AA2708" i="1"/>
  <c r="AB2707" i="1"/>
  <c r="AA2707" i="1"/>
  <c r="AB2706" i="1"/>
  <c r="AA2706" i="1"/>
  <c r="AB2705" i="1"/>
  <c r="AA2705" i="1"/>
  <c r="AB2704" i="1"/>
  <c r="AA2704" i="1"/>
  <c r="AB2703" i="1"/>
  <c r="AA2703" i="1"/>
  <c r="AB2702" i="1"/>
  <c r="AA2702" i="1"/>
  <c r="AB2701" i="1"/>
  <c r="AA2701" i="1"/>
  <c r="AB2700" i="1"/>
  <c r="AA2700" i="1"/>
  <c r="AB2699" i="1"/>
  <c r="AA2699" i="1"/>
  <c r="AB2698" i="1"/>
  <c r="AA2698" i="1"/>
  <c r="AB2697" i="1"/>
  <c r="AA2697" i="1"/>
  <c r="AB2696" i="1"/>
  <c r="AA2696" i="1"/>
  <c r="AB2695" i="1"/>
  <c r="AA2695" i="1"/>
  <c r="AB2694" i="1"/>
  <c r="AA2694" i="1"/>
  <c r="AB2693" i="1"/>
  <c r="AA2693" i="1"/>
  <c r="AB2692" i="1"/>
  <c r="AA2692" i="1"/>
  <c r="AB2691" i="1"/>
  <c r="AA2691" i="1"/>
  <c r="AB2690" i="1"/>
  <c r="AA2690" i="1"/>
  <c r="AB2689" i="1"/>
  <c r="AA2689" i="1"/>
  <c r="AB2688" i="1"/>
  <c r="AA2688" i="1"/>
  <c r="AB2687" i="1"/>
  <c r="AA2687" i="1"/>
  <c r="AB2686" i="1"/>
  <c r="AA2686" i="1"/>
  <c r="AB2685" i="1"/>
  <c r="AA2685" i="1"/>
  <c r="AB2684" i="1"/>
  <c r="AA2684" i="1"/>
  <c r="AB2683" i="1"/>
  <c r="AA2683" i="1"/>
  <c r="AB2682" i="1"/>
  <c r="AA2682" i="1"/>
  <c r="AB2681" i="1"/>
  <c r="AA2681" i="1"/>
  <c r="AB2680" i="1"/>
  <c r="AA2680" i="1"/>
  <c r="AB2679" i="1"/>
  <c r="AA2679" i="1"/>
  <c r="AB2678" i="1"/>
  <c r="AA2678" i="1"/>
  <c r="AB2677" i="1"/>
  <c r="AA2677" i="1"/>
  <c r="AB2676" i="1"/>
  <c r="AA2676" i="1"/>
  <c r="AB2675" i="1"/>
  <c r="AA2675" i="1"/>
  <c r="AB2674" i="1"/>
  <c r="AA2674" i="1"/>
  <c r="AB2673" i="1"/>
  <c r="AA2673" i="1"/>
  <c r="AB2672" i="1"/>
  <c r="AA2672" i="1"/>
  <c r="AB2671" i="1"/>
  <c r="AA2671" i="1"/>
  <c r="AB2670" i="1"/>
  <c r="AA2670" i="1"/>
  <c r="AB2669" i="1"/>
  <c r="AA2669" i="1"/>
  <c r="AB2668" i="1"/>
  <c r="AA2668" i="1"/>
  <c r="AB2667" i="1"/>
  <c r="AA2667" i="1"/>
  <c r="AB2666" i="1"/>
  <c r="AA2666" i="1"/>
  <c r="AB2665" i="1"/>
  <c r="AA2665" i="1"/>
  <c r="AB2664" i="1"/>
  <c r="AA2664" i="1"/>
  <c r="AB2663" i="1"/>
  <c r="AA2663" i="1"/>
  <c r="AB2662" i="1"/>
  <c r="AA2662" i="1"/>
  <c r="AB2661" i="1"/>
  <c r="AA2661" i="1"/>
  <c r="AB2660" i="1"/>
  <c r="AA2660" i="1"/>
  <c r="AB2659" i="1"/>
  <c r="AA2659" i="1"/>
  <c r="AB2658" i="1"/>
  <c r="AA2658" i="1"/>
  <c r="AB2657" i="1"/>
  <c r="AA2657" i="1"/>
  <c r="AB2656" i="1"/>
  <c r="AA2656" i="1"/>
  <c r="AB2655" i="1"/>
  <c r="AA2655" i="1"/>
  <c r="AB2654" i="1"/>
  <c r="AA2654" i="1"/>
  <c r="AB2653" i="1"/>
  <c r="AA2653" i="1"/>
  <c r="AB2652" i="1"/>
  <c r="AA2652" i="1"/>
  <c r="AB2651" i="1"/>
  <c r="AA2651" i="1"/>
  <c r="AB2650" i="1"/>
  <c r="AA2650" i="1"/>
  <c r="AB2649" i="1"/>
  <c r="AA2649" i="1"/>
  <c r="AB2648" i="1"/>
  <c r="AA2648" i="1"/>
  <c r="AB2647" i="1"/>
  <c r="AA2647" i="1"/>
  <c r="AB2646" i="1"/>
  <c r="AA2646" i="1"/>
  <c r="AB2645" i="1"/>
  <c r="AA2645" i="1"/>
  <c r="AB2644" i="1"/>
  <c r="AA2644" i="1"/>
  <c r="AB2643" i="1"/>
  <c r="AA2643" i="1"/>
  <c r="AB2642" i="1"/>
  <c r="AA2642" i="1"/>
  <c r="AB2641" i="1"/>
  <c r="AA2641" i="1"/>
  <c r="AB2640" i="1"/>
  <c r="AA2640" i="1"/>
  <c r="AB2639" i="1"/>
  <c r="AA2639" i="1"/>
  <c r="AB2638" i="1"/>
  <c r="AA2638" i="1"/>
  <c r="AB2637" i="1"/>
  <c r="AA2637" i="1"/>
  <c r="AB2636" i="1"/>
  <c r="AA2636" i="1"/>
  <c r="AB2635" i="1"/>
  <c r="AA2635" i="1"/>
  <c r="AB2634" i="1"/>
  <c r="AA2634" i="1"/>
  <c r="AB2633" i="1"/>
  <c r="AA2633" i="1"/>
  <c r="AB2632" i="1"/>
  <c r="AA2632" i="1"/>
  <c r="AB2631" i="1"/>
  <c r="AA2631" i="1"/>
  <c r="AB2630" i="1"/>
  <c r="AA2630" i="1"/>
  <c r="AB2629" i="1"/>
  <c r="AA2629" i="1"/>
  <c r="AB2628" i="1"/>
  <c r="AA2628" i="1"/>
  <c r="AB2627" i="1"/>
  <c r="AA2627" i="1"/>
  <c r="AB2626" i="1"/>
  <c r="AA2626" i="1"/>
  <c r="AB2625" i="1"/>
  <c r="AA2625" i="1"/>
  <c r="AB2624" i="1"/>
  <c r="AA2624" i="1"/>
  <c r="AB2623" i="1"/>
  <c r="AA2623" i="1"/>
  <c r="AB2622" i="1"/>
  <c r="AA2622" i="1"/>
  <c r="AB2621" i="1"/>
  <c r="AA2621" i="1"/>
  <c r="AB2620" i="1"/>
  <c r="AA2620" i="1"/>
  <c r="AB2619" i="1"/>
  <c r="AA2619" i="1"/>
  <c r="AB2618" i="1"/>
  <c r="AA2618" i="1"/>
  <c r="AB2617" i="1"/>
  <c r="AA2617" i="1"/>
  <c r="AB2616" i="1"/>
  <c r="AA2616" i="1"/>
  <c r="AB2615" i="1"/>
  <c r="AA2615" i="1"/>
  <c r="AB2614" i="1"/>
  <c r="AA2614" i="1"/>
  <c r="AB2613" i="1"/>
  <c r="AA2613" i="1"/>
  <c r="AB2612" i="1"/>
  <c r="AA2612" i="1"/>
  <c r="AB2611" i="1"/>
  <c r="AA2611" i="1"/>
  <c r="AB2610" i="1"/>
  <c r="AA2610" i="1"/>
  <c r="AB2609" i="1"/>
  <c r="AA2609" i="1"/>
  <c r="AB2608" i="1"/>
  <c r="AA2608" i="1"/>
  <c r="AB2607" i="1"/>
  <c r="AA2607" i="1"/>
  <c r="AB2606" i="1"/>
  <c r="AA2606" i="1"/>
  <c r="AB2605" i="1"/>
  <c r="AA2605" i="1"/>
  <c r="AB2604" i="1"/>
  <c r="AA2604" i="1"/>
  <c r="AB2603" i="1"/>
  <c r="AA2603" i="1"/>
  <c r="AB2602" i="1"/>
  <c r="AA2602" i="1"/>
  <c r="AB2601" i="1"/>
  <c r="AA2601" i="1"/>
  <c r="AB2600" i="1"/>
  <c r="AA2600" i="1"/>
  <c r="AB2599" i="1"/>
  <c r="AA2599" i="1"/>
  <c r="AB2598" i="1"/>
  <c r="AA2598" i="1"/>
  <c r="AB2597" i="1"/>
  <c r="AA2597" i="1"/>
  <c r="AB2596" i="1"/>
  <c r="AA2596" i="1"/>
  <c r="AB2595" i="1"/>
  <c r="AA2595" i="1"/>
  <c r="AB2594" i="1"/>
  <c r="AA2594" i="1"/>
  <c r="AB2593" i="1"/>
  <c r="AA2593" i="1"/>
  <c r="AB2592" i="1"/>
  <c r="AA2592" i="1"/>
  <c r="AB2591" i="1"/>
  <c r="AA2591" i="1"/>
  <c r="AB2590" i="1"/>
  <c r="AA2590" i="1"/>
  <c r="AB2589" i="1"/>
  <c r="AA2589" i="1"/>
  <c r="AB2588" i="1"/>
  <c r="AA2588" i="1"/>
  <c r="AB2587" i="1"/>
  <c r="AA2587" i="1"/>
  <c r="AB2586" i="1"/>
  <c r="AA2586" i="1"/>
  <c r="AB2585" i="1"/>
  <c r="AA2585" i="1"/>
  <c r="AB2584" i="1"/>
  <c r="AA2584" i="1"/>
  <c r="AB2583" i="1"/>
  <c r="AA2583" i="1"/>
  <c r="AB2582" i="1"/>
  <c r="AA2582" i="1"/>
  <c r="AB2581" i="1"/>
  <c r="AA2581" i="1"/>
  <c r="AB2580" i="1"/>
  <c r="AA2580" i="1"/>
  <c r="AB2579" i="1"/>
  <c r="AA2579" i="1"/>
  <c r="AB2578" i="1"/>
  <c r="AA2578" i="1"/>
  <c r="AB2577" i="1"/>
  <c r="AA2577" i="1"/>
  <c r="AB2576" i="1"/>
  <c r="AA2576" i="1"/>
  <c r="AB2575" i="1"/>
  <c r="AA2575" i="1"/>
  <c r="AB2574" i="1"/>
  <c r="AA2574" i="1"/>
  <c r="AB2573" i="1"/>
  <c r="AA2573" i="1"/>
  <c r="AB2572" i="1"/>
  <c r="AA2572" i="1"/>
  <c r="AB2571" i="1"/>
  <c r="AA2571" i="1"/>
  <c r="AB2570" i="1"/>
  <c r="AA2570" i="1"/>
  <c r="AB2569" i="1"/>
  <c r="AA2569" i="1"/>
  <c r="AB2568" i="1"/>
  <c r="AA2568" i="1"/>
  <c r="AB2567" i="1"/>
  <c r="AA2567" i="1"/>
  <c r="AB2566" i="1"/>
  <c r="AA2566" i="1"/>
  <c r="AB2565" i="1"/>
  <c r="AA2565" i="1"/>
  <c r="AB2564" i="1"/>
  <c r="AA2564" i="1"/>
  <c r="AB2563" i="1"/>
  <c r="AA2563" i="1"/>
  <c r="AB2562" i="1"/>
  <c r="AA2562" i="1"/>
  <c r="AB2561" i="1"/>
  <c r="AA2561" i="1"/>
  <c r="AB2560" i="1"/>
  <c r="AA2560" i="1"/>
  <c r="AB2559" i="1"/>
  <c r="AA2559" i="1"/>
  <c r="AB2558" i="1"/>
  <c r="AA2558" i="1"/>
  <c r="AB2557" i="1"/>
  <c r="AA2557" i="1"/>
  <c r="AB2556" i="1"/>
  <c r="AA2556" i="1"/>
  <c r="AB2555" i="1"/>
  <c r="AA2555" i="1"/>
  <c r="AB2554" i="1"/>
  <c r="AA2554" i="1"/>
  <c r="AB2553" i="1"/>
  <c r="AA2553" i="1"/>
  <c r="AB2552" i="1"/>
  <c r="AA2552" i="1"/>
  <c r="AB2551" i="1"/>
  <c r="AA2551" i="1"/>
  <c r="AB2550" i="1"/>
  <c r="AA2550" i="1"/>
  <c r="AB2549" i="1"/>
  <c r="AA2549" i="1"/>
  <c r="AB2548" i="1"/>
  <c r="AA2548" i="1"/>
  <c r="AB2547" i="1"/>
  <c r="AA2547" i="1"/>
  <c r="AB2546" i="1"/>
  <c r="AA2546" i="1"/>
  <c r="AB2545" i="1"/>
  <c r="AA2545" i="1"/>
  <c r="AB2544" i="1"/>
  <c r="AA2544" i="1"/>
  <c r="AB2543" i="1"/>
  <c r="AA2543" i="1"/>
  <c r="AB2542" i="1"/>
  <c r="AA2542" i="1"/>
  <c r="AB2541" i="1"/>
  <c r="AA2541" i="1"/>
  <c r="AB2540" i="1"/>
  <c r="AA2540" i="1"/>
  <c r="AB2539" i="1"/>
  <c r="AA2539" i="1"/>
  <c r="AB2538" i="1"/>
  <c r="AA2538" i="1"/>
  <c r="AB2537" i="1"/>
  <c r="AA2537" i="1"/>
  <c r="AB2536" i="1"/>
  <c r="AA2536" i="1"/>
  <c r="AB2535" i="1"/>
  <c r="AA2535" i="1"/>
  <c r="AB2534" i="1"/>
  <c r="AA2534" i="1"/>
  <c r="AB2533" i="1"/>
  <c r="AA2533" i="1"/>
  <c r="AB2532" i="1"/>
  <c r="AA2532" i="1"/>
  <c r="AB2531" i="1"/>
  <c r="AA2531" i="1"/>
  <c r="AB2530" i="1"/>
  <c r="AA2530" i="1"/>
  <c r="AB2529" i="1"/>
  <c r="AA2529" i="1"/>
  <c r="AB2528" i="1"/>
  <c r="AA2528" i="1"/>
  <c r="AB2527" i="1"/>
  <c r="AA2527" i="1"/>
  <c r="AB2526" i="1"/>
  <c r="AA2526" i="1"/>
  <c r="AB2525" i="1"/>
  <c r="AA2525" i="1"/>
  <c r="AB2524" i="1"/>
  <c r="AA2524" i="1"/>
  <c r="AB2523" i="1"/>
  <c r="AA2523" i="1"/>
  <c r="AB2522" i="1"/>
  <c r="AA2522" i="1"/>
  <c r="AB2521" i="1"/>
  <c r="AA2521" i="1"/>
  <c r="AB2520" i="1"/>
  <c r="AA2520" i="1"/>
  <c r="AB2519" i="1"/>
  <c r="AA2519" i="1"/>
  <c r="AB2518" i="1"/>
  <c r="AA2518" i="1"/>
  <c r="AB2517" i="1"/>
  <c r="AA2517" i="1"/>
  <c r="AB2516" i="1"/>
  <c r="AA2516" i="1"/>
  <c r="AB2515" i="1"/>
  <c r="AA2515" i="1"/>
  <c r="AB2514" i="1"/>
  <c r="AA2514" i="1"/>
  <c r="AB2513" i="1"/>
  <c r="AA2513" i="1"/>
  <c r="AB2512" i="1"/>
  <c r="AA2512" i="1"/>
  <c r="AB2511" i="1"/>
  <c r="AA2511" i="1"/>
  <c r="AB2510" i="1"/>
  <c r="AA2510" i="1"/>
  <c r="AB2509" i="1"/>
  <c r="AA2509" i="1"/>
  <c r="AB2508" i="1"/>
  <c r="AA2508" i="1"/>
  <c r="AB2507" i="1"/>
  <c r="AA2507" i="1"/>
  <c r="AB2506" i="1"/>
  <c r="AA2506" i="1"/>
  <c r="AB2505" i="1"/>
  <c r="AA2505" i="1"/>
  <c r="AB2504" i="1"/>
  <c r="AA2504" i="1"/>
  <c r="AB2503" i="1"/>
  <c r="AA2503" i="1"/>
  <c r="AB2502" i="1"/>
  <c r="AA2502" i="1"/>
  <c r="AB2501" i="1"/>
  <c r="AA2501" i="1"/>
  <c r="AB2500" i="1"/>
  <c r="AA2500" i="1"/>
  <c r="AB2499" i="1"/>
  <c r="AA2499" i="1"/>
  <c r="AB2498" i="1"/>
  <c r="AA2498" i="1"/>
  <c r="AB2497" i="1"/>
  <c r="AA2497" i="1"/>
  <c r="AB2496" i="1"/>
  <c r="AA2496" i="1"/>
  <c r="AB2495" i="1"/>
  <c r="AA2495" i="1"/>
  <c r="AB2494" i="1"/>
  <c r="AA2494" i="1"/>
  <c r="AB2493" i="1"/>
  <c r="AA2493" i="1"/>
  <c r="AB2492" i="1"/>
  <c r="AA2492" i="1"/>
  <c r="AB2491" i="1"/>
  <c r="AA2491" i="1"/>
  <c r="AB2490" i="1"/>
  <c r="AA2490" i="1"/>
  <c r="AB2489" i="1"/>
  <c r="AA2489" i="1"/>
  <c r="AB2488" i="1"/>
  <c r="AA2488" i="1"/>
  <c r="AB2487" i="1"/>
  <c r="AA2487" i="1"/>
  <c r="AB2486" i="1"/>
  <c r="AA2486" i="1"/>
  <c r="AB2485" i="1"/>
  <c r="AA2485" i="1"/>
  <c r="AB2484" i="1"/>
  <c r="AA2484" i="1"/>
  <c r="AB2483" i="1"/>
  <c r="AA2483" i="1"/>
  <c r="AB2482" i="1"/>
  <c r="AA2482" i="1"/>
  <c r="AB2481" i="1"/>
  <c r="AA2481" i="1"/>
  <c r="AB2480" i="1"/>
  <c r="AA2480" i="1"/>
  <c r="AB2479" i="1"/>
  <c r="AA2479" i="1"/>
  <c r="AB2478" i="1"/>
  <c r="AA2478" i="1"/>
  <c r="AB2477" i="1"/>
  <c r="AA2477" i="1"/>
  <c r="AB2476" i="1"/>
  <c r="AA2476" i="1"/>
  <c r="AB2475" i="1"/>
  <c r="AA2475" i="1"/>
  <c r="AB2474" i="1"/>
  <c r="AA2474" i="1"/>
  <c r="AB2473" i="1"/>
  <c r="AA2473" i="1"/>
  <c r="AB2472" i="1"/>
  <c r="AA2472" i="1"/>
  <c r="AB2471" i="1"/>
  <c r="AA2471" i="1"/>
  <c r="AB2470" i="1"/>
  <c r="AA2470" i="1"/>
  <c r="AB2469" i="1"/>
  <c r="AA2469" i="1"/>
  <c r="AB2468" i="1"/>
  <c r="AA2468" i="1"/>
  <c r="AB2467" i="1"/>
  <c r="AA2467" i="1"/>
  <c r="AB2466" i="1"/>
  <c r="AA2466" i="1"/>
  <c r="AB2465" i="1"/>
  <c r="AA2465" i="1"/>
  <c r="AB2464" i="1"/>
  <c r="AA2464" i="1"/>
  <c r="AB2463" i="1"/>
  <c r="AA2463" i="1"/>
  <c r="AB2462" i="1"/>
  <c r="AA2462" i="1"/>
  <c r="AB2461" i="1"/>
  <c r="AA2461" i="1"/>
  <c r="AB2460" i="1"/>
  <c r="AA2460" i="1"/>
  <c r="AB2459" i="1"/>
  <c r="AA2459" i="1"/>
  <c r="AB2458" i="1"/>
  <c r="AA2458" i="1"/>
  <c r="AB2457" i="1"/>
  <c r="AA2457" i="1"/>
  <c r="AB2456" i="1"/>
  <c r="AA2456" i="1"/>
  <c r="AB2455" i="1"/>
  <c r="AA2455" i="1"/>
  <c r="AB2454" i="1"/>
  <c r="AA2454" i="1"/>
  <c r="AB2453" i="1"/>
  <c r="AA2453" i="1"/>
  <c r="AB2452" i="1"/>
  <c r="AA2452" i="1"/>
  <c r="AB2451" i="1"/>
  <c r="AA2451" i="1"/>
  <c r="AB2450" i="1"/>
  <c r="AA2450" i="1"/>
  <c r="AB2449" i="1"/>
  <c r="AA2449" i="1"/>
  <c r="AB2448" i="1"/>
  <c r="AA2448" i="1"/>
  <c r="AB2447" i="1"/>
  <c r="AA2447" i="1"/>
  <c r="AB2446" i="1"/>
  <c r="AA2446" i="1"/>
  <c r="AB2445" i="1"/>
  <c r="AA2445" i="1"/>
  <c r="AB2444" i="1"/>
  <c r="AA2444" i="1"/>
  <c r="AB2443" i="1"/>
  <c r="AA2443" i="1"/>
  <c r="AB2442" i="1"/>
  <c r="AA2442" i="1"/>
  <c r="AB2441" i="1"/>
  <c r="AA2441" i="1"/>
  <c r="AB2440" i="1"/>
  <c r="AA2440" i="1"/>
  <c r="AB2439" i="1"/>
  <c r="AA2439" i="1"/>
  <c r="AB2438" i="1"/>
  <c r="AA2438" i="1"/>
  <c r="AB2437" i="1"/>
  <c r="AA2437" i="1"/>
  <c r="AB2436" i="1"/>
  <c r="AA2436" i="1"/>
  <c r="AB2435" i="1"/>
  <c r="AA2435" i="1"/>
  <c r="AB2434" i="1"/>
  <c r="AA2434" i="1"/>
  <c r="AB2433" i="1"/>
  <c r="AA2433" i="1"/>
  <c r="AB2432" i="1"/>
  <c r="AA2432" i="1"/>
  <c r="AB2431" i="1"/>
  <c r="AA2431" i="1"/>
  <c r="AB2430" i="1"/>
  <c r="AA2430" i="1"/>
  <c r="AB2429" i="1"/>
  <c r="AA2429" i="1"/>
  <c r="AB2428" i="1"/>
  <c r="AA2428" i="1"/>
  <c r="AB2427" i="1"/>
  <c r="AA2427" i="1"/>
  <c r="AB2426" i="1"/>
  <c r="AA2426" i="1"/>
  <c r="AB2425" i="1"/>
  <c r="AA2425" i="1"/>
  <c r="AB2424" i="1"/>
  <c r="AA2424" i="1"/>
  <c r="AB2423" i="1"/>
  <c r="AA2423" i="1"/>
  <c r="AB2422" i="1"/>
  <c r="AA2422" i="1"/>
  <c r="AB2421" i="1"/>
  <c r="AA2421" i="1"/>
  <c r="AB2420" i="1"/>
  <c r="AA2420" i="1"/>
  <c r="AB2419" i="1"/>
  <c r="AA2419" i="1"/>
  <c r="AB2418" i="1"/>
  <c r="AA2418" i="1"/>
  <c r="AB2417" i="1"/>
  <c r="AA2417" i="1"/>
  <c r="AB2416" i="1"/>
  <c r="AA2416" i="1"/>
  <c r="AB2415" i="1"/>
  <c r="AA2415" i="1"/>
  <c r="AB2414" i="1"/>
  <c r="AA2414" i="1"/>
  <c r="AB2413" i="1"/>
  <c r="AA2413" i="1"/>
  <c r="AB2412" i="1"/>
  <c r="AA2412" i="1"/>
  <c r="AB2411" i="1"/>
  <c r="AA2411" i="1"/>
  <c r="AB2410" i="1"/>
  <c r="AA2410" i="1"/>
  <c r="AB2409" i="1"/>
  <c r="AA2409" i="1"/>
  <c r="AB2408" i="1"/>
  <c r="AA2408" i="1"/>
  <c r="AB2407" i="1"/>
  <c r="AA2407" i="1"/>
  <c r="AB2406" i="1"/>
  <c r="AA2406" i="1"/>
  <c r="AB2405" i="1"/>
  <c r="AA2405" i="1"/>
  <c r="AB2404" i="1"/>
  <c r="AA2404" i="1"/>
  <c r="AB2403" i="1"/>
  <c r="AA2403" i="1"/>
  <c r="AB2402" i="1"/>
  <c r="AA2402" i="1"/>
  <c r="AB2401" i="1"/>
  <c r="AA2401" i="1"/>
  <c r="AB2400" i="1"/>
  <c r="AA2400" i="1"/>
  <c r="AB2399" i="1"/>
  <c r="AA2399" i="1"/>
  <c r="AB2398" i="1"/>
  <c r="AA2398" i="1"/>
  <c r="AB2397" i="1"/>
  <c r="AA2397" i="1"/>
  <c r="AB2396" i="1"/>
  <c r="AA2396" i="1"/>
  <c r="AB2395" i="1"/>
  <c r="AA2395" i="1"/>
  <c r="AB2394" i="1"/>
  <c r="AA2394" i="1"/>
  <c r="AB2393" i="1"/>
  <c r="AA2393" i="1"/>
  <c r="AB2392" i="1"/>
  <c r="AA2392" i="1"/>
  <c r="AB2391" i="1"/>
  <c r="AA2391" i="1"/>
  <c r="AB2390" i="1"/>
  <c r="AA2390" i="1"/>
  <c r="AB2389" i="1"/>
  <c r="AA2389" i="1"/>
  <c r="AB2388" i="1"/>
  <c r="AA2388" i="1"/>
  <c r="AB2387" i="1"/>
  <c r="AA2387" i="1"/>
  <c r="AB2386" i="1"/>
  <c r="AA2386" i="1"/>
  <c r="AB2385" i="1"/>
  <c r="AA2385" i="1"/>
  <c r="AB2384" i="1"/>
  <c r="AA2384" i="1"/>
  <c r="AB2383" i="1"/>
  <c r="AA2383" i="1"/>
  <c r="AB2382" i="1"/>
  <c r="AA2382" i="1"/>
  <c r="AB2381" i="1"/>
  <c r="AA2381" i="1"/>
  <c r="AB2380" i="1"/>
  <c r="AA2380" i="1"/>
  <c r="AB2379" i="1"/>
  <c r="AA2379" i="1"/>
  <c r="AB2378" i="1"/>
  <c r="AA2378" i="1"/>
  <c r="AB2377" i="1"/>
  <c r="AA2377" i="1"/>
  <c r="AB2376" i="1"/>
  <c r="AA2376" i="1"/>
  <c r="AB2375" i="1"/>
  <c r="AA2375" i="1"/>
  <c r="AB2374" i="1"/>
  <c r="AA2374" i="1"/>
  <c r="AB2373" i="1"/>
  <c r="AA2373" i="1"/>
  <c r="AB2372" i="1"/>
  <c r="AA2372" i="1"/>
  <c r="AB2371" i="1"/>
  <c r="AA2371" i="1"/>
  <c r="AB2370" i="1"/>
  <c r="AA2370" i="1"/>
  <c r="AB2369" i="1"/>
  <c r="AA2369" i="1"/>
  <c r="AB2368" i="1"/>
  <c r="AA2368" i="1"/>
  <c r="AB2367" i="1"/>
  <c r="AA2367" i="1"/>
  <c r="AB2366" i="1"/>
  <c r="AA2366" i="1"/>
  <c r="AB2365" i="1"/>
  <c r="AA2365" i="1"/>
  <c r="AB2364" i="1"/>
  <c r="AA2364" i="1"/>
  <c r="AB2363" i="1"/>
  <c r="AA2363" i="1"/>
  <c r="AB2362" i="1"/>
  <c r="AA2362" i="1"/>
  <c r="AB2361" i="1"/>
  <c r="AA2361" i="1"/>
  <c r="AB2360" i="1"/>
  <c r="AA2360" i="1"/>
  <c r="AB2359" i="1"/>
  <c r="AA2359" i="1"/>
  <c r="AB2358" i="1"/>
  <c r="AA2358" i="1"/>
  <c r="AB2357" i="1"/>
  <c r="AA2357" i="1"/>
  <c r="AB2356" i="1"/>
  <c r="AA2356" i="1"/>
  <c r="AB2355" i="1"/>
  <c r="AA2355" i="1"/>
  <c r="AB2354" i="1"/>
  <c r="AA2354" i="1"/>
  <c r="AB2353" i="1"/>
  <c r="AA2353" i="1"/>
  <c r="AB2352" i="1"/>
  <c r="AA2352" i="1"/>
  <c r="AB2351" i="1"/>
  <c r="AA2351" i="1"/>
  <c r="AB2350" i="1"/>
  <c r="AA2350" i="1"/>
  <c r="AB2349" i="1"/>
  <c r="AA2349" i="1"/>
  <c r="AB2348" i="1"/>
  <c r="AA2348" i="1"/>
  <c r="AB2347" i="1"/>
  <c r="AA2347" i="1"/>
  <c r="AB2346" i="1"/>
  <c r="AA2346" i="1"/>
  <c r="AB2345" i="1"/>
  <c r="AA2345" i="1"/>
  <c r="AB2344" i="1"/>
  <c r="AA2344" i="1"/>
  <c r="AB2343" i="1"/>
  <c r="AA2343" i="1"/>
  <c r="AB2342" i="1"/>
  <c r="AA2342" i="1"/>
  <c r="AB2341" i="1"/>
  <c r="AA2341" i="1"/>
  <c r="AB2340" i="1"/>
  <c r="AA2340" i="1"/>
  <c r="AB2339" i="1"/>
  <c r="AA2339" i="1"/>
  <c r="AB2338" i="1"/>
  <c r="AA2338" i="1"/>
  <c r="AB2337" i="1"/>
  <c r="AA2337" i="1"/>
  <c r="AB2336" i="1"/>
  <c r="AA2336" i="1"/>
  <c r="AB2335" i="1"/>
  <c r="AA2335" i="1"/>
  <c r="AB2334" i="1"/>
  <c r="AA2334" i="1"/>
  <c r="AB2333" i="1"/>
  <c r="AA2333" i="1"/>
  <c r="AB2332" i="1"/>
  <c r="AA2332" i="1"/>
  <c r="AB2331" i="1"/>
  <c r="AA2331" i="1"/>
  <c r="AB2330" i="1"/>
  <c r="AA2330" i="1"/>
  <c r="AB2329" i="1"/>
  <c r="AA2329" i="1"/>
  <c r="AB2328" i="1"/>
  <c r="AA2328" i="1"/>
  <c r="AB2327" i="1"/>
  <c r="AA2327" i="1"/>
  <c r="AB2326" i="1"/>
  <c r="AA2326" i="1"/>
  <c r="AB2325" i="1"/>
  <c r="AA2325" i="1"/>
  <c r="AB2324" i="1"/>
  <c r="AA2324" i="1"/>
  <c r="AB2323" i="1"/>
  <c r="AA2323" i="1"/>
  <c r="AB2322" i="1"/>
  <c r="AA2322" i="1"/>
  <c r="AB2321" i="1"/>
  <c r="AA2321" i="1"/>
  <c r="AB2320" i="1"/>
  <c r="AA2320" i="1"/>
  <c r="AB2319" i="1"/>
  <c r="AA2319" i="1"/>
  <c r="AB2318" i="1"/>
  <c r="AA2318" i="1"/>
  <c r="AB2317" i="1"/>
  <c r="AA2317" i="1"/>
  <c r="AB2316" i="1"/>
  <c r="AA2316" i="1"/>
  <c r="AB2315" i="1"/>
  <c r="AA2315" i="1"/>
  <c r="AB2314" i="1"/>
  <c r="AA2314" i="1"/>
  <c r="AB2313" i="1"/>
  <c r="AA2313" i="1"/>
  <c r="AB2312" i="1"/>
  <c r="AA2312" i="1"/>
  <c r="AB2311" i="1"/>
  <c r="AA2311" i="1"/>
  <c r="AB2310" i="1"/>
  <c r="AA2310" i="1"/>
  <c r="AB2309" i="1"/>
  <c r="AA2309" i="1"/>
  <c r="AB2308" i="1"/>
  <c r="AA2308" i="1"/>
  <c r="AB2307" i="1"/>
  <c r="AA2307" i="1"/>
  <c r="AB2306" i="1"/>
  <c r="AA2306" i="1"/>
  <c r="AB2305" i="1"/>
  <c r="AA2305" i="1"/>
  <c r="AB2304" i="1"/>
  <c r="AA2304" i="1"/>
  <c r="AB2303" i="1"/>
  <c r="AA2303" i="1"/>
  <c r="AB2302" i="1"/>
  <c r="AA2302" i="1"/>
  <c r="AB2301" i="1"/>
  <c r="AA2301" i="1"/>
  <c r="AB2300" i="1"/>
  <c r="AA2300" i="1"/>
  <c r="AB2299" i="1"/>
  <c r="AA2299" i="1"/>
  <c r="AB2298" i="1"/>
  <c r="AA2298" i="1"/>
  <c r="AB2297" i="1"/>
  <c r="AA2297" i="1"/>
  <c r="AB2296" i="1"/>
  <c r="AA2296" i="1"/>
  <c r="AB2295" i="1"/>
  <c r="AA2295" i="1"/>
  <c r="AB2294" i="1"/>
  <c r="AA2294" i="1"/>
  <c r="AB2293" i="1"/>
  <c r="AA2293" i="1"/>
  <c r="AB2292" i="1"/>
  <c r="AA2292" i="1"/>
  <c r="AB2291" i="1"/>
  <c r="AA2291" i="1"/>
  <c r="AB2290" i="1"/>
  <c r="AA2290" i="1"/>
  <c r="AB2289" i="1"/>
  <c r="AA2289" i="1"/>
  <c r="AB2288" i="1"/>
  <c r="AA2288" i="1"/>
  <c r="AB2287" i="1"/>
  <c r="AA2287" i="1"/>
  <c r="AB2286" i="1"/>
  <c r="AA2286" i="1"/>
  <c r="AB2285" i="1"/>
  <c r="AA2285" i="1"/>
  <c r="AB2284" i="1"/>
  <c r="AA2284" i="1"/>
  <c r="AB2283" i="1"/>
  <c r="AA2283" i="1"/>
  <c r="AB2282" i="1"/>
  <c r="AA2282" i="1"/>
  <c r="AB2281" i="1"/>
  <c r="AA2281" i="1"/>
  <c r="AB2280" i="1"/>
  <c r="AA2280" i="1"/>
  <c r="AB2279" i="1"/>
  <c r="AA2279" i="1"/>
  <c r="AB2278" i="1"/>
  <c r="AA2278" i="1"/>
  <c r="AB2277" i="1"/>
  <c r="AA2277" i="1"/>
  <c r="AB2276" i="1"/>
  <c r="AA2276" i="1"/>
  <c r="AB2275" i="1"/>
  <c r="AA2275" i="1"/>
  <c r="AB2274" i="1"/>
  <c r="AA2274" i="1"/>
  <c r="AB2273" i="1"/>
  <c r="AA2273" i="1"/>
  <c r="AB2272" i="1"/>
  <c r="AA2272" i="1"/>
  <c r="AB2271" i="1"/>
  <c r="AA2271" i="1"/>
  <c r="AB2270" i="1"/>
  <c r="AA2270" i="1"/>
  <c r="AB2269" i="1"/>
  <c r="AA2269" i="1"/>
  <c r="AB2268" i="1"/>
  <c r="AA2268" i="1"/>
  <c r="AB2267" i="1"/>
  <c r="AA2267" i="1"/>
  <c r="AB2266" i="1"/>
  <c r="AA2266" i="1"/>
  <c r="AB2265" i="1"/>
  <c r="AA2265" i="1"/>
  <c r="AB2264" i="1"/>
  <c r="AA2264" i="1"/>
  <c r="AB2263" i="1"/>
  <c r="AA2263" i="1"/>
  <c r="AB2262" i="1"/>
  <c r="AA2262" i="1"/>
  <c r="AB2261" i="1"/>
  <c r="AA2261" i="1"/>
  <c r="AB2260" i="1"/>
  <c r="AA2260" i="1"/>
  <c r="AB2259" i="1"/>
  <c r="AA2259" i="1"/>
  <c r="AB2258" i="1"/>
  <c r="AA2258" i="1"/>
  <c r="AB2257" i="1"/>
  <c r="AA2257" i="1"/>
  <c r="AB2256" i="1"/>
  <c r="AA2256" i="1"/>
  <c r="AB2255" i="1"/>
  <c r="AA2255" i="1"/>
  <c r="AB2254" i="1"/>
  <c r="AA2254" i="1"/>
  <c r="AB2253" i="1"/>
  <c r="AA2253" i="1"/>
  <c r="AB2252" i="1"/>
  <c r="AA2252" i="1"/>
  <c r="AB2251" i="1"/>
  <c r="AA2251" i="1"/>
  <c r="AB2250" i="1"/>
  <c r="AA2250" i="1"/>
  <c r="AB2249" i="1"/>
  <c r="AA2249" i="1"/>
  <c r="AB2248" i="1"/>
  <c r="AA2248" i="1"/>
  <c r="AB2247" i="1"/>
  <c r="AA2247" i="1"/>
  <c r="AB2246" i="1"/>
  <c r="AA2246" i="1"/>
  <c r="AB2245" i="1"/>
  <c r="AA2245" i="1"/>
  <c r="AB2244" i="1"/>
  <c r="AA2244" i="1"/>
  <c r="AB2243" i="1"/>
  <c r="AA2243" i="1"/>
  <c r="AB2242" i="1"/>
  <c r="AA2242" i="1"/>
  <c r="AB2241" i="1"/>
  <c r="AA2241" i="1"/>
  <c r="AB2240" i="1"/>
  <c r="AA2240" i="1"/>
  <c r="AB2239" i="1"/>
  <c r="AA2239" i="1"/>
  <c r="AB2238" i="1"/>
  <c r="AA2238" i="1"/>
  <c r="AB2237" i="1"/>
  <c r="AA2237" i="1"/>
  <c r="AB2236" i="1"/>
  <c r="AA2236" i="1"/>
  <c r="AB2235" i="1"/>
  <c r="AA2235" i="1"/>
  <c r="AB2234" i="1"/>
  <c r="AA2234" i="1"/>
  <c r="AB2233" i="1"/>
  <c r="AA2233" i="1"/>
  <c r="AB2232" i="1"/>
  <c r="AA2232" i="1"/>
  <c r="AB2231" i="1"/>
  <c r="AA2231" i="1"/>
  <c r="AB2230" i="1"/>
  <c r="AA2230" i="1"/>
  <c r="AB2229" i="1"/>
  <c r="AA2229" i="1"/>
  <c r="AB2228" i="1"/>
  <c r="AA2228" i="1"/>
  <c r="AB2227" i="1"/>
  <c r="AA2227" i="1"/>
  <c r="AB2226" i="1"/>
  <c r="AA2226" i="1"/>
  <c r="AB2225" i="1"/>
  <c r="AA2225" i="1"/>
  <c r="AB2224" i="1"/>
  <c r="AA2224" i="1"/>
  <c r="AB2223" i="1"/>
  <c r="AA2223" i="1"/>
  <c r="AB2222" i="1"/>
  <c r="AA2222" i="1"/>
  <c r="AB2221" i="1"/>
  <c r="AA2221" i="1"/>
  <c r="AB2220" i="1"/>
  <c r="AA2220" i="1"/>
  <c r="AB2219" i="1"/>
  <c r="AA2219" i="1"/>
  <c r="AB2218" i="1"/>
  <c r="AA2218" i="1"/>
  <c r="AB2217" i="1"/>
  <c r="AA2217" i="1"/>
  <c r="AB2216" i="1"/>
  <c r="AA2216" i="1"/>
  <c r="AB2215" i="1"/>
  <c r="AA2215" i="1"/>
  <c r="AB2214" i="1"/>
  <c r="AA2214" i="1"/>
  <c r="AB2213" i="1"/>
  <c r="AA2213" i="1"/>
  <c r="AB2212" i="1"/>
  <c r="AA2212" i="1"/>
  <c r="AB2211" i="1"/>
  <c r="AA2211" i="1"/>
  <c r="AB2210" i="1"/>
  <c r="AA2210" i="1"/>
  <c r="AB2209" i="1"/>
  <c r="AA2209" i="1"/>
  <c r="AB2208" i="1"/>
  <c r="AA2208" i="1"/>
  <c r="AB2207" i="1"/>
  <c r="AA2207" i="1"/>
  <c r="AB2206" i="1"/>
  <c r="AA2206" i="1"/>
  <c r="AB2205" i="1"/>
  <c r="AA2205" i="1"/>
  <c r="AB2204" i="1"/>
  <c r="AA2204" i="1"/>
  <c r="AB2203" i="1"/>
  <c r="AA2203" i="1"/>
  <c r="AB2202" i="1"/>
  <c r="AA2202" i="1"/>
  <c r="AB2201" i="1"/>
  <c r="AA2201" i="1"/>
  <c r="AB2200" i="1"/>
  <c r="AA2200" i="1"/>
  <c r="AB2199" i="1"/>
  <c r="AA2199" i="1"/>
  <c r="AB2198" i="1"/>
  <c r="AA2198" i="1"/>
  <c r="AB2197" i="1"/>
  <c r="AA2197" i="1"/>
  <c r="AB2196" i="1"/>
  <c r="AA2196" i="1"/>
  <c r="AB2195" i="1"/>
  <c r="AA2195" i="1"/>
  <c r="AB2194" i="1"/>
  <c r="AA2194" i="1"/>
  <c r="AB2193" i="1"/>
  <c r="AA2193" i="1"/>
  <c r="AB2192" i="1"/>
  <c r="AA2192" i="1"/>
  <c r="AB2191" i="1"/>
  <c r="AA2191" i="1"/>
  <c r="AB2190" i="1"/>
  <c r="AA2190" i="1"/>
  <c r="AB2189" i="1"/>
  <c r="AA2189" i="1"/>
  <c r="AB2188" i="1"/>
  <c r="AA2188" i="1"/>
  <c r="AB2187" i="1"/>
  <c r="AA2187" i="1"/>
  <c r="AB2186" i="1"/>
  <c r="AA2186" i="1"/>
  <c r="AB2185" i="1"/>
  <c r="AA2185" i="1"/>
  <c r="AB2184" i="1"/>
  <c r="AA2184" i="1"/>
  <c r="AB2183" i="1"/>
  <c r="AA2183" i="1"/>
  <c r="AB2182" i="1"/>
  <c r="AA2182" i="1"/>
  <c r="AB2181" i="1"/>
  <c r="AA2181" i="1"/>
  <c r="AB2180" i="1"/>
  <c r="AA2180" i="1"/>
  <c r="AB2179" i="1"/>
  <c r="AA2179" i="1"/>
  <c r="AB2178" i="1"/>
  <c r="AA2178" i="1"/>
  <c r="AB2177" i="1"/>
  <c r="AA2177" i="1"/>
  <c r="AB2176" i="1"/>
  <c r="AA2176" i="1"/>
  <c r="AB2175" i="1"/>
  <c r="AA2175" i="1"/>
  <c r="AB2174" i="1"/>
  <c r="AA2174" i="1"/>
  <c r="AB2173" i="1"/>
  <c r="AA2173" i="1"/>
  <c r="AB2172" i="1"/>
  <c r="AA2172" i="1"/>
  <c r="AB2171" i="1"/>
  <c r="AA2171" i="1"/>
  <c r="AB2170" i="1"/>
  <c r="AA2170" i="1"/>
  <c r="AB2169" i="1"/>
  <c r="AA2169" i="1"/>
  <c r="AB2168" i="1"/>
  <c r="AA2168" i="1"/>
  <c r="AB2167" i="1"/>
  <c r="AA2167" i="1"/>
  <c r="AB2166" i="1"/>
  <c r="AA2166" i="1"/>
  <c r="AB2165" i="1"/>
  <c r="AA2165" i="1"/>
  <c r="AB2164" i="1"/>
  <c r="AA2164" i="1"/>
  <c r="AB2163" i="1"/>
  <c r="AA2163" i="1"/>
  <c r="AB2162" i="1"/>
  <c r="AA2162" i="1"/>
  <c r="AB2161" i="1"/>
  <c r="AA2161" i="1"/>
  <c r="AB2160" i="1"/>
  <c r="AA2160" i="1"/>
  <c r="AB2159" i="1"/>
  <c r="AA2159" i="1"/>
  <c r="AB2158" i="1"/>
  <c r="AA2158" i="1"/>
  <c r="AB2157" i="1"/>
  <c r="AA2157" i="1"/>
  <c r="AB2156" i="1"/>
  <c r="AA2156" i="1"/>
  <c r="AB2155" i="1"/>
  <c r="AA2155" i="1"/>
  <c r="AB2154" i="1"/>
  <c r="AA2154" i="1"/>
  <c r="AB2153" i="1"/>
  <c r="AA2153" i="1"/>
  <c r="AB2152" i="1"/>
  <c r="AA2152" i="1"/>
  <c r="AB2151" i="1"/>
  <c r="AA2151" i="1"/>
  <c r="AB2150" i="1"/>
  <c r="AA2150" i="1"/>
  <c r="AB2149" i="1"/>
  <c r="AA2149" i="1"/>
  <c r="AB2148" i="1"/>
  <c r="AA2148" i="1"/>
  <c r="AB2147" i="1"/>
  <c r="AA2147" i="1"/>
  <c r="AB2146" i="1"/>
  <c r="AA2146" i="1"/>
  <c r="AB2145" i="1"/>
  <c r="AA2145" i="1"/>
  <c r="AB2144" i="1"/>
  <c r="AA2144" i="1"/>
  <c r="AB2143" i="1"/>
  <c r="AA2143" i="1"/>
  <c r="AB2142" i="1"/>
  <c r="AA2142" i="1"/>
  <c r="AB2141" i="1"/>
  <c r="AA2141" i="1"/>
  <c r="AB2140" i="1"/>
  <c r="AA2140" i="1"/>
  <c r="AB2139" i="1"/>
  <c r="AA2139" i="1"/>
  <c r="AB2138" i="1"/>
  <c r="AA2138" i="1"/>
  <c r="AB2137" i="1"/>
  <c r="AA2137" i="1"/>
  <c r="AB2136" i="1"/>
  <c r="AA2136" i="1"/>
  <c r="AB2135" i="1"/>
  <c r="AA2135" i="1"/>
  <c r="AB2134" i="1"/>
  <c r="AA2134" i="1"/>
  <c r="AB2133" i="1"/>
  <c r="AA2133" i="1"/>
  <c r="AB2132" i="1"/>
  <c r="AA2132" i="1"/>
  <c r="AB2131" i="1"/>
  <c r="AA2131" i="1"/>
  <c r="AB2130" i="1"/>
  <c r="AA2130" i="1"/>
  <c r="AB2129" i="1"/>
  <c r="AA2129" i="1"/>
  <c r="AB2128" i="1"/>
  <c r="AA2128" i="1"/>
  <c r="AB2127" i="1"/>
  <c r="AA2127" i="1"/>
  <c r="AB2126" i="1"/>
  <c r="AA2126" i="1"/>
  <c r="AB2125" i="1"/>
  <c r="AA2125" i="1"/>
  <c r="AB2124" i="1"/>
  <c r="AA2124" i="1"/>
  <c r="AB2123" i="1"/>
  <c r="AA2123" i="1"/>
  <c r="AB2122" i="1"/>
  <c r="AA2122" i="1"/>
  <c r="AB2121" i="1"/>
  <c r="AA2121" i="1"/>
  <c r="AB2120" i="1"/>
  <c r="AA2120" i="1"/>
  <c r="AB2119" i="1"/>
  <c r="AA2119" i="1"/>
  <c r="AB2118" i="1"/>
  <c r="AA2118" i="1"/>
  <c r="AB2117" i="1"/>
  <c r="AA2117" i="1"/>
  <c r="AB2116" i="1"/>
  <c r="AA2116" i="1"/>
  <c r="AB2115" i="1"/>
  <c r="AA2115" i="1"/>
  <c r="AB2114" i="1"/>
  <c r="AA2114" i="1"/>
  <c r="AB2113" i="1"/>
  <c r="AA2113" i="1"/>
  <c r="AB2112" i="1"/>
  <c r="AA2112" i="1"/>
  <c r="AB2111" i="1"/>
  <c r="AA2111" i="1"/>
  <c r="AB2110" i="1"/>
  <c r="AA2110" i="1"/>
  <c r="AB2109" i="1"/>
  <c r="AA2109" i="1"/>
  <c r="AB2108" i="1"/>
  <c r="AA2108" i="1"/>
  <c r="AB2107" i="1"/>
  <c r="AA2107" i="1"/>
  <c r="AB2106" i="1"/>
  <c r="AA2106" i="1"/>
  <c r="AB2105" i="1"/>
  <c r="AA2105" i="1"/>
  <c r="AB2104" i="1"/>
  <c r="AA2104" i="1"/>
  <c r="AB2103" i="1"/>
  <c r="AA2103" i="1"/>
  <c r="AB2102" i="1"/>
  <c r="AA2102" i="1"/>
  <c r="AB2101" i="1"/>
  <c r="AA2101" i="1"/>
  <c r="AB2100" i="1"/>
  <c r="AA2100" i="1"/>
  <c r="AB2099" i="1"/>
  <c r="AA2099" i="1"/>
  <c r="AB2098" i="1"/>
  <c r="AA2098" i="1"/>
  <c r="AB2097" i="1"/>
  <c r="AA2097" i="1"/>
  <c r="AB2096" i="1"/>
  <c r="AA2096" i="1"/>
  <c r="AB2095" i="1"/>
  <c r="AA2095" i="1"/>
  <c r="AB2094" i="1"/>
  <c r="AA2094" i="1"/>
  <c r="AB2093" i="1"/>
  <c r="AA2093" i="1"/>
  <c r="AB2092" i="1"/>
  <c r="AA2092" i="1"/>
  <c r="AB2091" i="1"/>
  <c r="AA2091" i="1"/>
  <c r="AB2090" i="1"/>
  <c r="AA2090" i="1"/>
  <c r="AB2089" i="1"/>
  <c r="AA2089" i="1"/>
  <c r="AB2088" i="1"/>
  <c r="AA2088" i="1"/>
  <c r="AB2087" i="1"/>
  <c r="AA2087" i="1"/>
  <c r="AB2086" i="1"/>
  <c r="AA2086" i="1"/>
  <c r="AB2085" i="1"/>
  <c r="AA2085" i="1"/>
  <c r="AB2084" i="1"/>
  <c r="AA2084" i="1"/>
  <c r="AB2083" i="1"/>
  <c r="AA2083" i="1"/>
  <c r="AB2082" i="1"/>
  <c r="AA2082" i="1"/>
  <c r="AB2081" i="1"/>
  <c r="AA2081" i="1"/>
  <c r="AB2080" i="1"/>
  <c r="AA2080" i="1"/>
  <c r="AB2079" i="1"/>
  <c r="AA2079" i="1"/>
  <c r="AB2078" i="1"/>
  <c r="AA2078" i="1"/>
  <c r="AB2077" i="1"/>
  <c r="AA2077" i="1"/>
  <c r="AB2076" i="1"/>
  <c r="AA2076" i="1"/>
  <c r="AB2075" i="1"/>
  <c r="AA2075" i="1"/>
  <c r="AB2074" i="1"/>
  <c r="AA2074" i="1"/>
  <c r="AB2073" i="1"/>
  <c r="AA2073" i="1"/>
  <c r="AB2072" i="1"/>
  <c r="AA2072" i="1"/>
  <c r="AB2071" i="1"/>
  <c r="AA2071" i="1"/>
  <c r="AB2070" i="1"/>
  <c r="AA2070" i="1"/>
  <c r="AB2069" i="1"/>
  <c r="AA2069" i="1"/>
  <c r="AB2068" i="1"/>
  <c r="AA2068" i="1"/>
  <c r="AB2067" i="1"/>
  <c r="AA2067" i="1"/>
  <c r="AB2066" i="1"/>
  <c r="AA2066" i="1"/>
  <c r="AB2065" i="1"/>
  <c r="AA2065" i="1"/>
  <c r="AB2064" i="1"/>
  <c r="AA2064" i="1"/>
  <c r="AB2063" i="1"/>
  <c r="AA2063" i="1"/>
  <c r="AB2062" i="1"/>
  <c r="AA2062" i="1"/>
  <c r="AB2061" i="1"/>
  <c r="AA2061" i="1"/>
  <c r="AB2060" i="1"/>
  <c r="AA2060" i="1"/>
  <c r="AB2059" i="1"/>
  <c r="AA2059" i="1"/>
  <c r="AB2058" i="1"/>
  <c r="AA2058" i="1"/>
  <c r="AB2057" i="1"/>
  <c r="AA2057" i="1"/>
  <c r="AB2056" i="1"/>
  <c r="AA2056" i="1"/>
  <c r="AB2055" i="1"/>
  <c r="AA2055" i="1"/>
  <c r="AB2054" i="1"/>
  <c r="AA2054" i="1"/>
  <c r="AB2053" i="1"/>
  <c r="AA2053" i="1"/>
  <c r="AB2052" i="1"/>
  <c r="AA2052" i="1"/>
  <c r="AB2051" i="1"/>
  <c r="AA2051" i="1"/>
  <c r="AB2050" i="1"/>
  <c r="AA2050" i="1"/>
  <c r="AB2049" i="1"/>
  <c r="AA2049" i="1"/>
  <c r="AB2048" i="1"/>
  <c r="AA2048" i="1"/>
  <c r="AB2047" i="1"/>
  <c r="AA2047" i="1"/>
  <c r="AB2046" i="1"/>
  <c r="AA2046" i="1"/>
  <c r="AB2045" i="1"/>
  <c r="AA2045" i="1"/>
  <c r="AB2044" i="1"/>
  <c r="AA2044" i="1"/>
  <c r="AB2043" i="1"/>
  <c r="AA2043" i="1"/>
  <c r="AB2042" i="1"/>
  <c r="AA2042" i="1"/>
  <c r="AB2041" i="1"/>
  <c r="AA2041" i="1"/>
  <c r="AB2040" i="1"/>
  <c r="AA2040" i="1"/>
  <c r="AB2039" i="1"/>
  <c r="AA2039" i="1"/>
  <c r="AB2038" i="1"/>
  <c r="AA2038" i="1"/>
  <c r="AB2037" i="1"/>
  <c r="AA2037" i="1"/>
  <c r="AB2036" i="1"/>
  <c r="AA2036" i="1"/>
  <c r="AB2035" i="1"/>
  <c r="AA2035" i="1"/>
  <c r="AB2034" i="1"/>
  <c r="AA2034" i="1"/>
  <c r="AB2033" i="1"/>
  <c r="AA2033" i="1"/>
  <c r="AB2032" i="1"/>
  <c r="AA2032" i="1"/>
  <c r="AB2031" i="1"/>
  <c r="AA2031" i="1"/>
  <c r="AB2030" i="1"/>
  <c r="AA2030" i="1"/>
  <c r="AB2029" i="1"/>
  <c r="AA2029" i="1"/>
  <c r="AB2028" i="1"/>
  <c r="AA2028" i="1"/>
  <c r="AB2027" i="1"/>
  <c r="AA2027" i="1"/>
  <c r="AB2026" i="1"/>
  <c r="AA2026" i="1"/>
  <c r="AB2025" i="1"/>
  <c r="AA2025" i="1"/>
  <c r="AB2024" i="1"/>
  <c r="AA2024" i="1"/>
  <c r="AB2023" i="1"/>
  <c r="AA2023" i="1"/>
  <c r="AB2022" i="1"/>
  <c r="AA2022" i="1"/>
  <c r="AB2021" i="1"/>
  <c r="AA2021" i="1"/>
  <c r="AB2020" i="1"/>
  <c r="AA2020" i="1"/>
  <c r="AB2019" i="1"/>
  <c r="AA2019" i="1"/>
  <c r="AB2018" i="1"/>
  <c r="AA2018" i="1"/>
  <c r="AB2017" i="1"/>
  <c r="AA2017" i="1"/>
  <c r="AB2016" i="1"/>
  <c r="AA2016" i="1"/>
  <c r="AB2015" i="1"/>
  <c r="AA2015" i="1"/>
  <c r="AB2014" i="1"/>
  <c r="AA2014" i="1"/>
  <c r="AB2013" i="1"/>
  <c r="AA2013" i="1"/>
  <c r="AB2012" i="1"/>
  <c r="AA2012" i="1"/>
  <c r="AB2011" i="1"/>
  <c r="AA2011" i="1"/>
  <c r="AB2010" i="1"/>
  <c r="AA2010" i="1"/>
  <c r="AB2009" i="1"/>
  <c r="AA2009" i="1"/>
  <c r="AB2008" i="1"/>
  <c r="AA2008" i="1"/>
  <c r="AB2007" i="1"/>
  <c r="AA2007" i="1"/>
  <c r="AB2006" i="1"/>
  <c r="AA2006" i="1"/>
  <c r="AB2005" i="1"/>
  <c r="AA2005" i="1"/>
  <c r="AB2004" i="1"/>
  <c r="AA2004" i="1"/>
  <c r="AB2003" i="1"/>
  <c r="AA2003" i="1"/>
  <c r="AB2002" i="1"/>
  <c r="AA2002" i="1"/>
  <c r="AB2001" i="1"/>
  <c r="AA2001" i="1"/>
  <c r="AB2000" i="1"/>
  <c r="AA2000" i="1"/>
  <c r="AB1999" i="1"/>
  <c r="AA1999" i="1"/>
  <c r="AB1998" i="1"/>
  <c r="AA1998" i="1"/>
  <c r="AB1997" i="1"/>
  <c r="AA1997" i="1"/>
  <c r="AB1996" i="1"/>
  <c r="AA1996" i="1"/>
  <c r="AB1995" i="1"/>
  <c r="AA1995" i="1"/>
  <c r="AB1994" i="1"/>
  <c r="AA1994" i="1"/>
  <c r="AB1993" i="1"/>
  <c r="AA1993" i="1"/>
  <c r="AB1992" i="1"/>
  <c r="AA1992" i="1"/>
  <c r="AB1991" i="1"/>
  <c r="AA1991" i="1"/>
  <c r="AB1990" i="1"/>
  <c r="AA1990" i="1"/>
  <c r="AB1989" i="1"/>
  <c r="AA1989" i="1"/>
  <c r="AB1988" i="1"/>
  <c r="AA1988" i="1"/>
  <c r="AB1987" i="1"/>
  <c r="AA1987" i="1"/>
  <c r="AB1986" i="1"/>
  <c r="AA1986" i="1"/>
  <c r="AB1985" i="1"/>
  <c r="AA1985" i="1"/>
  <c r="AB1984" i="1"/>
  <c r="AA1984" i="1"/>
  <c r="AB1983" i="1"/>
  <c r="AA1983" i="1"/>
  <c r="AB1982" i="1"/>
  <c r="AA1982" i="1"/>
  <c r="AB1981" i="1"/>
  <c r="AA1981" i="1"/>
  <c r="AB1980" i="1"/>
  <c r="AA1980" i="1"/>
  <c r="AB1979" i="1"/>
  <c r="AA1979" i="1"/>
  <c r="AB1978" i="1"/>
  <c r="AA1978" i="1"/>
  <c r="AB1977" i="1"/>
  <c r="AA1977" i="1"/>
  <c r="AB1976" i="1"/>
  <c r="AA1976" i="1"/>
  <c r="AB1975" i="1"/>
  <c r="AA1975" i="1"/>
  <c r="AB1974" i="1"/>
  <c r="AA1974" i="1"/>
  <c r="AB1973" i="1"/>
  <c r="AA1973" i="1"/>
  <c r="AB1972" i="1"/>
  <c r="AA1972" i="1"/>
  <c r="AB1971" i="1"/>
  <c r="AA1971" i="1"/>
  <c r="AB1970" i="1"/>
  <c r="AA1970" i="1"/>
  <c r="AB1969" i="1"/>
  <c r="AA1969" i="1"/>
  <c r="AB1968" i="1"/>
  <c r="AA1968" i="1"/>
  <c r="AB1967" i="1"/>
  <c r="AA1967" i="1"/>
  <c r="AB1966" i="1"/>
  <c r="AA1966" i="1"/>
  <c r="AB1965" i="1"/>
  <c r="AA1965" i="1"/>
  <c r="AB1964" i="1"/>
  <c r="AA1964" i="1"/>
  <c r="AB1963" i="1"/>
  <c r="AA1963" i="1"/>
  <c r="AB1962" i="1"/>
  <c r="AA1962" i="1"/>
  <c r="AB1961" i="1"/>
  <c r="AA1961" i="1"/>
  <c r="AB1960" i="1"/>
  <c r="AA1960" i="1"/>
  <c r="AB1959" i="1"/>
  <c r="AA1959" i="1"/>
  <c r="AB1958" i="1"/>
  <c r="AA1958" i="1"/>
  <c r="AB1957" i="1"/>
  <c r="AA1957" i="1"/>
  <c r="AB1956" i="1"/>
  <c r="AA1956" i="1"/>
  <c r="AB1955" i="1"/>
  <c r="AA1955" i="1"/>
  <c r="AB1954" i="1"/>
  <c r="AA1954" i="1"/>
  <c r="AB1953" i="1"/>
  <c r="AA1953" i="1"/>
  <c r="AB1952" i="1"/>
  <c r="AA1952" i="1"/>
  <c r="AB1951" i="1"/>
  <c r="AA1951" i="1"/>
  <c r="AB1950" i="1"/>
  <c r="AA1950" i="1"/>
  <c r="AB1949" i="1"/>
  <c r="AA1949" i="1"/>
  <c r="AB1948" i="1"/>
  <c r="AA1948" i="1"/>
  <c r="AB1947" i="1"/>
  <c r="AA1947" i="1"/>
  <c r="AB1946" i="1"/>
  <c r="AA1946" i="1"/>
  <c r="AB1945" i="1"/>
  <c r="AA1945" i="1"/>
  <c r="AB1944" i="1"/>
  <c r="AA1944" i="1"/>
  <c r="AB1943" i="1"/>
  <c r="AA1943" i="1"/>
  <c r="AB1942" i="1"/>
  <c r="AA1942" i="1"/>
  <c r="AB1941" i="1"/>
  <c r="AA1941" i="1"/>
  <c r="AB1940" i="1"/>
  <c r="AA1940" i="1"/>
  <c r="AB1939" i="1"/>
  <c r="AA1939" i="1"/>
  <c r="AB1938" i="1"/>
  <c r="AA1938" i="1"/>
  <c r="AB1937" i="1"/>
  <c r="AA1937" i="1"/>
  <c r="AB1936" i="1"/>
  <c r="AA1936" i="1"/>
  <c r="AB1935" i="1"/>
  <c r="AA1935" i="1"/>
  <c r="AB1934" i="1"/>
  <c r="AA1934" i="1"/>
  <c r="AB1933" i="1"/>
  <c r="AA1933" i="1"/>
  <c r="AB1932" i="1"/>
  <c r="AA1932" i="1"/>
  <c r="AB1931" i="1"/>
  <c r="AA1931" i="1"/>
  <c r="AB1930" i="1"/>
  <c r="AA1930" i="1"/>
  <c r="AB1929" i="1"/>
  <c r="AA1929" i="1"/>
  <c r="AB1928" i="1"/>
  <c r="AA1928" i="1"/>
  <c r="AB1927" i="1"/>
  <c r="AA1927" i="1"/>
  <c r="AB1926" i="1"/>
  <c r="AA1926" i="1"/>
  <c r="AB1925" i="1"/>
  <c r="AA1925" i="1"/>
  <c r="AB1924" i="1"/>
  <c r="AA1924" i="1"/>
  <c r="AB1923" i="1"/>
  <c r="AA1923" i="1"/>
  <c r="AB1922" i="1"/>
  <c r="AA1922" i="1"/>
  <c r="AB1921" i="1"/>
  <c r="AA1921" i="1"/>
  <c r="AB1920" i="1"/>
  <c r="AA1920" i="1"/>
  <c r="AB1919" i="1"/>
  <c r="AA1919" i="1"/>
  <c r="AB1918" i="1"/>
  <c r="AA1918" i="1"/>
  <c r="AB1917" i="1"/>
  <c r="AA1917" i="1"/>
  <c r="AB1916" i="1"/>
  <c r="AA1916" i="1"/>
  <c r="AB1915" i="1"/>
  <c r="AA1915" i="1"/>
  <c r="AB1914" i="1"/>
  <c r="AA1914" i="1"/>
  <c r="AB1913" i="1"/>
  <c r="AA1913" i="1"/>
  <c r="AB1912" i="1"/>
  <c r="AA1912" i="1"/>
  <c r="AB1911" i="1"/>
  <c r="AA1911" i="1"/>
  <c r="AB1910" i="1"/>
  <c r="AA1910" i="1"/>
  <c r="AB1909" i="1"/>
  <c r="AA1909" i="1"/>
  <c r="AB1908" i="1"/>
  <c r="AA1908" i="1"/>
  <c r="AB1907" i="1"/>
  <c r="AA1907" i="1"/>
  <c r="AB1906" i="1"/>
  <c r="AA1906" i="1"/>
  <c r="AB1905" i="1"/>
  <c r="AA1905" i="1"/>
  <c r="AB1904" i="1"/>
  <c r="AA1904" i="1"/>
  <c r="AB1903" i="1"/>
  <c r="AA1903" i="1"/>
  <c r="AB1902" i="1"/>
  <c r="AA1902" i="1"/>
  <c r="AB1901" i="1"/>
  <c r="AA1901" i="1"/>
  <c r="AB1900" i="1"/>
  <c r="AA1900" i="1"/>
  <c r="AB1899" i="1"/>
  <c r="AA1899" i="1"/>
  <c r="AB1898" i="1"/>
  <c r="AA1898" i="1"/>
  <c r="AB1897" i="1"/>
  <c r="AA1897" i="1"/>
  <c r="AB1896" i="1"/>
  <c r="AA1896" i="1"/>
  <c r="AB1895" i="1"/>
  <c r="AA1895" i="1"/>
  <c r="AB1894" i="1"/>
  <c r="AA1894" i="1"/>
  <c r="AB1893" i="1"/>
  <c r="AA1893" i="1"/>
  <c r="AB1892" i="1"/>
  <c r="AA1892" i="1"/>
  <c r="AB1891" i="1"/>
  <c r="AA1891" i="1"/>
  <c r="AB1890" i="1"/>
  <c r="AA1890" i="1"/>
  <c r="AB1889" i="1"/>
  <c r="AA1889" i="1"/>
  <c r="AB1888" i="1"/>
  <c r="AA1888" i="1"/>
  <c r="AB1887" i="1"/>
  <c r="AA1887" i="1"/>
  <c r="AB1886" i="1"/>
  <c r="AA1886" i="1"/>
  <c r="AB1885" i="1"/>
  <c r="AA1885" i="1"/>
  <c r="AB1884" i="1"/>
  <c r="AA1884" i="1"/>
  <c r="AB1883" i="1"/>
  <c r="AA1883" i="1"/>
  <c r="AB1882" i="1"/>
  <c r="AA1882" i="1"/>
  <c r="AB1881" i="1"/>
  <c r="AA1881" i="1"/>
  <c r="AB1880" i="1"/>
  <c r="AA1880" i="1"/>
  <c r="AB1879" i="1"/>
  <c r="AA1879" i="1"/>
  <c r="AB1878" i="1"/>
  <c r="AA1878" i="1"/>
  <c r="AB1877" i="1"/>
  <c r="AA1877" i="1"/>
  <c r="AB1876" i="1"/>
  <c r="AA1876" i="1"/>
  <c r="AB1875" i="1"/>
  <c r="AA1875" i="1"/>
  <c r="AB1874" i="1"/>
  <c r="AA1874" i="1"/>
  <c r="AB1873" i="1"/>
  <c r="AA1873" i="1"/>
  <c r="AB1872" i="1"/>
  <c r="AA1872" i="1"/>
  <c r="AB1871" i="1"/>
  <c r="AA1871" i="1"/>
  <c r="AB1870" i="1"/>
  <c r="AA1870" i="1"/>
  <c r="AB1869" i="1"/>
  <c r="AA1869" i="1"/>
  <c r="AB1868" i="1"/>
  <c r="AA1868" i="1"/>
  <c r="AB1867" i="1"/>
  <c r="AA1867" i="1"/>
  <c r="AB1866" i="1"/>
  <c r="AA1866" i="1"/>
  <c r="AB1865" i="1"/>
  <c r="AA1865" i="1"/>
  <c r="AB1864" i="1"/>
  <c r="AA1864" i="1"/>
  <c r="AB1863" i="1"/>
  <c r="AA1863" i="1"/>
  <c r="AB1862" i="1"/>
  <c r="AA1862" i="1"/>
  <c r="AB1861" i="1"/>
  <c r="AA1861" i="1"/>
  <c r="AB1860" i="1"/>
  <c r="AA1860" i="1"/>
  <c r="AB1859" i="1"/>
  <c r="AA1859" i="1"/>
  <c r="AB1858" i="1"/>
  <c r="AA1858" i="1"/>
  <c r="AB1857" i="1"/>
  <c r="AA1857" i="1"/>
  <c r="AB1856" i="1"/>
  <c r="AA1856" i="1"/>
  <c r="AB1855" i="1"/>
  <c r="AA1855" i="1"/>
  <c r="AB1854" i="1"/>
  <c r="AA1854" i="1"/>
  <c r="AB1853" i="1"/>
  <c r="AA1853" i="1"/>
  <c r="AB1852" i="1"/>
  <c r="AA1852" i="1"/>
  <c r="AB1851" i="1"/>
  <c r="AA1851" i="1"/>
  <c r="AB1850" i="1"/>
  <c r="AA1850" i="1"/>
  <c r="AB1849" i="1"/>
  <c r="AA1849" i="1"/>
  <c r="AB1848" i="1"/>
  <c r="AA1848" i="1"/>
  <c r="AB1847" i="1"/>
  <c r="AA1847" i="1"/>
  <c r="AB1846" i="1"/>
  <c r="AA1846" i="1"/>
  <c r="AB1845" i="1"/>
  <c r="AA1845" i="1"/>
  <c r="AB1844" i="1"/>
  <c r="AA1844" i="1"/>
  <c r="AB1843" i="1"/>
  <c r="AA1843" i="1"/>
  <c r="AB1842" i="1"/>
  <c r="AA1842" i="1"/>
  <c r="AB1841" i="1"/>
  <c r="AA1841" i="1"/>
  <c r="AB1840" i="1"/>
  <c r="AA1840" i="1"/>
  <c r="AB1839" i="1"/>
  <c r="AA1839" i="1"/>
  <c r="AB1838" i="1"/>
  <c r="AA1838" i="1"/>
  <c r="AB1837" i="1"/>
  <c r="AA1837" i="1"/>
  <c r="AB1836" i="1"/>
  <c r="AA1836" i="1"/>
  <c r="AB1835" i="1"/>
  <c r="AA1835" i="1"/>
  <c r="AB1834" i="1"/>
  <c r="AA1834" i="1"/>
  <c r="AB1833" i="1"/>
  <c r="AA1833" i="1"/>
  <c r="AB1832" i="1"/>
  <c r="AA1832" i="1"/>
  <c r="AB1831" i="1"/>
  <c r="AA1831" i="1"/>
  <c r="AB1830" i="1"/>
  <c r="AA1830" i="1"/>
  <c r="AB1829" i="1"/>
  <c r="AA1829" i="1"/>
  <c r="AB1828" i="1"/>
  <c r="AA1828" i="1"/>
  <c r="AB1827" i="1"/>
  <c r="AA1827" i="1"/>
  <c r="AB1826" i="1"/>
  <c r="AA1826" i="1"/>
  <c r="AB1825" i="1"/>
  <c r="AA1825" i="1"/>
  <c r="AB1824" i="1"/>
  <c r="AA1824" i="1"/>
  <c r="AB1823" i="1"/>
  <c r="AA1823" i="1"/>
  <c r="AB1822" i="1"/>
  <c r="AA1822" i="1"/>
  <c r="AB1821" i="1"/>
  <c r="AA1821" i="1"/>
  <c r="AB1820" i="1"/>
  <c r="AA1820" i="1"/>
  <c r="AB1819" i="1"/>
  <c r="AA1819" i="1"/>
  <c r="AB1818" i="1"/>
  <c r="AA1818" i="1"/>
  <c r="AB1817" i="1"/>
  <c r="AA1817" i="1"/>
  <c r="AB1816" i="1"/>
  <c r="AA1816" i="1"/>
  <c r="AB1815" i="1"/>
  <c r="AA1815" i="1"/>
  <c r="AB1814" i="1"/>
  <c r="AA1814" i="1"/>
  <c r="AB1813" i="1"/>
  <c r="AA1813" i="1"/>
  <c r="AB1812" i="1"/>
  <c r="AA1812" i="1"/>
  <c r="AB1811" i="1"/>
  <c r="AA1811" i="1"/>
  <c r="AB1810" i="1"/>
  <c r="AA1810" i="1"/>
  <c r="AB1809" i="1"/>
  <c r="AA1809" i="1"/>
  <c r="AB1808" i="1"/>
  <c r="AA1808" i="1"/>
  <c r="AB1807" i="1"/>
  <c r="AA1807" i="1"/>
  <c r="AB1806" i="1"/>
  <c r="AA1806" i="1"/>
  <c r="AB1805" i="1"/>
  <c r="AA1805" i="1"/>
  <c r="AB1804" i="1"/>
  <c r="AA1804" i="1"/>
  <c r="AB1803" i="1"/>
  <c r="AA1803" i="1"/>
  <c r="AB1802" i="1"/>
  <c r="AA1802" i="1"/>
  <c r="AB1801" i="1"/>
  <c r="AA1801" i="1"/>
  <c r="AB1800" i="1"/>
  <c r="AA1800" i="1"/>
  <c r="AB1799" i="1"/>
  <c r="AA1799" i="1"/>
  <c r="AB1798" i="1"/>
  <c r="AA1798" i="1"/>
  <c r="AB1797" i="1"/>
  <c r="AA1797" i="1"/>
  <c r="AB1796" i="1"/>
  <c r="AA1796" i="1"/>
  <c r="AB1795" i="1"/>
  <c r="AA1795" i="1"/>
  <c r="AB1794" i="1"/>
  <c r="AA1794" i="1"/>
  <c r="AB1793" i="1"/>
  <c r="AA1793" i="1"/>
  <c r="AB1792" i="1"/>
  <c r="AA1792" i="1"/>
  <c r="AB1791" i="1"/>
  <c r="AA1791" i="1"/>
  <c r="AB1790" i="1"/>
  <c r="AA1790" i="1"/>
  <c r="AB1789" i="1"/>
  <c r="AA1789" i="1"/>
  <c r="AB1788" i="1"/>
  <c r="AA1788" i="1"/>
  <c r="AB1787" i="1"/>
  <c r="AA1787" i="1"/>
  <c r="AB1786" i="1"/>
  <c r="AA1786" i="1"/>
  <c r="AB1785" i="1"/>
  <c r="AA1785" i="1"/>
  <c r="AB1784" i="1"/>
  <c r="AA1784" i="1"/>
  <c r="AB1783" i="1"/>
  <c r="AA1783" i="1"/>
  <c r="AB1782" i="1"/>
  <c r="AA1782" i="1"/>
  <c r="AB1781" i="1"/>
  <c r="AA1781" i="1"/>
  <c r="AB1780" i="1"/>
  <c r="AA1780" i="1"/>
  <c r="AB1779" i="1"/>
  <c r="AA1779" i="1"/>
  <c r="AB1778" i="1"/>
  <c r="AA1778" i="1"/>
  <c r="AB1777" i="1"/>
  <c r="AA1777" i="1"/>
  <c r="AB1776" i="1"/>
  <c r="AA1776" i="1"/>
  <c r="AB1775" i="1"/>
  <c r="AA1775" i="1"/>
  <c r="AB1774" i="1"/>
  <c r="AA1774" i="1"/>
  <c r="AB1773" i="1"/>
  <c r="AA1773" i="1"/>
  <c r="AB1772" i="1"/>
  <c r="AA1772" i="1"/>
  <c r="AB1771" i="1"/>
  <c r="AA1771" i="1"/>
  <c r="AB1770" i="1"/>
  <c r="AA1770" i="1"/>
  <c r="AB1769" i="1"/>
  <c r="AA1769" i="1"/>
  <c r="AB1768" i="1"/>
  <c r="AA1768" i="1"/>
  <c r="AB1767" i="1"/>
  <c r="AA1767" i="1"/>
  <c r="AB1766" i="1"/>
  <c r="AA1766" i="1"/>
  <c r="AB1765" i="1"/>
  <c r="AA1765" i="1"/>
  <c r="AB1764" i="1"/>
  <c r="AA1764" i="1"/>
  <c r="AB1763" i="1"/>
  <c r="AA1763" i="1"/>
  <c r="AB1762" i="1"/>
  <c r="AA1762" i="1"/>
  <c r="AB1761" i="1"/>
  <c r="AA1761" i="1"/>
  <c r="AB1760" i="1"/>
  <c r="AA1760" i="1"/>
  <c r="AB1759" i="1"/>
  <c r="AA1759" i="1"/>
  <c r="AB1758" i="1"/>
  <c r="AA1758" i="1"/>
  <c r="AB1757" i="1"/>
  <c r="AA1757" i="1"/>
  <c r="AB1756" i="1"/>
  <c r="AA1756" i="1"/>
  <c r="AB1755" i="1"/>
  <c r="AA1755" i="1"/>
  <c r="AB1754" i="1"/>
  <c r="AA1754" i="1"/>
  <c r="AB1753" i="1"/>
  <c r="AA1753" i="1"/>
  <c r="AB1752" i="1"/>
  <c r="AA1752" i="1"/>
  <c r="AB1751" i="1"/>
  <c r="AA1751" i="1"/>
  <c r="AB1750" i="1"/>
  <c r="AA1750" i="1"/>
  <c r="AB1749" i="1"/>
  <c r="AA1749" i="1"/>
  <c r="AB1748" i="1"/>
  <c r="AA1748" i="1"/>
  <c r="AB1747" i="1"/>
  <c r="AA1747" i="1"/>
  <c r="AB1746" i="1"/>
  <c r="AA1746" i="1"/>
  <c r="AB1745" i="1"/>
  <c r="AA1745" i="1"/>
  <c r="AB1744" i="1"/>
  <c r="AA1744" i="1"/>
  <c r="AB1743" i="1"/>
  <c r="AA1743" i="1"/>
  <c r="AB1742" i="1"/>
  <c r="AA1742" i="1"/>
  <c r="AB1741" i="1"/>
  <c r="AA1741" i="1"/>
  <c r="AB1740" i="1"/>
  <c r="AA1740" i="1"/>
  <c r="AB1739" i="1"/>
  <c r="AA1739" i="1"/>
  <c r="AB1738" i="1"/>
  <c r="AA1738" i="1"/>
  <c r="AB1737" i="1"/>
  <c r="AA1737" i="1"/>
  <c r="AB1736" i="1"/>
  <c r="AA1736" i="1"/>
  <c r="AB1735" i="1"/>
  <c r="AA1735" i="1"/>
  <c r="AB1734" i="1"/>
  <c r="AA1734" i="1"/>
  <c r="AB1733" i="1"/>
  <c r="AA1733" i="1"/>
  <c r="AB1732" i="1"/>
  <c r="AA1732" i="1"/>
  <c r="AB1731" i="1"/>
  <c r="AA1731" i="1"/>
  <c r="AB1730" i="1"/>
  <c r="AA1730" i="1"/>
  <c r="AB1729" i="1"/>
  <c r="AA1729" i="1"/>
  <c r="AB1728" i="1"/>
  <c r="AA1728" i="1"/>
  <c r="AB1727" i="1"/>
  <c r="AA1727" i="1"/>
  <c r="AB1726" i="1"/>
  <c r="AA1726" i="1"/>
  <c r="AB1725" i="1"/>
  <c r="AA1725" i="1"/>
  <c r="AB1724" i="1"/>
  <c r="AA1724" i="1"/>
  <c r="AB1723" i="1"/>
  <c r="AA1723" i="1"/>
  <c r="AB1722" i="1"/>
  <c r="AA1722" i="1"/>
  <c r="AB1721" i="1"/>
  <c r="AA1721" i="1"/>
  <c r="AB1720" i="1"/>
  <c r="AA1720" i="1"/>
  <c r="AB1719" i="1"/>
  <c r="AA1719" i="1"/>
  <c r="AB1718" i="1"/>
  <c r="AA1718" i="1"/>
  <c r="AB1717" i="1"/>
  <c r="AA1717" i="1"/>
  <c r="AB1716" i="1"/>
  <c r="AA1716" i="1"/>
  <c r="AB1715" i="1"/>
  <c r="AA1715" i="1"/>
  <c r="AB1714" i="1"/>
  <c r="AA1714" i="1"/>
  <c r="AB1713" i="1"/>
  <c r="AA1713" i="1"/>
  <c r="AB1712" i="1"/>
  <c r="AA1712" i="1"/>
  <c r="AB1711" i="1"/>
  <c r="AA1711" i="1"/>
  <c r="AB1710" i="1"/>
  <c r="AA1710" i="1"/>
  <c r="AB1709" i="1"/>
  <c r="AA1709" i="1"/>
  <c r="AB1708" i="1"/>
  <c r="AA1708" i="1"/>
  <c r="AB1707" i="1"/>
  <c r="AA1707" i="1"/>
  <c r="AB1706" i="1"/>
  <c r="AA1706" i="1"/>
  <c r="AB1705" i="1"/>
  <c r="AA1705" i="1"/>
  <c r="AB1704" i="1"/>
  <c r="AA1704" i="1"/>
  <c r="AB1703" i="1"/>
  <c r="AA1703" i="1"/>
  <c r="AB1702" i="1"/>
  <c r="AA1702" i="1"/>
  <c r="AB1701" i="1"/>
  <c r="AA1701" i="1"/>
  <c r="AB1700" i="1"/>
  <c r="AA1700" i="1"/>
  <c r="AB1699" i="1"/>
  <c r="AA1699" i="1"/>
  <c r="AB1698" i="1"/>
  <c r="AA1698" i="1"/>
  <c r="AB1697" i="1"/>
  <c r="AA1697" i="1"/>
  <c r="AB1696" i="1"/>
  <c r="AA1696" i="1"/>
  <c r="AB1695" i="1"/>
  <c r="AA1695" i="1"/>
  <c r="AB1694" i="1"/>
  <c r="AA1694" i="1"/>
  <c r="AB1693" i="1"/>
  <c r="AA1693" i="1"/>
  <c r="AB1692" i="1"/>
  <c r="AA1692" i="1"/>
  <c r="AB1691" i="1"/>
  <c r="AA1691" i="1"/>
  <c r="AB1690" i="1"/>
  <c r="AA1690" i="1"/>
  <c r="AB1689" i="1"/>
  <c r="AA1689" i="1"/>
  <c r="AB1688" i="1"/>
  <c r="AA1688" i="1"/>
  <c r="AB1687" i="1"/>
  <c r="AA1687" i="1"/>
  <c r="AB1686" i="1"/>
  <c r="AA1686" i="1"/>
  <c r="AB1685" i="1"/>
  <c r="AA1685" i="1"/>
  <c r="AB1684" i="1"/>
  <c r="AA1684" i="1"/>
  <c r="AB1683" i="1"/>
  <c r="AA1683" i="1"/>
  <c r="AB1682" i="1"/>
  <c r="AA1682" i="1"/>
  <c r="AB1681" i="1"/>
  <c r="AA1681" i="1"/>
  <c r="AB1680" i="1"/>
  <c r="AA1680" i="1"/>
  <c r="AB1679" i="1"/>
  <c r="AA1679" i="1"/>
  <c r="AB1678" i="1"/>
  <c r="AA1678" i="1"/>
  <c r="AB1677" i="1"/>
  <c r="AA1677" i="1"/>
  <c r="AB1676" i="1"/>
  <c r="AA1676" i="1"/>
  <c r="AB1675" i="1"/>
  <c r="AA1675" i="1"/>
  <c r="AB1674" i="1"/>
  <c r="AA1674" i="1"/>
  <c r="AB1673" i="1"/>
  <c r="AA1673" i="1"/>
  <c r="AB1672" i="1"/>
  <c r="AA1672" i="1"/>
  <c r="AB1671" i="1"/>
  <c r="AA1671" i="1"/>
  <c r="AB1670" i="1"/>
  <c r="AA1670" i="1"/>
  <c r="AB1669" i="1"/>
  <c r="AA1669" i="1"/>
  <c r="AB1668" i="1"/>
  <c r="AA1668" i="1"/>
  <c r="AB1667" i="1"/>
  <c r="AA1667" i="1"/>
  <c r="AB1666" i="1"/>
  <c r="AA1666" i="1"/>
  <c r="AB1665" i="1"/>
  <c r="AA1665" i="1"/>
  <c r="AB1664" i="1"/>
  <c r="AA1664" i="1"/>
  <c r="AB1663" i="1"/>
  <c r="AA1663" i="1"/>
  <c r="AB1662" i="1"/>
  <c r="AA1662" i="1"/>
  <c r="AB1661" i="1"/>
  <c r="AA1661" i="1"/>
  <c r="AB1660" i="1"/>
  <c r="AA1660" i="1"/>
  <c r="AB1659" i="1"/>
  <c r="AA1659" i="1"/>
  <c r="AB1658" i="1"/>
  <c r="AA1658" i="1"/>
  <c r="AB1657" i="1"/>
  <c r="AA1657" i="1"/>
  <c r="AB1656" i="1"/>
  <c r="AA1656" i="1"/>
  <c r="AB1655" i="1"/>
  <c r="AA1655" i="1"/>
  <c r="AB1654" i="1"/>
  <c r="AA1654" i="1"/>
  <c r="AB1653" i="1"/>
  <c r="AA1653" i="1"/>
  <c r="AB1652" i="1"/>
  <c r="AA1652" i="1"/>
  <c r="AB1651" i="1"/>
  <c r="AA1651" i="1"/>
  <c r="AB1650" i="1"/>
  <c r="AA1650" i="1"/>
  <c r="AB1649" i="1"/>
  <c r="AA1649" i="1"/>
  <c r="AB1648" i="1"/>
  <c r="AA1648" i="1"/>
  <c r="AB1647" i="1"/>
  <c r="AA1647" i="1"/>
  <c r="AB1646" i="1"/>
  <c r="AA1646" i="1"/>
  <c r="AB1645" i="1"/>
  <c r="AA1645" i="1"/>
  <c r="AB1644" i="1"/>
  <c r="AA1644" i="1"/>
  <c r="AB1643" i="1"/>
  <c r="AA1643" i="1"/>
  <c r="AB1642" i="1"/>
  <c r="AA1642" i="1"/>
  <c r="AB1641" i="1"/>
  <c r="AA1641" i="1"/>
  <c r="AB1640" i="1"/>
  <c r="AA1640" i="1"/>
  <c r="AB1639" i="1"/>
  <c r="AA1639" i="1"/>
  <c r="AB1638" i="1"/>
  <c r="AA1638" i="1"/>
  <c r="AB1637" i="1"/>
  <c r="AA1637" i="1"/>
  <c r="AB1636" i="1"/>
  <c r="AA1636" i="1"/>
  <c r="AB1635" i="1"/>
  <c r="AA1635" i="1"/>
  <c r="AB1634" i="1"/>
  <c r="AA1634" i="1"/>
  <c r="AB1633" i="1"/>
  <c r="AA1633" i="1"/>
  <c r="AB1632" i="1"/>
  <c r="AA1632" i="1"/>
  <c r="AB1631" i="1"/>
  <c r="AA1631" i="1"/>
  <c r="AB1630" i="1"/>
  <c r="AA1630" i="1"/>
  <c r="AB1629" i="1"/>
  <c r="AA1629" i="1"/>
  <c r="AB1628" i="1"/>
  <c r="AA1628" i="1"/>
  <c r="AB1627" i="1"/>
  <c r="AA1627" i="1"/>
  <c r="AB1626" i="1"/>
  <c r="AA1626" i="1"/>
  <c r="AB1625" i="1"/>
  <c r="AA1625" i="1"/>
  <c r="AB1624" i="1"/>
  <c r="AA1624" i="1"/>
  <c r="AB1623" i="1"/>
  <c r="AA1623" i="1"/>
  <c r="AB1622" i="1"/>
  <c r="AA1622" i="1"/>
  <c r="AB1621" i="1"/>
  <c r="AA1621" i="1"/>
  <c r="AB1620" i="1"/>
  <c r="AA1620" i="1"/>
  <c r="AB1619" i="1"/>
  <c r="AA1619" i="1"/>
  <c r="AB1618" i="1"/>
  <c r="AA1618" i="1"/>
  <c r="AB1617" i="1"/>
  <c r="AA1617" i="1"/>
  <c r="AB1616" i="1"/>
  <c r="AA1616" i="1"/>
  <c r="AB1615" i="1"/>
  <c r="AA1615" i="1"/>
  <c r="AB1614" i="1"/>
  <c r="AA1614" i="1"/>
  <c r="AB1613" i="1"/>
  <c r="AA1613" i="1"/>
  <c r="AB1612" i="1"/>
  <c r="AA1612" i="1"/>
  <c r="AB1611" i="1"/>
  <c r="AA1611" i="1"/>
  <c r="AB1610" i="1"/>
  <c r="AA1610" i="1"/>
  <c r="AB1609" i="1"/>
  <c r="AA1609" i="1"/>
  <c r="AB1608" i="1"/>
  <c r="AA1608" i="1"/>
  <c r="AB1607" i="1"/>
  <c r="AA1607" i="1"/>
  <c r="AB1606" i="1"/>
  <c r="AA1606" i="1"/>
  <c r="AB1605" i="1"/>
  <c r="AA1605" i="1"/>
  <c r="AB1604" i="1"/>
  <c r="AA1604" i="1"/>
  <c r="AB1603" i="1"/>
  <c r="AA1603" i="1"/>
  <c r="AB1602" i="1"/>
  <c r="AA1602" i="1"/>
  <c r="AB1601" i="1"/>
  <c r="AA1601" i="1"/>
  <c r="AB1600" i="1"/>
  <c r="AA1600" i="1"/>
  <c r="AB1599" i="1"/>
  <c r="AA1599" i="1"/>
  <c r="AB1598" i="1"/>
  <c r="AA1598" i="1"/>
  <c r="AB1597" i="1"/>
  <c r="AA1597" i="1"/>
  <c r="AB1596" i="1"/>
  <c r="AA1596" i="1"/>
  <c r="AB1595" i="1"/>
  <c r="AA1595" i="1"/>
  <c r="AB1594" i="1"/>
  <c r="AA1594" i="1"/>
  <c r="AB1593" i="1"/>
  <c r="AA1593" i="1"/>
  <c r="AB1592" i="1"/>
  <c r="AA1592" i="1"/>
  <c r="AB1591" i="1"/>
  <c r="AA1591" i="1"/>
  <c r="AB1590" i="1"/>
  <c r="AA1590" i="1"/>
  <c r="AB1589" i="1"/>
  <c r="AA1589" i="1"/>
  <c r="AB1588" i="1"/>
  <c r="AA1588" i="1"/>
  <c r="AB1587" i="1"/>
  <c r="AA1587" i="1"/>
  <c r="AB1586" i="1"/>
  <c r="AA1586" i="1"/>
  <c r="AB1585" i="1"/>
  <c r="AA1585" i="1"/>
  <c r="AB1584" i="1"/>
  <c r="AA1584" i="1"/>
  <c r="AB1583" i="1"/>
  <c r="AA1583" i="1"/>
  <c r="AB1582" i="1"/>
  <c r="AA1582" i="1"/>
  <c r="AB1581" i="1"/>
  <c r="AA1581" i="1"/>
  <c r="AB1580" i="1"/>
  <c r="AA1580" i="1"/>
  <c r="AB1579" i="1"/>
  <c r="AA1579" i="1"/>
  <c r="AB1578" i="1"/>
  <c r="AA1578" i="1"/>
  <c r="AB1577" i="1"/>
  <c r="AA1577" i="1"/>
  <c r="AB1576" i="1"/>
  <c r="AA1576" i="1"/>
  <c r="AB1575" i="1"/>
  <c r="AA1575" i="1"/>
  <c r="AB1574" i="1"/>
  <c r="AA1574" i="1"/>
  <c r="AB1573" i="1"/>
  <c r="AA1573" i="1"/>
  <c r="AB1572" i="1"/>
  <c r="AA1572" i="1"/>
  <c r="AB1571" i="1"/>
  <c r="AA1571" i="1"/>
  <c r="AB1570" i="1"/>
  <c r="AA1570" i="1"/>
  <c r="AB1569" i="1"/>
  <c r="AA1569" i="1"/>
  <c r="AB1568" i="1"/>
  <c r="AA1568" i="1"/>
  <c r="AB1567" i="1"/>
  <c r="AA1567" i="1"/>
  <c r="AB1566" i="1"/>
  <c r="AA1566" i="1"/>
  <c r="AB1565" i="1"/>
  <c r="AA1565" i="1"/>
  <c r="AB1564" i="1"/>
  <c r="AA1564" i="1"/>
  <c r="AB1563" i="1"/>
  <c r="AA1563" i="1"/>
  <c r="AB1562" i="1"/>
  <c r="AA1562" i="1"/>
  <c r="AB1561" i="1"/>
  <c r="AA1561" i="1"/>
  <c r="AB1560" i="1"/>
  <c r="AA1560" i="1"/>
  <c r="AB1559" i="1"/>
  <c r="AA1559" i="1"/>
  <c r="AB1558" i="1"/>
  <c r="AA1558" i="1"/>
  <c r="AB1557" i="1"/>
  <c r="AA1557" i="1"/>
  <c r="AB1556" i="1"/>
  <c r="AA1556" i="1"/>
  <c r="AB1555" i="1"/>
  <c r="AA1555" i="1"/>
  <c r="AB1554" i="1"/>
  <c r="AA1554" i="1"/>
  <c r="AB1553" i="1"/>
  <c r="AA1553" i="1"/>
  <c r="AB1552" i="1"/>
  <c r="AA1552" i="1"/>
  <c r="AB1551" i="1"/>
  <c r="AA1551" i="1"/>
  <c r="AB1550" i="1"/>
  <c r="AA1550" i="1"/>
  <c r="AB1549" i="1"/>
  <c r="AA1549" i="1"/>
  <c r="AB1548" i="1"/>
  <c r="AA1548" i="1"/>
  <c r="AB1547" i="1"/>
  <c r="AA1547" i="1"/>
  <c r="AB1546" i="1"/>
  <c r="AA1546" i="1"/>
  <c r="AB1545" i="1"/>
  <c r="AA1545" i="1"/>
  <c r="AB1544" i="1"/>
  <c r="AA1544" i="1"/>
  <c r="AB1543" i="1"/>
  <c r="AA1543" i="1"/>
  <c r="AB1542" i="1"/>
  <c r="AA1542" i="1"/>
  <c r="AB1541" i="1"/>
  <c r="AA1541" i="1"/>
  <c r="AB1540" i="1"/>
  <c r="AA1540" i="1"/>
  <c r="AB1539" i="1"/>
  <c r="AA1539" i="1"/>
  <c r="AB1538" i="1"/>
  <c r="AA1538" i="1"/>
  <c r="AB1537" i="1"/>
  <c r="AA1537" i="1"/>
  <c r="AB1536" i="1"/>
  <c r="AA1536" i="1"/>
  <c r="AB1535" i="1"/>
  <c r="AA1535" i="1"/>
  <c r="AB1534" i="1"/>
  <c r="AA1534" i="1"/>
  <c r="AB1533" i="1"/>
  <c r="AA1533" i="1"/>
  <c r="AB1532" i="1"/>
  <c r="AA1532" i="1"/>
  <c r="AB1531" i="1"/>
  <c r="AA1531" i="1"/>
  <c r="AB1530" i="1"/>
  <c r="AA1530" i="1"/>
  <c r="AB1529" i="1"/>
  <c r="AA1529" i="1"/>
  <c r="AB1528" i="1"/>
  <c r="AA1528" i="1"/>
  <c r="AB1527" i="1"/>
  <c r="AA1527" i="1"/>
  <c r="AB1526" i="1"/>
  <c r="AA1526" i="1"/>
  <c r="AB1525" i="1"/>
  <c r="AA1525" i="1"/>
  <c r="AB1524" i="1"/>
  <c r="AA1524" i="1"/>
  <c r="AB1523" i="1"/>
  <c r="AA1523" i="1"/>
  <c r="AB1522" i="1"/>
  <c r="AA1522" i="1"/>
  <c r="AB1521" i="1"/>
  <c r="AA1521" i="1"/>
  <c r="AB1520" i="1"/>
  <c r="AA1520" i="1"/>
  <c r="AB1519" i="1"/>
  <c r="AA1519" i="1"/>
  <c r="AB1518" i="1"/>
  <c r="AA1518" i="1"/>
  <c r="AB1517" i="1"/>
  <c r="AA1517" i="1"/>
  <c r="AB1516" i="1"/>
  <c r="AA1516" i="1"/>
  <c r="AB1515" i="1"/>
  <c r="AA1515" i="1"/>
  <c r="AB1514" i="1"/>
  <c r="AA1514" i="1"/>
  <c r="AB1513" i="1"/>
  <c r="AA1513" i="1"/>
  <c r="AB1512" i="1"/>
  <c r="AA1512" i="1"/>
  <c r="AB1511" i="1"/>
  <c r="AA1511" i="1"/>
  <c r="AB1510" i="1"/>
  <c r="AA1510" i="1"/>
  <c r="AB1509" i="1"/>
  <c r="AA1509" i="1"/>
  <c r="AB1508" i="1"/>
  <c r="AA1508" i="1"/>
  <c r="AB1507" i="1"/>
  <c r="AA1507" i="1"/>
  <c r="AB1506" i="1"/>
  <c r="AA1506" i="1"/>
  <c r="AB1505" i="1"/>
  <c r="AA1505" i="1"/>
  <c r="AB1504" i="1"/>
  <c r="AA1504" i="1"/>
  <c r="AB1503" i="1"/>
  <c r="AA1503" i="1"/>
  <c r="AB1502" i="1"/>
  <c r="AA1502" i="1"/>
  <c r="AB1501" i="1"/>
  <c r="AA1501" i="1"/>
  <c r="AB1500" i="1"/>
  <c r="AA1500" i="1"/>
  <c r="AB1499" i="1"/>
  <c r="AA1499" i="1"/>
  <c r="AB1498" i="1"/>
  <c r="AA1498" i="1"/>
  <c r="AB1497" i="1"/>
  <c r="AA1497" i="1"/>
  <c r="AB1496" i="1"/>
  <c r="AA1496" i="1"/>
  <c r="AB1495" i="1"/>
  <c r="AA1495" i="1"/>
  <c r="AB1494" i="1"/>
  <c r="AA1494" i="1"/>
  <c r="AB1493" i="1"/>
  <c r="AA1493" i="1"/>
  <c r="AB1492" i="1"/>
  <c r="AA1492" i="1"/>
  <c r="AB1491" i="1"/>
  <c r="AA1491" i="1"/>
  <c r="AB1490" i="1"/>
  <c r="AA1490" i="1"/>
  <c r="AB1489" i="1"/>
  <c r="AA1489" i="1"/>
  <c r="AB1488" i="1"/>
  <c r="AA1488" i="1"/>
  <c r="AB1487" i="1"/>
  <c r="AA1487" i="1"/>
  <c r="AB1486" i="1"/>
  <c r="AA1486" i="1"/>
  <c r="AB1485" i="1"/>
  <c r="AA1485" i="1"/>
  <c r="AB1484" i="1"/>
  <c r="AA1484" i="1"/>
  <c r="AB1483" i="1"/>
  <c r="AA1483" i="1"/>
  <c r="AB1482" i="1"/>
  <c r="AA1482" i="1"/>
  <c r="AB1481" i="1"/>
  <c r="AA1481" i="1"/>
  <c r="AB1480" i="1"/>
  <c r="AA1480" i="1"/>
  <c r="AB1479" i="1"/>
  <c r="AA1479" i="1"/>
  <c r="AB1478" i="1"/>
  <c r="AA1478" i="1"/>
  <c r="AB1477" i="1"/>
  <c r="AA1477" i="1"/>
  <c r="AB1476" i="1"/>
  <c r="AA1476" i="1"/>
  <c r="AB1475" i="1"/>
  <c r="AA1475" i="1"/>
  <c r="AB1474" i="1"/>
  <c r="AA1474" i="1"/>
  <c r="AB1473" i="1"/>
  <c r="AA1473" i="1"/>
  <c r="AB1472" i="1"/>
  <c r="AA1472" i="1"/>
  <c r="AB1471" i="1"/>
  <c r="AA1471" i="1"/>
  <c r="AB1470" i="1"/>
  <c r="AA1470" i="1"/>
  <c r="AB1469" i="1"/>
  <c r="AA1469" i="1"/>
  <c r="AB1468" i="1"/>
  <c r="AA1468" i="1"/>
  <c r="AB1467" i="1"/>
  <c r="AA1467" i="1"/>
  <c r="AB1466" i="1"/>
  <c r="AA1466" i="1"/>
  <c r="AB1465" i="1"/>
  <c r="AA1465" i="1"/>
  <c r="AB1464" i="1"/>
  <c r="AA1464" i="1"/>
  <c r="AB1463" i="1"/>
  <c r="AA1463" i="1"/>
  <c r="AB1462" i="1"/>
  <c r="AA1462" i="1"/>
  <c r="AB1461" i="1"/>
  <c r="AA1461" i="1"/>
  <c r="AB1460" i="1"/>
  <c r="AA1460" i="1"/>
  <c r="AB1459" i="1"/>
  <c r="AA1459" i="1"/>
  <c r="AB1458" i="1"/>
  <c r="AA1458" i="1"/>
  <c r="AB1457" i="1"/>
  <c r="AA1457" i="1"/>
  <c r="AB1456" i="1"/>
  <c r="AA1456" i="1"/>
  <c r="AB1455" i="1"/>
  <c r="AA1455" i="1"/>
  <c r="AB1454" i="1"/>
  <c r="AA1454" i="1"/>
  <c r="AB1453" i="1"/>
  <c r="AA1453" i="1"/>
  <c r="AB1452" i="1"/>
  <c r="AA1452" i="1"/>
  <c r="AB1451" i="1"/>
  <c r="AA1451" i="1"/>
  <c r="AB1450" i="1"/>
  <c r="AA1450" i="1"/>
  <c r="AB1449" i="1"/>
  <c r="AA1449" i="1"/>
  <c r="AB1448" i="1"/>
  <c r="AA1448" i="1"/>
  <c r="AB1447" i="1"/>
  <c r="AA1447" i="1"/>
  <c r="AB1446" i="1"/>
  <c r="AA1446" i="1"/>
  <c r="AB1445" i="1"/>
  <c r="AA1445" i="1"/>
  <c r="AB1444" i="1"/>
  <c r="AA1444" i="1"/>
  <c r="AB1443" i="1"/>
  <c r="AA1443" i="1"/>
  <c r="AB1442" i="1"/>
  <c r="AA1442" i="1"/>
  <c r="AB1441" i="1"/>
  <c r="AA1441" i="1"/>
  <c r="AB1440" i="1"/>
  <c r="AA1440" i="1"/>
  <c r="AB1439" i="1"/>
  <c r="AA1439" i="1"/>
  <c r="AB1438" i="1"/>
  <c r="AA1438" i="1"/>
  <c r="AB1437" i="1"/>
  <c r="AA1437" i="1"/>
  <c r="AB1436" i="1"/>
  <c r="AA1436" i="1"/>
  <c r="AB1435" i="1"/>
  <c r="AA1435" i="1"/>
  <c r="AB1434" i="1"/>
  <c r="AA1434" i="1"/>
  <c r="AB1433" i="1"/>
  <c r="AA1433" i="1"/>
  <c r="AB1432" i="1"/>
  <c r="AA1432" i="1"/>
  <c r="AB1431" i="1"/>
  <c r="AA1431" i="1"/>
  <c r="AB1430" i="1"/>
  <c r="AA1430" i="1"/>
  <c r="AB1429" i="1"/>
  <c r="AA1429" i="1"/>
  <c r="AB1428" i="1"/>
  <c r="AA1428" i="1"/>
  <c r="AB1427" i="1"/>
  <c r="AA1427" i="1"/>
  <c r="AB1426" i="1"/>
  <c r="AA1426" i="1"/>
  <c r="AB1425" i="1"/>
  <c r="AA1425" i="1"/>
  <c r="AB1424" i="1"/>
  <c r="AA1424" i="1"/>
  <c r="AB1423" i="1"/>
  <c r="AA1423" i="1"/>
  <c r="AB1422" i="1"/>
  <c r="AA1422" i="1"/>
  <c r="AB1421" i="1"/>
  <c r="AA1421" i="1"/>
  <c r="AB1420" i="1"/>
  <c r="AA1420" i="1"/>
  <c r="AB1419" i="1"/>
  <c r="AA1419" i="1"/>
  <c r="AB1418" i="1"/>
  <c r="AA1418" i="1"/>
  <c r="AB1417" i="1"/>
  <c r="AA1417" i="1"/>
  <c r="AB1416" i="1"/>
  <c r="AA1416" i="1"/>
  <c r="AB1415" i="1"/>
  <c r="AA1415" i="1"/>
  <c r="AB1414" i="1"/>
  <c r="AA1414" i="1"/>
  <c r="AB1413" i="1"/>
  <c r="AA1413" i="1"/>
  <c r="AB1412" i="1"/>
  <c r="AA1412" i="1"/>
  <c r="AB1411" i="1"/>
  <c r="AA1411" i="1"/>
  <c r="AB1410" i="1"/>
  <c r="AA1410" i="1"/>
  <c r="AB1409" i="1"/>
  <c r="AA1409" i="1"/>
  <c r="AB1408" i="1"/>
  <c r="AA1408" i="1"/>
  <c r="AB1407" i="1"/>
  <c r="AA1407" i="1"/>
  <c r="AB1406" i="1"/>
  <c r="AA1406" i="1"/>
  <c r="AB1405" i="1"/>
  <c r="AA1405" i="1"/>
  <c r="AB1404" i="1"/>
  <c r="AA1404" i="1"/>
  <c r="AB1403" i="1"/>
  <c r="AA1403" i="1"/>
  <c r="AB1402" i="1"/>
  <c r="AA1402" i="1"/>
  <c r="AB1401" i="1"/>
  <c r="AA1401" i="1"/>
  <c r="AB1400" i="1"/>
  <c r="AA1400" i="1"/>
  <c r="AB1399" i="1"/>
  <c r="AA1399" i="1"/>
  <c r="AB1398" i="1"/>
  <c r="AA1398" i="1"/>
  <c r="AB1397" i="1"/>
  <c r="AA1397" i="1"/>
  <c r="AB1396" i="1"/>
  <c r="AA1396" i="1"/>
  <c r="AB1395" i="1"/>
  <c r="AA1395" i="1"/>
  <c r="AB1394" i="1"/>
  <c r="AA1394" i="1"/>
  <c r="AB1393" i="1"/>
  <c r="AA1393" i="1"/>
  <c r="AB1392" i="1"/>
  <c r="AA1392" i="1"/>
  <c r="AB1391" i="1"/>
  <c r="AA1391" i="1"/>
  <c r="AB1390" i="1"/>
  <c r="AA1390" i="1"/>
  <c r="AB1389" i="1"/>
  <c r="AA1389" i="1"/>
  <c r="AB1388" i="1"/>
  <c r="AA1388" i="1"/>
  <c r="AB1387" i="1"/>
  <c r="AA1387" i="1"/>
  <c r="AB1386" i="1"/>
  <c r="AA1386" i="1"/>
  <c r="AB1385" i="1"/>
  <c r="AA1385" i="1"/>
  <c r="AB1384" i="1"/>
  <c r="AA1384" i="1"/>
  <c r="AB1383" i="1"/>
  <c r="AA1383" i="1"/>
  <c r="AB1382" i="1"/>
  <c r="AA1382" i="1"/>
  <c r="AB1381" i="1"/>
  <c r="AA1381" i="1"/>
  <c r="AB1380" i="1"/>
  <c r="AA1380" i="1"/>
  <c r="AB1379" i="1"/>
  <c r="AA1379" i="1"/>
  <c r="AB1378" i="1"/>
  <c r="AA1378" i="1"/>
  <c r="AB1377" i="1"/>
  <c r="AA1377" i="1"/>
  <c r="AB1376" i="1"/>
  <c r="AA1376" i="1"/>
  <c r="AB1375" i="1"/>
  <c r="AA1375" i="1"/>
  <c r="AB1374" i="1"/>
  <c r="AA1374" i="1"/>
  <c r="AB1373" i="1"/>
  <c r="AA1373" i="1"/>
  <c r="AB1372" i="1"/>
  <c r="AA1372" i="1"/>
  <c r="AB1371" i="1"/>
  <c r="AA1371" i="1"/>
  <c r="AB1370" i="1"/>
  <c r="AA1370" i="1"/>
  <c r="AB1369" i="1"/>
  <c r="AA1369" i="1"/>
  <c r="AB1368" i="1"/>
  <c r="AA1368" i="1"/>
  <c r="AB1367" i="1"/>
  <c r="AA1367" i="1"/>
  <c r="AB1366" i="1"/>
  <c r="AA1366" i="1"/>
  <c r="AB1365" i="1"/>
  <c r="AA1365" i="1"/>
  <c r="AB1364" i="1"/>
  <c r="AA1364" i="1"/>
  <c r="AB1363" i="1"/>
  <c r="AA1363" i="1"/>
  <c r="AB1362" i="1"/>
  <c r="AA1362" i="1"/>
  <c r="AB1361" i="1"/>
  <c r="AA1361" i="1"/>
  <c r="AB1360" i="1"/>
  <c r="AA1360" i="1"/>
  <c r="AB1359" i="1"/>
  <c r="AA1359" i="1"/>
  <c r="AB1358" i="1"/>
  <c r="AA1358" i="1"/>
  <c r="AB1357" i="1"/>
  <c r="AA1357" i="1"/>
  <c r="AB1356" i="1"/>
  <c r="AA1356" i="1"/>
  <c r="AB1355" i="1"/>
  <c r="AA1355" i="1"/>
  <c r="AB1354" i="1"/>
  <c r="AA1354" i="1"/>
  <c r="AB1353" i="1"/>
  <c r="AA1353" i="1"/>
  <c r="AB1352" i="1"/>
  <c r="AA1352" i="1"/>
  <c r="AB1351" i="1"/>
  <c r="AA1351" i="1"/>
  <c r="AB1350" i="1"/>
  <c r="AA1350" i="1"/>
  <c r="AB1349" i="1"/>
  <c r="AA1349" i="1"/>
  <c r="AB1348" i="1"/>
  <c r="AA1348" i="1"/>
  <c r="AB1347" i="1"/>
  <c r="AA1347" i="1"/>
  <c r="AB1346" i="1"/>
  <c r="AA1346" i="1"/>
  <c r="AB1345" i="1"/>
  <c r="AA1345" i="1"/>
  <c r="AB1344" i="1"/>
  <c r="AA1344" i="1"/>
  <c r="AB1343" i="1"/>
  <c r="AA1343" i="1"/>
  <c r="AB1342" i="1"/>
  <c r="AA1342" i="1"/>
  <c r="AB1341" i="1"/>
  <c r="AA1341" i="1"/>
  <c r="AB1340" i="1"/>
  <c r="AA1340" i="1"/>
  <c r="AB1339" i="1"/>
  <c r="AA1339" i="1"/>
  <c r="AB1338" i="1"/>
  <c r="AA1338" i="1"/>
  <c r="AB1337" i="1"/>
  <c r="AA1337" i="1"/>
  <c r="AB1336" i="1"/>
  <c r="AA1336" i="1"/>
  <c r="AB1335" i="1"/>
  <c r="AA1335" i="1"/>
  <c r="AB1334" i="1"/>
  <c r="AA1334" i="1"/>
  <c r="AB1333" i="1"/>
  <c r="AA1333" i="1"/>
  <c r="AB1332" i="1"/>
  <c r="AA1332" i="1"/>
  <c r="AB1331" i="1"/>
  <c r="AA1331" i="1"/>
  <c r="AB1330" i="1"/>
  <c r="AA1330" i="1"/>
  <c r="AB1329" i="1"/>
  <c r="AA1329" i="1"/>
  <c r="AB1328" i="1"/>
  <c r="AA1328" i="1"/>
  <c r="AB1327" i="1"/>
  <c r="AA1327" i="1"/>
  <c r="AB1326" i="1"/>
  <c r="AA1326" i="1"/>
  <c r="AB1325" i="1"/>
  <c r="AA1325" i="1"/>
  <c r="AB1324" i="1"/>
  <c r="AA1324" i="1"/>
  <c r="AB1323" i="1"/>
  <c r="AA1323" i="1"/>
  <c r="AB1322" i="1"/>
  <c r="AA1322" i="1"/>
  <c r="AB1321" i="1"/>
  <c r="AA1321" i="1"/>
  <c r="AB1320" i="1"/>
  <c r="AA1320" i="1"/>
  <c r="AB1319" i="1"/>
  <c r="AA1319" i="1"/>
  <c r="AB1318" i="1"/>
  <c r="AA1318" i="1"/>
  <c r="AB1317" i="1"/>
  <c r="AA1317" i="1"/>
  <c r="AB1316" i="1"/>
  <c r="AA1316" i="1"/>
  <c r="AB1315" i="1"/>
  <c r="AA1315" i="1"/>
  <c r="AB1314" i="1"/>
  <c r="AA1314" i="1"/>
  <c r="AB1313" i="1"/>
  <c r="AA1313" i="1"/>
  <c r="AB1312" i="1"/>
  <c r="AA1312" i="1"/>
  <c r="AB1311" i="1"/>
  <c r="AA1311" i="1"/>
  <c r="AB1310" i="1"/>
  <c r="AA1310" i="1"/>
  <c r="AB1309" i="1"/>
  <c r="AA1309" i="1"/>
  <c r="AB1308" i="1"/>
  <c r="AA1308" i="1"/>
  <c r="AB1307" i="1"/>
  <c r="AA1307" i="1"/>
  <c r="AB1306" i="1"/>
  <c r="AA1306" i="1"/>
  <c r="AB1305" i="1"/>
  <c r="AA1305" i="1"/>
  <c r="AB1304" i="1"/>
  <c r="AA1304" i="1"/>
  <c r="AB1303" i="1"/>
  <c r="AA1303" i="1"/>
  <c r="AB1302" i="1"/>
  <c r="AA1302" i="1"/>
  <c r="AB1301" i="1"/>
  <c r="AA1301" i="1"/>
  <c r="AB1300" i="1"/>
  <c r="AA1300" i="1"/>
  <c r="AB1299" i="1"/>
  <c r="AA1299" i="1"/>
  <c r="AB1298" i="1"/>
  <c r="AA1298" i="1"/>
  <c r="AB1297" i="1"/>
  <c r="AA1297" i="1"/>
  <c r="AB1296" i="1"/>
  <c r="AA1296" i="1"/>
  <c r="AB1295" i="1"/>
  <c r="AA1295" i="1"/>
  <c r="AB1294" i="1"/>
  <c r="AA1294" i="1"/>
  <c r="AB1293" i="1"/>
  <c r="AA1293" i="1"/>
  <c r="AB1292" i="1"/>
  <c r="AA1292" i="1"/>
  <c r="AB1291" i="1"/>
  <c r="AA1291" i="1"/>
  <c r="AB1290" i="1"/>
  <c r="AA1290" i="1"/>
  <c r="AB1289" i="1"/>
  <c r="AA1289" i="1"/>
  <c r="AB1288" i="1"/>
  <c r="AA1288" i="1"/>
  <c r="AB1287" i="1"/>
  <c r="AA1287" i="1"/>
  <c r="AB1286" i="1"/>
  <c r="AA1286" i="1"/>
  <c r="AB1285" i="1"/>
  <c r="AA1285" i="1"/>
  <c r="AB1284" i="1"/>
  <c r="AA1284" i="1"/>
  <c r="AB1283" i="1"/>
  <c r="AA1283" i="1"/>
  <c r="AB1282" i="1"/>
  <c r="AA1282" i="1"/>
  <c r="AB1281" i="1"/>
  <c r="AA1281" i="1"/>
  <c r="AB1280" i="1"/>
  <c r="AA1280" i="1"/>
  <c r="AB1279" i="1"/>
  <c r="AA1279" i="1"/>
  <c r="AB1278" i="1"/>
  <c r="AA1278" i="1"/>
  <c r="AB1277" i="1"/>
  <c r="AA1277" i="1"/>
  <c r="AB1276" i="1"/>
  <c r="AA1276" i="1"/>
  <c r="AB1275" i="1"/>
  <c r="AA1275" i="1"/>
  <c r="AB1274" i="1"/>
  <c r="AA1274" i="1"/>
  <c r="AB1273" i="1"/>
  <c r="AA1273" i="1"/>
  <c r="AB1272" i="1"/>
  <c r="AA1272" i="1"/>
  <c r="AB1271" i="1"/>
  <c r="AA1271" i="1"/>
  <c r="AB1270" i="1"/>
  <c r="AA1270" i="1"/>
  <c r="AB1269" i="1"/>
  <c r="AA1269" i="1"/>
  <c r="AB1268" i="1"/>
  <c r="AA1268" i="1"/>
  <c r="AB1267" i="1"/>
  <c r="AA1267" i="1"/>
  <c r="AB1266" i="1"/>
  <c r="AA1266" i="1"/>
  <c r="AB1265" i="1"/>
  <c r="AA1265" i="1"/>
  <c r="AB1264" i="1"/>
  <c r="AA1264" i="1"/>
  <c r="AB1263" i="1"/>
  <c r="AA1263" i="1"/>
  <c r="AB1262" i="1"/>
  <c r="AA1262" i="1"/>
  <c r="AB1261" i="1"/>
  <c r="AA1261" i="1"/>
  <c r="AB1260" i="1"/>
  <c r="AA1260" i="1"/>
  <c r="AB1259" i="1"/>
  <c r="AA1259" i="1"/>
  <c r="AB1258" i="1"/>
  <c r="AA1258" i="1"/>
  <c r="AB1257" i="1"/>
  <c r="AA1257" i="1"/>
  <c r="AB1256" i="1"/>
  <c r="AA1256" i="1"/>
  <c r="AB1255" i="1"/>
  <c r="AA1255" i="1"/>
  <c r="AB1254" i="1"/>
  <c r="AA1254" i="1"/>
  <c r="AB1253" i="1"/>
  <c r="AA1253" i="1"/>
  <c r="AB1252" i="1"/>
  <c r="AA1252" i="1"/>
  <c r="AB1251" i="1"/>
  <c r="AA1251" i="1"/>
  <c r="AB1250" i="1"/>
  <c r="AA1250" i="1"/>
  <c r="AB1249" i="1"/>
  <c r="AA1249" i="1"/>
  <c r="AB1248" i="1"/>
  <c r="AA1248" i="1"/>
  <c r="AB1247" i="1"/>
  <c r="AA1247" i="1"/>
  <c r="AB1246" i="1"/>
  <c r="AA1246" i="1"/>
  <c r="AB1245" i="1"/>
  <c r="AA1245" i="1"/>
  <c r="AB1244" i="1"/>
  <c r="AA1244" i="1"/>
  <c r="AB1243" i="1"/>
  <c r="AA1243" i="1"/>
  <c r="AB1242" i="1"/>
  <c r="AA1242" i="1"/>
  <c r="AB1241" i="1"/>
  <c r="AA1241" i="1"/>
  <c r="AB1240" i="1"/>
  <c r="AA1240" i="1"/>
  <c r="AB1239" i="1"/>
  <c r="AA1239" i="1"/>
  <c r="AB1238" i="1"/>
  <c r="AA1238" i="1"/>
  <c r="AB1237" i="1"/>
  <c r="AA1237" i="1"/>
  <c r="AB1236" i="1"/>
  <c r="AA1236" i="1"/>
  <c r="AB1235" i="1"/>
  <c r="AA1235" i="1"/>
  <c r="AB1234" i="1"/>
  <c r="AA1234" i="1"/>
  <c r="AB1233" i="1"/>
  <c r="AA1233" i="1"/>
  <c r="AB1232" i="1"/>
  <c r="AA1232" i="1"/>
  <c r="AB1231" i="1"/>
  <c r="AA1231" i="1"/>
  <c r="AB1230" i="1"/>
  <c r="AA1230" i="1"/>
  <c r="AB1229" i="1"/>
  <c r="AA1229" i="1"/>
  <c r="AB1228" i="1"/>
  <c r="AA1228" i="1"/>
  <c r="AB1227" i="1"/>
  <c r="AA1227" i="1"/>
  <c r="AB1226" i="1"/>
  <c r="AA1226" i="1"/>
  <c r="AB1225" i="1"/>
  <c r="AA1225" i="1"/>
  <c r="AB1224" i="1"/>
  <c r="AA1224" i="1"/>
  <c r="AB1223" i="1"/>
  <c r="AA1223" i="1"/>
  <c r="AB1222" i="1"/>
  <c r="AA1222" i="1"/>
  <c r="AB1221" i="1"/>
  <c r="AA1221" i="1"/>
  <c r="AB1220" i="1"/>
  <c r="AA1220" i="1"/>
  <c r="AB1219" i="1"/>
  <c r="AA1219" i="1"/>
  <c r="AB1218" i="1"/>
  <c r="AA1218" i="1"/>
  <c r="AB1217" i="1"/>
  <c r="AA1217" i="1"/>
  <c r="AB1216" i="1"/>
  <c r="AA1216" i="1"/>
  <c r="AB1215" i="1"/>
  <c r="AA1215" i="1"/>
  <c r="AB1214" i="1"/>
  <c r="AA1214" i="1"/>
  <c r="AB1213" i="1"/>
  <c r="AA1213" i="1"/>
  <c r="AB1212" i="1"/>
  <c r="AA1212" i="1"/>
  <c r="AB1211" i="1"/>
  <c r="AA1211" i="1"/>
  <c r="AB1210" i="1"/>
  <c r="AA1210" i="1"/>
  <c r="AB1209" i="1"/>
  <c r="AA1209" i="1"/>
  <c r="AB1208" i="1"/>
  <c r="AA1208" i="1"/>
  <c r="AB1207" i="1"/>
  <c r="AA1207" i="1"/>
  <c r="AB1206" i="1"/>
  <c r="AA1206" i="1"/>
  <c r="AB1205" i="1"/>
  <c r="AA1205" i="1"/>
  <c r="AB1204" i="1"/>
  <c r="AA1204" i="1"/>
  <c r="AB1203" i="1"/>
  <c r="AA1203" i="1"/>
  <c r="AB1202" i="1"/>
  <c r="AA1202" i="1"/>
  <c r="AB1201" i="1"/>
  <c r="AA1201" i="1"/>
  <c r="AB1200" i="1"/>
  <c r="AA1200" i="1"/>
  <c r="AB1199" i="1"/>
  <c r="AA1199" i="1"/>
  <c r="AB1198" i="1"/>
  <c r="AA1198" i="1"/>
  <c r="AB1197" i="1"/>
  <c r="AA1197" i="1"/>
  <c r="AB1196" i="1"/>
  <c r="AA1196" i="1"/>
  <c r="AB1195" i="1"/>
  <c r="AA1195" i="1"/>
  <c r="AB1194" i="1"/>
  <c r="AA1194" i="1"/>
  <c r="AB1193" i="1"/>
  <c r="AA1193" i="1"/>
  <c r="AB1192" i="1"/>
  <c r="AA1192" i="1"/>
  <c r="AB1191" i="1"/>
  <c r="AA1191" i="1"/>
  <c r="AB1190" i="1"/>
  <c r="AA1190" i="1"/>
  <c r="AB1189" i="1"/>
  <c r="AA1189" i="1"/>
  <c r="AB1188" i="1"/>
  <c r="AA1188" i="1"/>
  <c r="AB1187" i="1"/>
  <c r="AA1187" i="1"/>
  <c r="AB1186" i="1"/>
  <c r="AA1186" i="1"/>
  <c r="AB1185" i="1"/>
  <c r="AA1185" i="1"/>
  <c r="AB1184" i="1"/>
  <c r="AA1184" i="1"/>
  <c r="AB1183" i="1"/>
  <c r="AA1183" i="1"/>
  <c r="AB1182" i="1"/>
  <c r="AA1182" i="1"/>
  <c r="AB1181" i="1"/>
  <c r="AA1181" i="1"/>
  <c r="AB1180" i="1"/>
  <c r="AA1180" i="1"/>
  <c r="AB1179" i="1"/>
  <c r="AA1179" i="1"/>
  <c r="AB1178" i="1"/>
  <c r="AA1178" i="1"/>
  <c r="AB1177" i="1"/>
  <c r="AA1177" i="1"/>
  <c r="AB1176" i="1"/>
  <c r="AA1176" i="1"/>
  <c r="AB1175" i="1"/>
  <c r="AA1175" i="1"/>
  <c r="AB1174" i="1"/>
  <c r="AA1174" i="1"/>
  <c r="AB1173" i="1"/>
  <c r="AA1173" i="1"/>
  <c r="AB1172" i="1"/>
  <c r="AA1172" i="1"/>
  <c r="AB1171" i="1"/>
  <c r="AA1171" i="1"/>
  <c r="AB1170" i="1"/>
  <c r="AA1170" i="1"/>
  <c r="AB1169" i="1"/>
  <c r="AA1169" i="1"/>
  <c r="AB1168" i="1"/>
  <c r="AA1168" i="1"/>
  <c r="AB1167" i="1"/>
  <c r="AA1167" i="1"/>
  <c r="AB1166" i="1"/>
  <c r="AA1166" i="1"/>
  <c r="AB1165" i="1"/>
  <c r="AA1165" i="1"/>
  <c r="AB1164" i="1"/>
  <c r="AA1164" i="1"/>
  <c r="AB1163" i="1"/>
  <c r="AA1163" i="1"/>
  <c r="AB1162" i="1"/>
  <c r="AA1162" i="1"/>
  <c r="AB1161" i="1"/>
  <c r="AA1161" i="1"/>
  <c r="AB1160" i="1"/>
  <c r="AA1160" i="1"/>
  <c r="AB1159" i="1"/>
  <c r="AA1159" i="1"/>
  <c r="AB1158" i="1"/>
  <c r="AA1158" i="1"/>
  <c r="AB1157" i="1"/>
  <c r="AA1157" i="1"/>
  <c r="AB1156" i="1"/>
  <c r="AA1156" i="1"/>
  <c r="AB1155" i="1"/>
  <c r="AA1155" i="1"/>
  <c r="AB1154" i="1"/>
  <c r="AA1154" i="1"/>
  <c r="AB1153" i="1"/>
  <c r="AA1153" i="1"/>
  <c r="AB1152" i="1"/>
  <c r="AA1152" i="1"/>
  <c r="AB1151" i="1"/>
  <c r="AA1151" i="1"/>
  <c r="AB1150" i="1"/>
  <c r="AA1150" i="1"/>
  <c r="AB1149" i="1"/>
  <c r="AA1149" i="1"/>
  <c r="AB1148" i="1"/>
  <c r="AA1148" i="1"/>
  <c r="AB1147" i="1"/>
  <c r="AA1147" i="1"/>
  <c r="AB1146" i="1"/>
  <c r="AA1146" i="1"/>
  <c r="AB1145" i="1"/>
  <c r="AA1145" i="1"/>
  <c r="AB1144" i="1"/>
  <c r="AA1144" i="1"/>
  <c r="AB1143" i="1"/>
  <c r="AA1143" i="1"/>
  <c r="AB1142" i="1"/>
  <c r="AA1142" i="1"/>
  <c r="AB1141" i="1"/>
  <c r="AA1141" i="1"/>
  <c r="AB1140" i="1"/>
  <c r="AA1140" i="1"/>
  <c r="AB1139" i="1"/>
  <c r="AA1139" i="1"/>
  <c r="AB1138" i="1"/>
  <c r="AA1138" i="1"/>
  <c r="AB1137" i="1"/>
  <c r="AA1137" i="1"/>
  <c r="AB1136" i="1"/>
  <c r="AA1136" i="1"/>
  <c r="AB1135" i="1"/>
  <c r="AA1135" i="1"/>
  <c r="AB1134" i="1"/>
  <c r="AA1134" i="1"/>
  <c r="AB1133" i="1"/>
  <c r="AA1133" i="1"/>
  <c r="AB1132" i="1"/>
  <c r="AA1132" i="1"/>
  <c r="AB1131" i="1"/>
  <c r="AA1131" i="1"/>
  <c r="AB1130" i="1"/>
  <c r="AA1130" i="1"/>
  <c r="AB1129" i="1"/>
  <c r="AA1129" i="1"/>
  <c r="AB1128" i="1"/>
  <c r="AA1128" i="1"/>
  <c r="AB1127" i="1"/>
  <c r="AA1127" i="1"/>
  <c r="AB1126" i="1"/>
  <c r="AA1126" i="1"/>
  <c r="AB1125" i="1"/>
  <c r="AA1125" i="1"/>
  <c r="AB1124" i="1"/>
  <c r="AA1124" i="1"/>
  <c r="AB1123" i="1"/>
  <c r="AA1123" i="1"/>
  <c r="AB1122" i="1"/>
  <c r="AA1122" i="1"/>
  <c r="AB1121" i="1"/>
  <c r="AA1121" i="1"/>
  <c r="AB1120" i="1"/>
  <c r="AA1120" i="1"/>
  <c r="AB1119" i="1"/>
  <c r="AA1119" i="1"/>
  <c r="AB1118" i="1"/>
  <c r="AA1118" i="1"/>
  <c r="AB1117" i="1"/>
  <c r="AA1117" i="1"/>
  <c r="AB1116" i="1"/>
  <c r="AA1116" i="1"/>
  <c r="AB1115" i="1"/>
  <c r="AA1115" i="1"/>
  <c r="AB1114" i="1"/>
  <c r="AA1114" i="1"/>
  <c r="AB1113" i="1"/>
  <c r="AA1113" i="1"/>
  <c r="AB1112" i="1"/>
  <c r="AA1112" i="1"/>
  <c r="AB1111" i="1"/>
  <c r="AA1111" i="1"/>
  <c r="AB1110" i="1"/>
  <c r="AA1110" i="1"/>
  <c r="AB1109" i="1"/>
  <c r="AA1109" i="1"/>
  <c r="AB1108" i="1"/>
  <c r="AA1108" i="1"/>
  <c r="AB1107" i="1"/>
  <c r="AA1107" i="1"/>
  <c r="AB1106" i="1"/>
  <c r="AA1106" i="1"/>
  <c r="AB1105" i="1"/>
  <c r="AA1105" i="1"/>
  <c r="AB1104" i="1"/>
  <c r="AA1104" i="1"/>
  <c r="AB1103" i="1"/>
  <c r="AA1103" i="1"/>
  <c r="AB1102" i="1"/>
  <c r="AA1102" i="1"/>
  <c r="AB1101" i="1"/>
  <c r="AA1101" i="1"/>
  <c r="AB1100" i="1"/>
  <c r="AA1100" i="1"/>
  <c r="AB1099" i="1"/>
  <c r="AA1099" i="1"/>
  <c r="AB1098" i="1"/>
  <c r="AA1098" i="1"/>
  <c r="AB1097" i="1"/>
  <c r="AA1097" i="1"/>
  <c r="AB1096" i="1"/>
  <c r="AA1096" i="1"/>
  <c r="AB1095" i="1"/>
  <c r="AA1095" i="1"/>
  <c r="AB1094" i="1"/>
  <c r="AA1094" i="1"/>
  <c r="AB1093" i="1"/>
  <c r="AA1093" i="1"/>
  <c r="AB1092" i="1"/>
  <c r="AA1092" i="1"/>
  <c r="AB1091" i="1"/>
  <c r="AA1091" i="1"/>
  <c r="AB1090" i="1"/>
  <c r="AA1090" i="1"/>
  <c r="AB1089" i="1"/>
  <c r="AA1089" i="1"/>
  <c r="AB1088" i="1"/>
  <c r="AA1088" i="1"/>
  <c r="AB1087" i="1"/>
  <c r="AA1087" i="1"/>
  <c r="AB1086" i="1"/>
  <c r="AA1086" i="1"/>
  <c r="AB1085" i="1"/>
  <c r="AA1085" i="1"/>
  <c r="AB1084" i="1"/>
  <c r="AA1084" i="1"/>
  <c r="AB1083" i="1"/>
  <c r="AA1083" i="1"/>
  <c r="AB1082" i="1"/>
  <c r="AA1082" i="1"/>
  <c r="AB1081" i="1"/>
  <c r="AA1081" i="1"/>
  <c r="AB1080" i="1"/>
  <c r="AA1080" i="1"/>
  <c r="AB1079" i="1"/>
  <c r="AA1079" i="1"/>
  <c r="AB1078" i="1"/>
  <c r="AA1078" i="1"/>
  <c r="AB1077" i="1"/>
  <c r="AA1077" i="1"/>
  <c r="AB1076" i="1"/>
  <c r="AA1076" i="1"/>
  <c r="AB1075" i="1"/>
  <c r="AA1075" i="1"/>
  <c r="AB1074" i="1"/>
  <c r="AA1074" i="1"/>
  <c r="AB1073" i="1"/>
  <c r="AA1073" i="1"/>
  <c r="AB1072" i="1"/>
  <c r="AA1072" i="1"/>
  <c r="AB1071" i="1"/>
  <c r="AA1071" i="1"/>
  <c r="AB1070" i="1"/>
  <c r="AA1070" i="1"/>
  <c r="AB1069" i="1"/>
  <c r="AA1069" i="1"/>
  <c r="AB1068" i="1"/>
  <c r="AA1068" i="1"/>
  <c r="AB1067" i="1"/>
  <c r="AA1067" i="1"/>
  <c r="AB1066" i="1"/>
  <c r="AA1066" i="1"/>
  <c r="AB1065" i="1"/>
  <c r="AA1065" i="1"/>
  <c r="AB1064" i="1"/>
  <c r="AA1064" i="1"/>
  <c r="AB1063" i="1"/>
  <c r="AA1063" i="1"/>
  <c r="AB1062" i="1"/>
  <c r="AA1062" i="1"/>
  <c r="AB1061" i="1"/>
  <c r="AA1061" i="1"/>
  <c r="AB1060" i="1"/>
  <c r="AA1060" i="1"/>
  <c r="AB1059" i="1"/>
  <c r="AA1059" i="1"/>
  <c r="AB1058" i="1"/>
  <c r="AA1058" i="1"/>
  <c r="AB1057" i="1"/>
  <c r="AA1057" i="1"/>
  <c r="AB1056" i="1"/>
  <c r="AA1056" i="1"/>
  <c r="AB1055" i="1"/>
  <c r="AA1055" i="1"/>
  <c r="AB1054" i="1"/>
  <c r="AA1054" i="1"/>
  <c r="AB1053" i="1"/>
  <c r="AA1053" i="1"/>
  <c r="AB1052" i="1"/>
  <c r="AA1052" i="1"/>
  <c r="AB1051" i="1"/>
  <c r="AA1051" i="1"/>
  <c r="AB1050" i="1"/>
  <c r="AA1050" i="1"/>
  <c r="AB1049" i="1"/>
  <c r="AA1049" i="1"/>
  <c r="AB1048" i="1"/>
  <c r="AA1048" i="1"/>
  <c r="AB1047" i="1"/>
  <c r="AA1047" i="1"/>
  <c r="AB1046" i="1"/>
  <c r="AA1046" i="1"/>
  <c r="AB1045" i="1"/>
  <c r="AA1045" i="1"/>
  <c r="AB1044" i="1"/>
  <c r="AA1044" i="1"/>
  <c r="AB1043" i="1"/>
  <c r="AA1043" i="1"/>
  <c r="AB1042" i="1"/>
  <c r="AA1042" i="1"/>
  <c r="AB1041" i="1"/>
  <c r="AA1041" i="1"/>
  <c r="AB1040" i="1"/>
  <c r="AA1040" i="1"/>
  <c r="AB1039" i="1"/>
  <c r="AA1039" i="1"/>
  <c r="AB1038" i="1"/>
  <c r="AA1038" i="1"/>
  <c r="AB1037" i="1"/>
  <c r="AA1037" i="1"/>
  <c r="AB1036" i="1"/>
  <c r="AA1036" i="1"/>
  <c r="AB1035" i="1"/>
  <c r="AA1035" i="1"/>
  <c r="AB1034" i="1"/>
  <c r="AA1034" i="1"/>
  <c r="AB1033" i="1"/>
  <c r="AA1033" i="1"/>
  <c r="AB1032" i="1"/>
  <c r="AA1032" i="1"/>
  <c r="AB1031" i="1"/>
  <c r="AA1031" i="1"/>
  <c r="AB1030" i="1"/>
  <c r="AA1030" i="1"/>
  <c r="AB1029" i="1"/>
  <c r="AA1029" i="1"/>
  <c r="AB1028" i="1"/>
  <c r="AA1028" i="1"/>
  <c r="AB1027" i="1"/>
  <c r="AA1027" i="1"/>
  <c r="AB1026" i="1"/>
  <c r="AA1026" i="1"/>
  <c r="AB1025" i="1"/>
  <c r="AA1025" i="1"/>
  <c r="AB1024" i="1"/>
  <c r="AA1024" i="1"/>
  <c r="AB1023" i="1"/>
  <c r="AA1023" i="1"/>
  <c r="AB1022" i="1"/>
  <c r="AA1022" i="1"/>
  <c r="AB1021" i="1"/>
  <c r="AA1021" i="1"/>
  <c r="AB1020" i="1"/>
  <c r="AA1020" i="1"/>
  <c r="AB1019" i="1"/>
  <c r="AA1019" i="1"/>
  <c r="AB1018" i="1"/>
  <c r="AA1018" i="1"/>
  <c r="AB1017" i="1"/>
  <c r="AA1017" i="1"/>
  <c r="AB1016" i="1"/>
  <c r="AA1016" i="1"/>
  <c r="AB1015" i="1"/>
  <c r="AA1015" i="1"/>
  <c r="AB1014" i="1"/>
  <c r="AA1014" i="1"/>
  <c r="AB1013" i="1"/>
  <c r="AA1013" i="1"/>
  <c r="AB1012" i="1"/>
  <c r="AA1012" i="1"/>
  <c r="AB1011" i="1"/>
  <c r="AA1011" i="1"/>
  <c r="AB1010" i="1"/>
  <c r="AA1010" i="1"/>
  <c r="AB1009" i="1"/>
  <c r="AA1009" i="1"/>
  <c r="AB1008" i="1"/>
  <c r="AA1008" i="1"/>
  <c r="AB1007" i="1"/>
  <c r="AA1007" i="1"/>
  <c r="AB1006" i="1"/>
  <c r="AA1006" i="1"/>
  <c r="AB1005" i="1"/>
  <c r="AA1005" i="1"/>
  <c r="AB1004" i="1"/>
  <c r="AA1004" i="1"/>
  <c r="AB1003" i="1"/>
  <c r="AA1003" i="1"/>
  <c r="AB1002" i="1"/>
  <c r="AA1002" i="1"/>
  <c r="AB1001" i="1"/>
  <c r="AA1001" i="1"/>
  <c r="AB1000" i="1"/>
  <c r="AA1000" i="1"/>
  <c r="AB999" i="1"/>
  <c r="AA999" i="1"/>
  <c r="AB998" i="1"/>
  <c r="AA998" i="1"/>
  <c r="AB997" i="1"/>
  <c r="AA997" i="1"/>
  <c r="AB996" i="1"/>
  <c r="AA996" i="1"/>
  <c r="AB995" i="1"/>
  <c r="AA995" i="1"/>
  <c r="AB994" i="1"/>
  <c r="AA994" i="1"/>
  <c r="AB993" i="1"/>
  <c r="AA993" i="1"/>
  <c r="AB992" i="1"/>
  <c r="AA992" i="1"/>
  <c r="AB991" i="1"/>
  <c r="AA991" i="1"/>
  <c r="AB990" i="1"/>
  <c r="AA990" i="1"/>
  <c r="AB989" i="1"/>
  <c r="AA989" i="1"/>
  <c r="AB988" i="1"/>
  <c r="AA988" i="1"/>
  <c r="AB987" i="1"/>
  <c r="AA987" i="1"/>
  <c r="AB986" i="1"/>
  <c r="AA986" i="1"/>
  <c r="AB985" i="1"/>
  <c r="AA985" i="1"/>
  <c r="AB984" i="1"/>
  <c r="AA984" i="1"/>
  <c r="AB983" i="1"/>
  <c r="AA983" i="1"/>
  <c r="AB982" i="1"/>
  <c r="AA982" i="1"/>
  <c r="AB981" i="1"/>
  <c r="AA981" i="1"/>
  <c r="AB980" i="1"/>
  <c r="AA980" i="1"/>
  <c r="AB979" i="1"/>
  <c r="AA979" i="1"/>
  <c r="AB978" i="1"/>
  <c r="AA978" i="1"/>
  <c r="AB977" i="1"/>
  <c r="AA977" i="1"/>
  <c r="AB976" i="1"/>
  <c r="AA976" i="1"/>
  <c r="AB975" i="1"/>
  <c r="AA975" i="1"/>
  <c r="AB974" i="1"/>
  <c r="AA974" i="1"/>
  <c r="AB973" i="1"/>
  <c r="AA973" i="1"/>
  <c r="AB972" i="1"/>
  <c r="AA972" i="1"/>
  <c r="AB971" i="1"/>
  <c r="AA971" i="1"/>
  <c r="AB970" i="1"/>
  <c r="AA970" i="1"/>
  <c r="AB969" i="1"/>
  <c r="AA969" i="1"/>
  <c r="AB968" i="1"/>
  <c r="AA968" i="1"/>
  <c r="AB967" i="1"/>
  <c r="AA967" i="1"/>
  <c r="AB966" i="1"/>
  <c r="AA966" i="1"/>
  <c r="AB965" i="1"/>
  <c r="AA965" i="1"/>
  <c r="AB964" i="1"/>
  <c r="AA964" i="1"/>
  <c r="AB963" i="1"/>
  <c r="AA963" i="1"/>
  <c r="AB962" i="1"/>
  <c r="AA962" i="1"/>
  <c r="AB961" i="1"/>
  <c r="AA961" i="1"/>
  <c r="AB960" i="1"/>
  <c r="AA960" i="1"/>
  <c r="AB959" i="1"/>
  <c r="AA959" i="1"/>
  <c r="AB958" i="1"/>
  <c r="AA958" i="1"/>
  <c r="AB957" i="1"/>
  <c r="AA957" i="1"/>
  <c r="AB956" i="1"/>
  <c r="AA956" i="1"/>
  <c r="AB955" i="1"/>
  <c r="AA955" i="1"/>
  <c r="AB954" i="1"/>
  <c r="AA954" i="1"/>
  <c r="AB953" i="1"/>
  <c r="AA953" i="1"/>
  <c r="AB952" i="1"/>
  <c r="AA952" i="1"/>
  <c r="AB951" i="1"/>
  <c r="AA951" i="1"/>
  <c r="AB950" i="1"/>
  <c r="AA950" i="1"/>
  <c r="AB949" i="1"/>
  <c r="AA949" i="1"/>
  <c r="AB948" i="1"/>
  <c r="AA948" i="1"/>
  <c r="AB947" i="1"/>
  <c r="AA947" i="1"/>
  <c r="AB946" i="1"/>
  <c r="AA946" i="1"/>
  <c r="AB945" i="1"/>
  <c r="AA945" i="1"/>
  <c r="AB944" i="1"/>
  <c r="AA944" i="1"/>
  <c r="AB943" i="1"/>
  <c r="AA943" i="1"/>
  <c r="AB942" i="1"/>
  <c r="AA942" i="1"/>
  <c r="AB941" i="1"/>
  <c r="AA941" i="1"/>
  <c r="AB940" i="1"/>
  <c r="AA940" i="1"/>
  <c r="AB939" i="1"/>
  <c r="AA939" i="1"/>
  <c r="AB938" i="1"/>
  <c r="AA938" i="1"/>
  <c r="AB937" i="1"/>
  <c r="AA937" i="1"/>
  <c r="AB936" i="1"/>
  <c r="AA936" i="1"/>
  <c r="AB935" i="1"/>
  <c r="AA935" i="1"/>
  <c r="AB934" i="1"/>
  <c r="AA934" i="1"/>
  <c r="AB933" i="1"/>
  <c r="AA933" i="1"/>
  <c r="AB932" i="1"/>
  <c r="AA932" i="1"/>
  <c r="AB931" i="1"/>
  <c r="AA931" i="1"/>
  <c r="AB930" i="1"/>
  <c r="AA930" i="1"/>
  <c r="AB929" i="1"/>
  <c r="AA929" i="1"/>
  <c r="AB928" i="1"/>
  <c r="AA928" i="1"/>
  <c r="AB927" i="1"/>
  <c r="AA927" i="1"/>
  <c r="AB926" i="1"/>
  <c r="AA926" i="1"/>
  <c r="AB925" i="1"/>
  <c r="AA925" i="1"/>
  <c r="AB924" i="1"/>
  <c r="AA924" i="1"/>
  <c r="AB923" i="1"/>
  <c r="AA923" i="1"/>
  <c r="AB922" i="1"/>
  <c r="AA922" i="1"/>
  <c r="AB921" i="1"/>
  <c r="AA921" i="1"/>
  <c r="AB920" i="1"/>
  <c r="AA920" i="1"/>
  <c r="AB919" i="1"/>
  <c r="AA919" i="1"/>
  <c r="AB918" i="1"/>
  <c r="AA918" i="1"/>
  <c r="AB917" i="1"/>
  <c r="AA917" i="1"/>
  <c r="AB916" i="1"/>
  <c r="AA916" i="1"/>
  <c r="AB915" i="1"/>
  <c r="AA915" i="1"/>
  <c r="AB914" i="1"/>
  <c r="AA914" i="1"/>
  <c r="AB913" i="1"/>
  <c r="AA913" i="1"/>
  <c r="AB912" i="1"/>
  <c r="AA912" i="1"/>
  <c r="AB911" i="1"/>
  <c r="AA911" i="1"/>
  <c r="AB910" i="1"/>
  <c r="AA910" i="1"/>
  <c r="AB909" i="1"/>
  <c r="AA909" i="1"/>
  <c r="AB908" i="1"/>
  <c r="AA908" i="1"/>
  <c r="AB907" i="1"/>
  <c r="AA907" i="1"/>
  <c r="AB906" i="1"/>
  <c r="AA906" i="1"/>
  <c r="AB905" i="1"/>
  <c r="AA905" i="1"/>
  <c r="AB904" i="1"/>
  <c r="AA904" i="1"/>
  <c r="AB903" i="1"/>
  <c r="AA903" i="1"/>
  <c r="AB902" i="1"/>
  <c r="AA902" i="1"/>
  <c r="AB901" i="1"/>
  <c r="AA901" i="1"/>
  <c r="AB900" i="1"/>
  <c r="AA900" i="1"/>
  <c r="AB899" i="1"/>
  <c r="AA899" i="1"/>
  <c r="AB898" i="1"/>
  <c r="AA898" i="1"/>
  <c r="AB897" i="1"/>
  <c r="AA897" i="1"/>
  <c r="AB896" i="1"/>
  <c r="AA896" i="1"/>
  <c r="AB895" i="1"/>
  <c r="AA895" i="1"/>
  <c r="AB894" i="1"/>
  <c r="AA894" i="1"/>
  <c r="AB893" i="1"/>
  <c r="AA893" i="1"/>
  <c r="AB892" i="1"/>
  <c r="AA892" i="1"/>
  <c r="AB891" i="1"/>
  <c r="AA891" i="1"/>
  <c r="AB890" i="1"/>
  <c r="AA890" i="1"/>
  <c r="AB889" i="1"/>
  <c r="AA889" i="1"/>
  <c r="AB888" i="1"/>
  <c r="AA888" i="1"/>
  <c r="AB887" i="1"/>
  <c r="AA887" i="1"/>
  <c r="AB886" i="1"/>
  <c r="AA886" i="1"/>
  <c r="AB885" i="1"/>
  <c r="AA885" i="1"/>
  <c r="AB884" i="1"/>
  <c r="AA884" i="1"/>
  <c r="AB883" i="1"/>
  <c r="AA883" i="1"/>
  <c r="AB882" i="1"/>
  <c r="AA882" i="1"/>
  <c r="AB881" i="1"/>
  <c r="AA881" i="1"/>
  <c r="AB880" i="1"/>
  <c r="AA880" i="1"/>
  <c r="AB879" i="1"/>
  <c r="AA879" i="1"/>
  <c r="AB878" i="1"/>
  <c r="AA878" i="1"/>
  <c r="AB877" i="1"/>
  <c r="AA877" i="1"/>
  <c r="AB876" i="1"/>
  <c r="AA876" i="1"/>
  <c r="AB875" i="1"/>
  <c r="AA875" i="1"/>
  <c r="AB874" i="1"/>
  <c r="AA874" i="1"/>
  <c r="AB873" i="1"/>
  <c r="AA873" i="1"/>
  <c r="AB872" i="1"/>
  <c r="AA872" i="1"/>
  <c r="AB871" i="1"/>
  <c r="AA871" i="1"/>
  <c r="AB870" i="1"/>
  <c r="AA870" i="1"/>
  <c r="AB869" i="1"/>
  <c r="AA869" i="1"/>
  <c r="AB868" i="1"/>
  <c r="AA868" i="1"/>
  <c r="AB867" i="1"/>
  <c r="AA867" i="1"/>
  <c r="AB866" i="1"/>
  <c r="AA866" i="1"/>
  <c r="AB865" i="1"/>
  <c r="AA865" i="1"/>
  <c r="AB864" i="1"/>
  <c r="AA864" i="1"/>
  <c r="AB863" i="1"/>
  <c r="AA863" i="1"/>
  <c r="AB862" i="1"/>
  <c r="AA862" i="1"/>
  <c r="AB861" i="1"/>
  <c r="AA861" i="1"/>
  <c r="AB860" i="1"/>
  <c r="AA860" i="1"/>
  <c r="AB859" i="1"/>
  <c r="AA859" i="1"/>
  <c r="AB858" i="1"/>
  <c r="AA858" i="1"/>
  <c r="AB857" i="1"/>
  <c r="AA857" i="1"/>
  <c r="AB856" i="1"/>
  <c r="AA856" i="1"/>
  <c r="AB855" i="1"/>
  <c r="AA855" i="1"/>
  <c r="AB854" i="1"/>
  <c r="AA854" i="1"/>
  <c r="AB853" i="1"/>
  <c r="AA853" i="1"/>
  <c r="AB852" i="1"/>
  <c r="AA852" i="1"/>
  <c r="AB851" i="1"/>
  <c r="AA851" i="1"/>
  <c r="AB850" i="1"/>
  <c r="AA850" i="1"/>
  <c r="AB849" i="1"/>
  <c r="AA849" i="1"/>
  <c r="AB848" i="1"/>
  <c r="AA848" i="1"/>
  <c r="AB847" i="1"/>
  <c r="AA847" i="1"/>
  <c r="AB846" i="1"/>
  <c r="AA846" i="1"/>
  <c r="AB845" i="1"/>
  <c r="AA845" i="1"/>
  <c r="AB844" i="1"/>
  <c r="AA844" i="1"/>
  <c r="AB843" i="1"/>
  <c r="AA843" i="1"/>
  <c r="AB842" i="1"/>
  <c r="AA842" i="1"/>
  <c r="AB841" i="1"/>
  <c r="AA841" i="1"/>
  <c r="AB840" i="1"/>
  <c r="AA840" i="1"/>
  <c r="AB839" i="1"/>
  <c r="AA839" i="1"/>
  <c r="AB838" i="1"/>
  <c r="AA838" i="1"/>
  <c r="AB837" i="1"/>
  <c r="AA837" i="1"/>
  <c r="AB836" i="1"/>
  <c r="AA836" i="1"/>
  <c r="AB835" i="1"/>
  <c r="AA835" i="1"/>
  <c r="AB834" i="1"/>
  <c r="AA834" i="1"/>
  <c r="AB833" i="1"/>
  <c r="AA833" i="1"/>
  <c r="AB832" i="1"/>
  <c r="AA832" i="1"/>
  <c r="AB831" i="1"/>
  <c r="AA831" i="1"/>
  <c r="AB830" i="1"/>
  <c r="AA830" i="1"/>
  <c r="AB829" i="1"/>
  <c r="AA829" i="1"/>
  <c r="AB828" i="1"/>
  <c r="AA828" i="1"/>
  <c r="AB827" i="1"/>
  <c r="AA827" i="1"/>
  <c r="AB826" i="1"/>
  <c r="AA826" i="1"/>
  <c r="AB825" i="1"/>
  <c r="AA825" i="1"/>
  <c r="AB824" i="1"/>
  <c r="AA824" i="1"/>
  <c r="AB823" i="1"/>
  <c r="AA823" i="1"/>
  <c r="AB822" i="1"/>
  <c r="AA822" i="1"/>
  <c r="AB821" i="1"/>
  <c r="AA821" i="1"/>
  <c r="AB820" i="1"/>
  <c r="AA820" i="1"/>
  <c r="AB819" i="1"/>
  <c r="AA819" i="1"/>
  <c r="AB818" i="1"/>
  <c r="AA818" i="1"/>
  <c r="AB817" i="1"/>
  <c r="AA817" i="1"/>
  <c r="AB816" i="1"/>
  <c r="AA816" i="1"/>
  <c r="AB815" i="1"/>
  <c r="AA815" i="1"/>
  <c r="AB814" i="1"/>
  <c r="AA814" i="1"/>
  <c r="AB813" i="1"/>
  <c r="AA813" i="1"/>
  <c r="AB812" i="1"/>
  <c r="AA812" i="1"/>
  <c r="AB811" i="1"/>
  <c r="AA811" i="1"/>
  <c r="AB810" i="1"/>
  <c r="AA810" i="1"/>
  <c r="AB809" i="1"/>
  <c r="AA809" i="1"/>
  <c r="AB808" i="1"/>
  <c r="AA808" i="1"/>
  <c r="AB807" i="1"/>
  <c r="AA807" i="1"/>
  <c r="AB806" i="1"/>
  <c r="AA806" i="1"/>
  <c r="AB805" i="1"/>
  <c r="AA805" i="1"/>
  <c r="AB804" i="1"/>
  <c r="AA804" i="1"/>
  <c r="AB803" i="1"/>
  <c r="AA803" i="1"/>
  <c r="AB802" i="1"/>
  <c r="AA802" i="1"/>
  <c r="AB801" i="1"/>
  <c r="AA801" i="1"/>
  <c r="AB800" i="1"/>
  <c r="AA800" i="1"/>
  <c r="AB799" i="1"/>
  <c r="AA799" i="1"/>
  <c r="AB798" i="1"/>
  <c r="AA798" i="1"/>
  <c r="AB797" i="1"/>
  <c r="AA797" i="1"/>
  <c r="AB796" i="1"/>
  <c r="AA796" i="1"/>
  <c r="AB795" i="1"/>
  <c r="AA795" i="1"/>
  <c r="AB794" i="1"/>
  <c r="AA794" i="1"/>
  <c r="AB793" i="1"/>
  <c r="AA793" i="1"/>
  <c r="AB792" i="1"/>
  <c r="AA792" i="1"/>
  <c r="AB791" i="1"/>
  <c r="AA791" i="1"/>
  <c r="AB790" i="1"/>
  <c r="AA790" i="1"/>
  <c r="AB789" i="1"/>
  <c r="AA789" i="1"/>
  <c r="AB788" i="1"/>
  <c r="AA788" i="1"/>
  <c r="AB787" i="1"/>
  <c r="AA787" i="1"/>
  <c r="AB786" i="1"/>
  <c r="AA786" i="1"/>
  <c r="AB785" i="1"/>
  <c r="AA785" i="1"/>
  <c r="AB784" i="1"/>
  <c r="AA784" i="1"/>
  <c r="AB783" i="1"/>
  <c r="AA783" i="1"/>
  <c r="AB782" i="1"/>
  <c r="AA782" i="1"/>
  <c r="AB781" i="1"/>
  <c r="AA781" i="1"/>
  <c r="AB780" i="1"/>
  <c r="AA780" i="1"/>
  <c r="AB779" i="1"/>
  <c r="AA779" i="1"/>
  <c r="AB778" i="1"/>
  <c r="AA778" i="1"/>
  <c r="AB777" i="1"/>
  <c r="AA777" i="1"/>
  <c r="AB776" i="1"/>
  <c r="AA776" i="1"/>
  <c r="AB775" i="1"/>
  <c r="AA775" i="1"/>
  <c r="AB774" i="1"/>
  <c r="AA774" i="1"/>
  <c r="AB773" i="1"/>
  <c r="AA773" i="1"/>
  <c r="AB772" i="1"/>
  <c r="AA772" i="1"/>
  <c r="AB771" i="1"/>
  <c r="AA771" i="1"/>
  <c r="AB770" i="1"/>
  <c r="AA770" i="1"/>
  <c r="AB769" i="1"/>
  <c r="AA769" i="1"/>
  <c r="AB768" i="1"/>
  <c r="AA768" i="1"/>
  <c r="AB767" i="1"/>
  <c r="AA767" i="1"/>
  <c r="AB766" i="1"/>
  <c r="AA766" i="1"/>
  <c r="AB765" i="1"/>
  <c r="AA765" i="1"/>
  <c r="AB764" i="1"/>
  <c r="AA764" i="1"/>
  <c r="AB763" i="1"/>
  <c r="AA763" i="1"/>
  <c r="AB762" i="1"/>
  <c r="AA762" i="1"/>
  <c r="AB761" i="1"/>
  <c r="AA761" i="1"/>
  <c r="AB760" i="1"/>
  <c r="AA760" i="1"/>
  <c r="AB759" i="1"/>
  <c r="AA759" i="1"/>
  <c r="AB758" i="1"/>
  <c r="AA758" i="1"/>
  <c r="AB757" i="1"/>
  <c r="AA757" i="1"/>
  <c r="AB756" i="1"/>
  <c r="AA756" i="1"/>
  <c r="AB755" i="1"/>
  <c r="AA755" i="1"/>
  <c r="AB754" i="1"/>
  <c r="AA754" i="1"/>
  <c r="AB753" i="1"/>
  <c r="AA753" i="1"/>
  <c r="AB752" i="1"/>
  <c r="AA752" i="1"/>
  <c r="AB751" i="1"/>
  <c r="AA751" i="1"/>
  <c r="AB750" i="1"/>
  <c r="AA750" i="1"/>
  <c r="AB749" i="1"/>
  <c r="AA749" i="1"/>
  <c r="AB748" i="1"/>
  <c r="AA748" i="1"/>
  <c r="AB747" i="1"/>
  <c r="AA747" i="1"/>
  <c r="AB746" i="1"/>
  <c r="AA746" i="1"/>
  <c r="AB745" i="1"/>
  <c r="AA745" i="1"/>
  <c r="AB744" i="1"/>
  <c r="AA744" i="1"/>
  <c r="AB743" i="1"/>
  <c r="AA743" i="1"/>
  <c r="AB742" i="1"/>
  <c r="AA742" i="1"/>
  <c r="AB741" i="1"/>
  <c r="AA741" i="1"/>
  <c r="AB740" i="1"/>
  <c r="AA740" i="1"/>
  <c r="AB739" i="1"/>
  <c r="AA739" i="1"/>
  <c r="AB738" i="1"/>
  <c r="AA738" i="1"/>
  <c r="AB737" i="1"/>
  <c r="AA737" i="1"/>
  <c r="AB736" i="1"/>
  <c r="AA736" i="1"/>
  <c r="AB735" i="1"/>
  <c r="AA735" i="1"/>
  <c r="AB734" i="1"/>
  <c r="AA734" i="1"/>
  <c r="AB733" i="1"/>
  <c r="AA733" i="1"/>
  <c r="AB732" i="1"/>
  <c r="AA732" i="1"/>
  <c r="AB731" i="1"/>
  <c r="AA731" i="1"/>
  <c r="AB730" i="1"/>
  <c r="AA730" i="1"/>
  <c r="AB729" i="1"/>
  <c r="AA729" i="1"/>
  <c r="AB728" i="1"/>
  <c r="AA728" i="1"/>
  <c r="AB727" i="1"/>
  <c r="AA727" i="1"/>
  <c r="AB726" i="1"/>
  <c r="AA726" i="1"/>
  <c r="AB725" i="1"/>
  <c r="AA725" i="1"/>
  <c r="AB724" i="1"/>
  <c r="AA724" i="1"/>
  <c r="AB723" i="1"/>
  <c r="AA723" i="1"/>
  <c r="AB722" i="1"/>
  <c r="AA722" i="1"/>
  <c r="AB721" i="1"/>
  <c r="AA721" i="1"/>
  <c r="AB720" i="1"/>
  <c r="AA720" i="1"/>
  <c r="AB719" i="1"/>
  <c r="AA719" i="1"/>
  <c r="AB718" i="1"/>
  <c r="AA718" i="1"/>
  <c r="AB717" i="1"/>
  <c r="AA717" i="1"/>
  <c r="AB716" i="1"/>
  <c r="AA716" i="1"/>
  <c r="AB715" i="1"/>
  <c r="AA715" i="1"/>
  <c r="AB714" i="1"/>
  <c r="AA714" i="1"/>
  <c r="AB713" i="1"/>
  <c r="AA713" i="1"/>
  <c r="AB712" i="1"/>
  <c r="AA712" i="1"/>
  <c r="AB711" i="1"/>
  <c r="AA711" i="1"/>
  <c r="AB710" i="1"/>
  <c r="AA710" i="1"/>
  <c r="AB709" i="1"/>
  <c r="AA709" i="1"/>
  <c r="AB708" i="1"/>
  <c r="AA708" i="1"/>
  <c r="AB707" i="1"/>
  <c r="AA707" i="1"/>
  <c r="AB706" i="1"/>
  <c r="AA706" i="1"/>
  <c r="AB705" i="1"/>
  <c r="AA705" i="1"/>
  <c r="AB704" i="1"/>
  <c r="AA704" i="1"/>
  <c r="AB703" i="1"/>
  <c r="AA703" i="1"/>
  <c r="AB702" i="1"/>
  <c r="AA702" i="1"/>
  <c r="AB701" i="1"/>
  <c r="AA701" i="1"/>
  <c r="AB700" i="1"/>
  <c r="AA700" i="1"/>
  <c r="AB699" i="1"/>
  <c r="AA699" i="1"/>
  <c r="AB698" i="1"/>
  <c r="AA698" i="1"/>
  <c r="AB697" i="1"/>
  <c r="AA697" i="1"/>
  <c r="AB696" i="1"/>
  <c r="AA696" i="1"/>
  <c r="AB695" i="1"/>
  <c r="AA695" i="1"/>
  <c r="AB694" i="1"/>
  <c r="AA694" i="1"/>
  <c r="AB693" i="1"/>
  <c r="AA693" i="1"/>
  <c r="AB692" i="1"/>
  <c r="AA692" i="1"/>
  <c r="AB691" i="1"/>
  <c r="AA691" i="1"/>
  <c r="AB690" i="1"/>
  <c r="AA690" i="1"/>
  <c r="AB689" i="1"/>
  <c r="AA689" i="1"/>
  <c r="AB688" i="1"/>
  <c r="AA688" i="1"/>
  <c r="AB687" i="1"/>
  <c r="AA687" i="1"/>
  <c r="AB686" i="1"/>
  <c r="AA686" i="1"/>
  <c r="AB685" i="1"/>
  <c r="AA685" i="1"/>
  <c r="AB684" i="1"/>
  <c r="AA684" i="1"/>
  <c r="AB683" i="1"/>
  <c r="AA683" i="1"/>
  <c r="AB682" i="1"/>
  <c r="AA682" i="1"/>
  <c r="AB681" i="1"/>
  <c r="AA681" i="1"/>
  <c r="AB680" i="1"/>
  <c r="AA680" i="1"/>
  <c r="AB679" i="1"/>
  <c r="AA679" i="1"/>
  <c r="AB678" i="1"/>
  <c r="AA678" i="1"/>
  <c r="AB677" i="1"/>
  <c r="AA677" i="1"/>
  <c r="AB676" i="1"/>
  <c r="AA676" i="1"/>
  <c r="AB675" i="1"/>
  <c r="AA675" i="1"/>
  <c r="AB674" i="1"/>
  <c r="AA674" i="1"/>
  <c r="AB673" i="1"/>
  <c r="AA673" i="1"/>
  <c r="AB672" i="1"/>
  <c r="AA672" i="1"/>
  <c r="AB671" i="1"/>
  <c r="AA671" i="1"/>
  <c r="AB670" i="1"/>
  <c r="AA670" i="1"/>
  <c r="AB669" i="1"/>
  <c r="AA669" i="1"/>
  <c r="AB668" i="1"/>
  <c r="AA668" i="1"/>
  <c r="AB667" i="1"/>
  <c r="AA667" i="1"/>
  <c r="AB666" i="1"/>
  <c r="AA666" i="1"/>
  <c r="AB665" i="1"/>
  <c r="AA665" i="1"/>
  <c r="AB664" i="1"/>
  <c r="AA664" i="1"/>
  <c r="AB663" i="1"/>
  <c r="AA663" i="1"/>
  <c r="AB662" i="1"/>
  <c r="AA662" i="1"/>
  <c r="AB661" i="1"/>
  <c r="AA661" i="1"/>
  <c r="AB660" i="1"/>
  <c r="AA660" i="1"/>
  <c r="AB659" i="1"/>
  <c r="AA659" i="1"/>
  <c r="AB658" i="1"/>
  <c r="AA658" i="1"/>
  <c r="AB657" i="1"/>
  <c r="AA657" i="1"/>
  <c r="AB656" i="1"/>
  <c r="AA656" i="1"/>
  <c r="AB655" i="1"/>
  <c r="AA655" i="1"/>
  <c r="AB654" i="1"/>
  <c r="AA654" i="1"/>
  <c r="AB653" i="1"/>
  <c r="AA653" i="1"/>
  <c r="AB652" i="1"/>
  <c r="AA652" i="1"/>
  <c r="AB651" i="1"/>
  <c r="AA651" i="1"/>
  <c r="AB650" i="1"/>
  <c r="AA650" i="1"/>
  <c r="AB649" i="1"/>
  <c r="AA649" i="1"/>
  <c r="AB648" i="1"/>
  <c r="AA648" i="1"/>
  <c r="AB647" i="1"/>
  <c r="AA647" i="1"/>
  <c r="AB646" i="1"/>
  <c r="AA646" i="1"/>
  <c r="AB645" i="1"/>
  <c r="AA645" i="1"/>
  <c r="AB644" i="1"/>
  <c r="AA644" i="1"/>
  <c r="AB643" i="1"/>
  <c r="AA643" i="1"/>
  <c r="AB642" i="1"/>
  <c r="AA642" i="1"/>
  <c r="AB641" i="1"/>
  <c r="AA641" i="1"/>
  <c r="AB640" i="1"/>
  <c r="AA640" i="1"/>
  <c r="AB639" i="1"/>
  <c r="AA639" i="1"/>
  <c r="AB638" i="1"/>
  <c r="AA638" i="1"/>
  <c r="AB637" i="1"/>
  <c r="AA637" i="1"/>
  <c r="AB636" i="1"/>
  <c r="AA636" i="1"/>
  <c r="AB635" i="1"/>
  <c r="AA635" i="1"/>
  <c r="AB634" i="1"/>
  <c r="AA634" i="1"/>
  <c r="AB633" i="1"/>
  <c r="AA633" i="1"/>
  <c r="AB632" i="1"/>
  <c r="AA632" i="1"/>
  <c r="AB631" i="1"/>
  <c r="AA631" i="1"/>
  <c r="AB630" i="1"/>
  <c r="AA630" i="1"/>
  <c r="AB629" i="1"/>
  <c r="AA629" i="1"/>
  <c r="AB628" i="1"/>
  <c r="AA628" i="1"/>
  <c r="AB627" i="1"/>
  <c r="AA627" i="1"/>
  <c r="AB626" i="1"/>
  <c r="AA626" i="1"/>
  <c r="AB625" i="1"/>
  <c r="AA625" i="1"/>
  <c r="AB624" i="1"/>
  <c r="AA624" i="1"/>
  <c r="AB623" i="1"/>
  <c r="AA623" i="1"/>
  <c r="AB622" i="1"/>
  <c r="AA622" i="1"/>
  <c r="AB621" i="1"/>
  <c r="AA621" i="1"/>
  <c r="AB620" i="1"/>
  <c r="AA620" i="1"/>
  <c r="AB619" i="1"/>
  <c r="AA619" i="1"/>
  <c r="AB618" i="1"/>
  <c r="AA618" i="1"/>
  <c r="AB617" i="1"/>
  <c r="AA617" i="1"/>
  <c r="AB616" i="1"/>
  <c r="AA616" i="1"/>
  <c r="AB615" i="1"/>
  <c r="AA615" i="1"/>
  <c r="AB614" i="1"/>
  <c r="AA614" i="1"/>
  <c r="AB613" i="1"/>
  <c r="AA613" i="1"/>
  <c r="AB612" i="1"/>
  <c r="AA612" i="1"/>
  <c r="AB611" i="1"/>
  <c r="AA611" i="1"/>
  <c r="AB610" i="1"/>
  <c r="AA610" i="1"/>
  <c r="AB609" i="1"/>
  <c r="AA609" i="1"/>
  <c r="AB608" i="1"/>
  <c r="AA608" i="1"/>
  <c r="AB607" i="1"/>
  <c r="AA607" i="1"/>
  <c r="AB606" i="1"/>
  <c r="AA606" i="1"/>
  <c r="AB605" i="1"/>
  <c r="AA605" i="1"/>
  <c r="AB604" i="1"/>
  <c r="AA604" i="1"/>
  <c r="AB603" i="1"/>
  <c r="AA603" i="1"/>
  <c r="AB602" i="1"/>
  <c r="AA602" i="1"/>
  <c r="AB601" i="1"/>
  <c r="AA601" i="1"/>
  <c r="AB600" i="1"/>
  <c r="AA600" i="1"/>
  <c r="AB599" i="1"/>
  <c r="AA599" i="1"/>
  <c r="AB598" i="1"/>
  <c r="AA598" i="1"/>
  <c r="AB597" i="1"/>
  <c r="AA597" i="1"/>
  <c r="AB596" i="1"/>
  <c r="AA596" i="1"/>
  <c r="AB595" i="1"/>
  <c r="AA595" i="1"/>
  <c r="AB594" i="1"/>
  <c r="AA594" i="1"/>
  <c r="AB593" i="1"/>
  <c r="AA593" i="1"/>
  <c r="AB592" i="1"/>
  <c r="AA592" i="1"/>
  <c r="AB591" i="1"/>
  <c r="AA591" i="1"/>
  <c r="AB590" i="1"/>
  <c r="AA590" i="1"/>
  <c r="AB589" i="1"/>
  <c r="AA589" i="1"/>
  <c r="AB588" i="1"/>
  <c r="AA588" i="1"/>
  <c r="AB587" i="1"/>
  <c r="AA587" i="1"/>
  <c r="AB586" i="1"/>
  <c r="AA586" i="1"/>
  <c r="AB585" i="1"/>
  <c r="AA585" i="1"/>
  <c r="AB584" i="1"/>
  <c r="AA584" i="1"/>
  <c r="AB583" i="1"/>
  <c r="AA583" i="1"/>
  <c r="AB582" i="1"/>
  <c r="AA582" i="1"/>
  <c r="AB581" i="1"/>
  <c r="AA581" i="1"/>
  <c r="AB580" i="1"/>
  <c r="AA580" i="1"/>
  <c r="AB579" i="1"/>
  <c r="AA579" i="1"/>
  <c r="AB578" i="1"/>
  <c r="AA578" i="1"/>
  <c r="AB577" i="1"/>
  <c r="AA577" i="1"/>
  <c r="AB576" i="1"/>
  <c r="AA576" i="1"/>
  <c r="AB575" i="1"/>
  <c r="AA575" i="1"/>
  <c r="AB574" i="1"/>
  <c r="AA574" i="1"/>
  <c r="AB573" i="1"/>
  <c r="AA573" i="1"/>
  <c r="AB572" i="1"/>
  <c r="AA572" i="1"/>
  <c r="AB571" i="1"/>
  <c r="AA571" i="1"/>
  <c r="AB570" i="1"/>
  <c r="AA570" i="1"/>
  <c r="AB569" i="1"/>
  <c r="AA569" i="1"/>
  <c r="AB568" i="1"/>
  <c r="AA568" i="1"/>
  <c r="AB567" i="1"/>
  <c r="AA567" i="1"/>
  <c r="AB566" i="1"/>
  <c r="AA566" i="1"/>
  <c r="AB565" i="1"/>
  <c r="AA565" i="1"/>
  <c r="AB564" i="1"/>
  <c r="AA564" i="1"/>
  <c r="AB563" i="1"/>
  <c r="AA563" i="1"/>
  <c r="AB562" i="1"/>
  <c r="AA562" i="1"/>
  <c r="AB561" i="1"/>
  <c r="AA561" i="1"/>
  <c r="AB560" i="1"/>
  <c r="AA560" i="1"/>
  <c r="AB559" i="1"/>
  <c r="AA559" i="1"/>
  <c r="AB558" i="1"/>
  <c r="AA558" i="1"/>
  <c r="AB557" i="1"/>
  <c r="AA557" i="1"/>
  <c r="AB556" i="1"/>
  <c r="AA556" i="1"/>
  <c r="AB555" i="1"/>
  <c r="AA555" i="1"/>
  <c r="AB554" i="1"/>
  <c r="AA554" i="1"/>
  <c r="AB553" i="1"/>
  <c r="AA553" i="1"/>
  <c r="AB552" i="1"/>
  <c r="AA552" i="1"/>
  <c r="AB551" i="1"/>
  <c r="AA551" i="1"/>
  <c r="AB550" i="1"/>
  <c r="AA550" i="1"/>
  <c r="AB549" i="1"/>
  <c r="AA549" i="1"/>
  <c r="AB548" i="1"/>
  <c r="AA548" i="1"/>
  <c r="AB547" i="1"/>
  <c r="AA547" i="1"/>
  <c r="AB546" i="1"/>
  <c r="AA546" i="1"/>
  <c r="AB545" i="1"/>
  <c r="AA545" i="1"/>
  <c r="AB544" i="1"/>
  <c r="AA544" i="1"/>
  <c r="AB543" i="1"/>
  <c r="AA543" i="1"/>
  <c r="AB542" i="1"/>
  <c r="AA542" i="1"/>
  <c r="AB541" i="1"/>
  <c r="AA541" i="1"/>
  <c r="AB540" i="1"/>
  <c r="AA540" i="1"/>
  <c r="AB539" i="1"/>
  <c r="AA539" i="1"/>
  <c r="AB538" i="1"/>
  <c r="AA538" i="1"/>
  <c r="AB537" i="1"/>
  <c r="AA537" i="1"/>
  <c r="AB536" i="1"/>
  <c r="AA536" i="1"/>
  <c r="AB535" i="1"/>
  <c r="AA535" i="1"/>
  <c r="AB534" i="1"/>
  <c r="AA534" i="1"/>
  <c r="AB533" i="1"/>
  <c r="AA533" i="1"/>
  <c r="AB532" i="1"/>
  <c r="AA532" i="1"/>
  <c r="AB531" i="1"/>
  <c r="AA531" i="1"/>
  <c r="AB530" i="1"/>
  <c r="AA530" i="1"/>
  <c r="AB529" i="1"/>
  <c r="AA529" i="1"/>
  <c r="AB528" i="1"/>
  <c r="AA528" i="1"/>
  <c r="AB527" i="1"/>
  <c r="AA527" i="1"/>
  <c r="AB526" i="1"/>
  <c r="AA526" i="1"/>
  <c r="AB525" i="1"/>
  <c r="AA525" i="1"/>
  <c r="AB524" i="1"/>
  <c r="AA524" i="1"/>
  <c r="AB523" i="1"/>
  <c r="AA523" i="1"/>
  <c r="AB522" i="1"/>
  <c r="AA522" i="1"/>
  <c r="AB521" i="1"/>
  <c r="AA521" i="1"/>
  <c r="AB520" i="1"/>
  <c r="AA520" i="1"/>
  <c r="AB519" i="1"/>
  <c r="AA519" i="1"/>
  <c r="AB518" i="1"/>
  <c r="AA518" i="1"/>
  <c r="AB517" i="1"/>
  <c r="AA517" i="1"/>
  <c r="AB516" i="1"/>
  <c r="AA516" i="1"/>
  <c r="AB515" i="1"/>
  <c r="AA515" i="1"/>
  <c r="AB514" i="1"/>
  <c r="AA514" i="1"/>
  <c r="AB513" i="1"/>
  <c r="AA513" i="1"/>
  <c r="AB512" i="1"/>
  <c r="AA512" i="1"/>
  <c r="AB511" i="1"/>
  <c r="AA511" i="1"/>
  <c r="AB510" i="1"/>
  <c r="AA510" i="1"/>
  <c r="AB509" i="1"/>
  <c r="AA509" i="1"/>
  <c r="AB508" i="1"/>
  <c r="AA508" i="1"/>
  <c r="AB507" i="1"/>
  <c r="AA507" i="1"/>
  <c r="AB506" i="1"/>
  <c r="AA506" i="1"/>
  <c r="AB505" i="1"/>
  <c r="AA505" i="1"/>
  <c r="AB504" i="1"/>
  <c r="AA504" i="1"/>
  <c r="AB503" i="1"/>
  <c r="AA503" i="1"/>
  <c r="AB502" i="1"/>
  <c r="AA502" i="1"/>
  <c r="AB501" i="1"/>
  <c r="AA501" i="1"/>
  <c r="AB500" i="1"/>
  <c r="AA500" i="1"/>
  <c r="AB499" i="1"/>
  <c r="AA499" i="1"/>
  <c r="AB498" i="1"/>
  <c r="AA498" i="1"/>
  <c r="AB497" i="1"/>
  <c r="AA497" i="1"/>
  <c r="AB496" i="1"/>
  <c r="AA496" i="1"/>
  <c r="AB495" i="1"/>
  <c r="AA495" i="1"/>
  <c r="AB494" i="1"/>
  <c r="AA494" i="1"/>
  <c r="AB493" i="1"/>
  <c r="AA493" i="1"/>
  <c r="AB492" i="1"/>
  <c r="AA492" i="1"/>
  <c r="AB491" i="1"/>
  <c r="AA491" i="1"/>
  <c r="AB490" i="1"/>
  <c r="AA490" i="1"/>
  <c r="AB489" i="1"/>
  <c r="AA489" i="1"/>
  <c r="AB488" i="1"/>
  <c r="AA488" i="1"/>
  <c r="AB487" i="1"/>
  <c r="AA487" i="1"/>
  <c r="AB486" i="1"/>
  <c r="AA486" i="1"/>
  <c r="AB485" i="1"/>
  <c r="AA485" i="1"/>
  <c r="AB484" i="1"/>
  <c r="AA484" i="1"/>
  <c r="AB483" i="1"/>
  <c r="AA483" i="1"/>
  <c r="AB482" i="1"/>
  <c r="AA482" i="1"/>
  <c r="AB481" i="1"/>
  <c r="AA481" i="1"/>
  <c r="AB480" i="1"/>
  <c r="AA480" i="1"/>
  <c r="AB479" i="1"/>
  <c r="AA479" i="1"/>
  <c r="AB478" i="1"/>
  <c r="AA478" i="1"/>
  <c r="AB477" i="1"/>
  <c r="AA477" i="1"/>
  <c r="AB476" i="1"/>
  <c r="AA476" i="1"/>
  <c r="AB475" i="1"/>
  <c r="AA475" i="1"/>
  <c r="AB474" i="1"/>
  <c r="AA474" i="1"/>
  <c r="AB473" i="1"/>
  <c r="AA473" i="1"/>
  <c r="AB472" i="1"/>
  <c r="AA472" i="1"/>
  <c r="AB471" i="1"/>
  <c r="AA471" i="1"/>
  <c r="AB470" i="1"/>
  <c r="AA470" i="1"/>
  <c r="AB469" i="1"/>
  <c r="AA469" i="1"/>
  <c r="AB468" i="1"/>
  <c r="AA468" i="1"/>
  <c r="AB467" i="1"/>
  <c r="AA467" i="1"/>
  <c r="AB466" i="1"/>
  <c r="AA466" i="1"/>
  <c r="AB465" i="1"/>
  <c r="AA465" i="1"/>
  <c r="AB464" i="1"/>
  <c r="AA464" i="1"/>
  <c r="AB463" i="1"/>
  <c r="AA463" i="1"/>
  <c r="AB462" i="1"/>
  <c r="AA462" i="1"/>
  <c r="AB461" i="1"/>
  <c r="AA461" i="1"/>
  <c r="AB460" i="1"/>
  <c r="AA460" i="1"/>
  <c r="AB459" i="1"/>
  <c r="AA459" i="1"/>
  <c r="AB458" i="1"/>
  <c r="AA458" i="1"/>
  <c r="AB457" i="1"/>
  <c r="AA457" i="1"/>
  <c r="AB456" i="1"/>
  <c r="AA456" i="1"/>
  <c r="AB455" i="1"/>
  <c r="AA455" i="1"/>
  <c r="AB454" i="1"/>
  <c r="AA454" i="1"/>
  <c r="AB453" i="1"/>
  <c r="AA453" i="1"/>
  <c r="AB452" i="1"/>
  <c r="AA452" i="1"/>
  <c r="AB451" i="1"/>
  <c r="AA451" i="1"/>
  <c r="AB450" i="1"/>
  <c r="AA450" i="1"/>
  <c r="AB449" i="1"/>
  <c r="AA449" i="1"/>
  <c r="AB448" i="1"/>
  <c r="AA448" i="1"/>
  <c r="AB447" i="1"/>
  <c r="AA447" i="1"/>
  <c r="AB446" i="1"/>
  <c r="AA446" i="1"/>
  <c r="AB445" i="1"/>
  <c r="AA445" i="1"/>
  <c r="AB444" i="1"/>
  <c r="AA444" i="1"/>
  <c r="AB443" i="1"/>
  <c r="AA443" i="1"/>
  <c r="AB442" i="1"/>
  <c r="AA442" i="1"/>
  <c r="AB441" i="1"/>
  <c r="AA441" i="1"/>
  <c r="AB440" i="1"/>
  <c r="AA440" i="1"/>
  <c r="AB439" i="1"/>
  <c r="AA439" i="1"/>
  <c r="AB438" i="1"/>
  <c r="AA438" i="1"/>
  <c r="AB437" i="1"/>
  <c r="AA437" i="1"/>
  <c r="AB436" i="1"/>
  <c r="AA436" i="1"/>
  <c r="AB435" i="1"/>
  <c r="AA435" i="1"/>
  <c r="AB434" i="1"/>
  <c r="AA434" i="1"/>
  <c r="AB433" i="1"/>
  <c r="AA433" i="1"/>
  <c r="AB432" i="1"/>
  <c r="AA432" i="1"/>
  <c r="AB431" i="1"/>
  <c r="AA431" i="1"/>
  <c r="AB430" i="1"/>
  <c r="AA430" i="1"/>
  <c r="AB429" i="1"/>
  <c r="AA429" i="1"/>
  <c r="AB428" i="1"/>
  <c r="AA428" i="1"/>
  <c r="AB427" i="1"/>
  <c r="AA427" i="1"/>
  <c r="AB426" i="1"/>
  <c r="AA426" i="1"/>
  <c r="AB425" i="1"/>
  <c r="AA425" i="1"/>
  <c r="AB424" i="1"/>
  <c r="AA424" i="1"/>
  <c r="AB423" i="1"/>
  <c r="AA423" i="1"/>
  <c r="AB422" i="1"/>
  <c r="AA422" i="1"/>
  <c r="AB421" i="1"/>
  <c r="AA421" i="1"/>
  <c r="AB420" i="1"/>
  <c r="AA420" i="1"/>
  <c r="AB419" i="1"/>
  <c r="AA419" i="1"/>
  <c r="AB418" i="1"/>
  <c r="AA418" i="1"/>
  <c r="AB417" i="1"/>
  <c r="AA417" i="1"/>
  <c r="AB416" i="1"/>
  <c r="AA416" i="1"/>
  <c r="AB415" i="1"/>
  <c r="AA415" i="1"/>
  <c r="AB414" i="1"/>
  <c r="AA414" i="1"/>
  <c r="AB413" i="1"/>
  <c r="AA413" i="1"/>
  <c r="AB412" i="1"/>
  <c r="AA412" i="1"/>
  <c r="AB411" i="1"/>
  <c r="AA411" i="1"/>
  <c r="AB410" i="1"/>
  <c r="AA410" i="1"/>
  <c r="AB409" i="1"/>
  <c r="AA409" i="1"/>
  <c r="AB408" i="1"/>
  <c r="AA408" i="1"/>
  <c r="AB407" i="1"/>
  <c r="AA407" i="1"/>
  <c r="AB406" i="1"/>
  <c r="AA406" i="1"/>
  <c r="AB405" i="1"/>
  <c r="AA405" i="1"/>
  <c r="AB404" i="1"/>
  <c r="AA404" i="1"/>
  <c r="AB403" i="1"/>
  <c r="AA403" i="1"/>
  <c r="AB402" i="1"/>
  <c r="AA402" i="1"/>
  <c r="AB401" i="1"/>
  <c r="AA401" i="1"/>
  <c r="AB400" i="1"/>
  <c r="AA400" i="1"/>
  <c r="AB399" i="1"/>
  <c r="AA399" i="1"/>
  <c r="AB398" i="1"/>
  <c r="AA398" i="1"/>
  <c r="AB397" i="1"/>
  <c r="AA397" i="1"/>
  <c r="AB396" i="1"/>
  <c r="AA396" i="1"/>
  <c r="AB395" i="1"/>
  <c r="AA395" i="1"/>
  <c r="AB394" i="1"/>
  <c r="AA394" i="1"/>
  <c r="AB393" i="1"/>
  <c r="AA393" i="1"/>
  <c r="AB392" i="1"/>
  <c r="AA392" i="1"/>
  <c r="AB391" i="1"/>
  <c r="AA391" i="1"/>
  <c r="AB390" i="1"/>
  <c r="AA390" i="1"/>
  <c r="AB389" i="1"/>
  <c r="AA389" i="1"/>
  <c r="AB388" i="1"/>
  <c r="AA388" i="1"/>
  <c r="AB387" i="1"/>
  <c r="AA387" i="1"/>
  <c r="AB386" i="1"/>
  <c r="AA386" i="1"/>
  <c r="AB385" i="1"/>
  <c r="AA385" i="1"/>
  <c r="AB384" i="1"/>
  <c r="AA384" i="1"/>
  <c r="AB383" i="1"/>
  <c r="AA383" i="1"/>
  <c r="AB382" i="1"/>
  <c r="AA382" i="1"/>
  <c r="AB381" i="1"/>
  <c r="AA381" i="1"/>
  <c r="AB380" i="1"/>
  <c r="AA380" i="1"/>
  <c r="AB379" i="1"/>
  <c r="AA379" i="1"/>
  <c r="AB378" i="1"/>
  <c r="AA378" i="1"/>
  <c r="AB377" i="1"/>
  <c r="AA377" i="1"/>
  <c r="AB376" i="1"/>
  <c r="AA376" i="1"/>
  <c r="AB375" i="1"/>
  <c r="AA375" i="1"/>
  <c r="AB374" i="1"/>
  <c r="AA374" i="1"/>
  <c r="AB373" i="1"/>
  <c r="AA373" i="1"/>
  <c r="AB372" i="1"/>
  <c r="AA372" i="1"/>
  <c r="AB371" i="1"/>
  <c r="AA371" i="1"/>
  <c r="AB370" i="1"/>
  <c r="AA370" i="1"/>
  <c r="AB369" i="1"/>
  <c r="AA369" i="1"/>
  <c r="AB368" i="1"/>
  <c r="AA368" i="1"/>
  <c r="AB367" i="1"/>
  <c r="AA367" i="1"/>
  <c r="AB366" i="1"/>
  <c r="AA366" i="1"/>
  <c r="AB365" i="1"/>
  <c r="AA365" i="1"/>
  <c r="AB364" i="1"/>
  <c r="AA364" i="1"/>
  <c r="AB363" i="1"/>
  <c r="AA363" i="1"/>
  <c r="AB362" i="1"/>
  <c r="AA362" i="1"/>
  <c r="AB361" i="1"/>
  <c r="AA361" i="1"/>
  <c r="AB360" i="1"/>
  <c r="AA360" i="1"/>
  <c r="AB359" i="1"/>
  <c r="AA359" i="1"/>
  <c r="AB358" i="1"/>
  <c r="AA358" i="1"/>
  <c r="AB357" i="1"/>
  <c r="AA357" i="1"/>
  <c r="AB356" i="1"/>
  <c r="AA356" i="1"/>
  <c r="AB355" i="1"/>
  <c r="AA355" i="1"/>
  <c r="AB354" i="1"/>
  <c r="AA354" i="1"/>
  <c r="AB353" i="1"/>
  <c r="AA353" i="1"/>
  <c r="AB352" i="1"/>
  <c r="AA352" i="1"/>
  <c r="AB351" i="1"/>
  <c r="AA351" i="1"/>
  <c r="AB350" i="1"/>
  <c r="AA350" i="1"/>
  <c r="AB349" i="1"/>
  <c r="AA349" i="1"/>
  <c r="AB348" i="1"/>
  <c r="AA348" i="1"/>
  <c r="AB347" i="1"/>
  <c r="AA347" i="1"/>
  <c r="AB346" i="1"/>
  <c r="AA346" i="1"/>
  <c r="AB345" i="1"/>
  <c r="AA345" i="1"/>
  <c r="AB344" i="1"/>
  <c r="AA344" i="1"/>
  <c r="AB343" i="1"/>
  <c r="AA343" i="1"/>
  <c r="AB342" i="1"/>
  <c r="AA342" i="1"/>
  <c r="AB341" i="1"/>
  <c r="AA341" i="1"/>
  <c r="AB340" i="1"/>
  <c r="AA340" i="1"/>
  <c r="AB339" i="1"/>
  <c r="AA339" i="1"/>
  <c r="AB338" i="1"/>
  <c r="AA338" i="1"/>
  <c r="AB337" i="1"/>
  <c r="AA337" i="1"/>
  <c r="AB336" i="1"/>
  <c r="AA336" i="1"/>
  <c r="AB335" i="1"/>
  <c r="AA335" i="1"/>
  <c r="AB334" i="1"/>
  <c r="AA334" i="1"/>
  <c r="AB333" i="1"/>
  <c r="AA333" i="1"/>
  <c r="AB332" i="1"/>
  <c r="AA332" i="1"/>
  <c r="AB331" i="1"/>
  <c r="AA331" i="1"/>
  <c r="AB330" i="1"/>
  <c r="AA330" i="1"/>
  <c r="AB329" i="1"/>
  <c r="AA329" i="1"/>
  <c r="AB328" i="1"/>
  <c r="AA328" i="1"/>
  <c r="AB327" i="1"/>
  <c r="AA327" i="1"/>
  <c r="AB326" i="1"/>
  <c r="AA326" i="1"/>
  <c r="AB325" i="1"/>
  <c r="AA325" i="1"/>
  <c r="AB324" i="1"/>
  <c r="AA324" i="1"/>
  <c r="AB323" i="1"/>
  <c r="AA323" i="1"/>
  <c r="AB322" i="1"/>
  <c r="AA322" i="1"/>
  <c r="AB321" i="1"/>
  <c r="AA321" i="1"/>
  <c r="AB320" i="1"/>
  <c r="AA320" i="1"/>
  <c r="AB319" i="1"/>
  <c r="AA319" i="1"/>
  <c r="AB318" i="1"/>
  <c r="AA318" i="1"/>
  <c r="AB317" i="1"/>
  <c r="AA317" i="1"/>
  <c r="AB316" i="1"/>
  <c r="AA316" i="1"/>
  <c r="AB315" i="1"/>
  <c r="AA315" i="1"/>
  <c r="AB314" i="1"/>
  <c r="AA314" i="1"/>
  <c r="AB313" i="1"/>
  <c r="AA313" i="1"/>
  <c r="AB312" i="1"/>
  <c r="AA312" i="1"/>
  <c r="AB311" i="1"/>
  <c r="AA311" i="1"/>
  <c r="AB310" i="1"/>
  <c r="AA310" i="1"/>
  <c r="AB309" i="1"/>
  <c r="AA309" i="1"/>
  <c r="AB308" i="1"/>
  <c r="AA308" i="1"/>
  <c r="AB307" i="1"/>
  <c r="AA307" i="1"/>
  <c r="AB306" i="1"/>
  <c r="AA306" i="1"/>
  <c r="AB305" i="1"/>
  <c r="AA305" i="1"/>
  <c r="AB304" i="1"/>
  <c r="AA304" i="1"/>
  <c r="AB303" i="1"/>
  <c r="AA303" i="1"/>
  <c r="AB302" i="1"/>
  <c r="AA302" i="1"/>
  <c r="AB301" i="1"/>
  <c r="AA301" i="1"/>
  <c r="AB300" i="1"/>
  <c r="AA300" i="1"/>
  <c r="AB299" i="1"/>
  <c r="AA299" i="1"/>
  <c r="AB298" i="1"/>
  <c r="AA298" i="1"/>
  <c r="AB297" i="1"/>
  <c r="AA297" i="1"/>
  <c r="AB296" i="1"/>
  <c r="AA296" i="1"/>
  <c r="AB295" i="1"/>
  <c r="AA295" i="1"/>
  <c r="AB294" i="1"/>
  <c r="AA294" i="1"/>
  <c r="AB293" i="1"/>
  <c r="AA293" i="1"/>
  <c r="AB292" i="1"/>
  <c r="AA292" i="1"/>
  <c r="AB291" i="1"/>
  <c r="AA291" i="1"/>
  <c r="AB290" i="1"/>
  <c r="AA290" i="1"/>
  <c r="AB289" i="1"/>
  <c r="AA289" i="1"/>
  <c r="AB288" i="1"/>
  <c r="AA288" i="1"/>
  <c r="AB287" i="1"/>
  <c r="AA287" i="1"/>
  <c r="AB286" i="1"/>
  <c r="AA286" i="1"/>
  <c r="AB285" i="1"/>
  <c r="AA285" i="1"/>
  <c r="AB284" i="1"/>
  <c r="AA284" i="1"/>
  <c r="AB283" i="1"/>
  <c r="AA283" i="1"/>
  <c r="AB282" i="1"/>
  <c r="AA282" i="1"/>
  <c r="AB281" i="1"/>
  <c r="AA281" i="1"/>
  <c r="AB280" i="1"/>
  <c r="AA280" i="1"/>
  <c r="AB279" i="1"/>
  <c r="AA279" i="1"/>
  <c r="AB278" i="1"/>
  <c r="AA278" i="1"/>
  <c r="AB277" i="1"/>
  <c r="AA277" i="1"/>
  <c r="AB276" i="1"/>
  <c r="AA276" i="1"/>
  <c r="AB275" i="1"/>
  <c r="AA275" i="1"/>
  <c r="AB274" i="1"/>
  <c r="AA274" i="1"/>
  <c r="AB273" i="1"/>
  <c r="AA273" i="1"/>
  <c r="AB272" i="1"/>
  <c r="AA272" i="1"/>
  <c r="AB271" i="1"/>
  <c r="AA271" i="1"/>
  <c r="AB270" i="1"/>
  <c r="AA270" i="1"/>
  <c r="AB269" i="1"/>
  <c r="AA269" i="1"/>
  <c r="AB268" i="1"/>
  <c r="AA268" i="1"/>
  <c r="AB267" i="1"/>
  <c r="AA267" i="1"/>
  <c r="AB266" i="1"/>
  <c r="AA266" i="1"/>
  <c r="AB265" i="1"/>
  <c r="AA265" i="1"/>
  <c r="AB264" i="1"/>
  <c r="AA264" i="1"/>
  <c r="AB263" i="1"/>
  <c r="AA263" i="1"/>
  <c r="AB262" i="1"/>
  <c r="AA262" i="1"/>
  <c r="AB261" i="1"/>
  <c r="AA261" i="1"/>
  <c r="AB260" i="1"/>
  <c r="AA260" i="1"/>
  <c r="AB259" i="1"/>
  <c r="AA259" i="1"/>
  <c r="AB258" i="1"/>
  <c r="AA258" i="1"/>
  <c r="AB257" i="1"/>
  <c r="AA257" i="1"/>
  <c r="AB256" i="1"/>
  <c r="AA256" i="1"/>
  <c r="AB255" i="1"/>
  <c r="AA255" i="1"/>
  <c r="AB254" i="1"/>
  <c r="AA254" i="1"/>
  <c r="AB253" i="1"/>
  <c r="AA253" i="1"/>
  <c r="AB252" i="1"/>
  <c r="AA252" i="1"/>
  <c r="AB251" i="1"/>
  <c r="AA251" i="1"/>
  <c r="AB250" i="1"/>
  <c r="AA250" i="1"/>
  <c r="AB249" i="1"/>
  <c r="AA249" i="1"/>
  <c r="AB248" i="1"/>
  <c r="AA248" i="1"/>
  <c r="AB247" i="1"/>
  <c r="AA247" i="1"/>
  <c r="AB246" i="1"/>
  <c r="AA246" i="1"/>
  <c r="AB245" i="1"/>
  <c r="AA245" i="1"/>
  <c r="AB244" i="1"/>
  <c r="AA244" i="1"/>
  <c r="AB243" i="1"/>
  <c r="AA243" i="1"/>
  <c r="AB242" i="1"/>
  <c r="AA242" i="1"/>
  <c r="AB241" i="1"/>
  <c r="AA241" i="1"/>
  <c r="AB240" i="1"/>
  <c r="AA240" i="1"/>
  <c r="AB239" i="1"/>
  <c r="AA239" i="1"/>
  <c r="AB238" i="1"/>
  <c r="AA238" i="1"/>
  <c r="AB237" i="1"/>
  <c r="AA237" i="1"/>
  <c r="AB236" i="1"/>
  <c r="AA236" i="1"/>
  <c r="AB235" i="1"/>
  <c r="AA235" i="1"/>
  <c r="AB234" i="1"/>
  <c r="AA234" i="1"/>
  <c r="AB233" i="1"/>
  <c r="AA233" i="1"/>
  <c r="AB232" i="1"/>
  <c r="AA232" i="1"/>
  <c r="AB231" i="1"/>
  <c r="AA231" i="1"/>
  <c r="AB230" i="1"/>
  <c r="AA230" i="1"/>
  <c r="AB229" i="1"/>
  <c r="AA229" i="1"/>
  <c r="AB228" i="1"/>
  <c r="AA228" i="1"/>
  <c r="AB227" i="1"/>
  <c r="AA227" i="1"/>
  <c r="AB226" i="1"/>
  <c r="AA226" i="1"/>
  <c r="AB225" i="1"/>
  <c r="AA225" i="1"/>
  <c r="AB224" i="1"/>
  <c r="AA224" i="1"/>
  <c r="AB223" i="1"/>
  <c r="AA223" i="1"/>
  <c r="AB222" i="1"/>
  <c r="AA222" i="1"/>
  <c r="AB221" i="1"/>
  <c r="AA221" i="1"/>
  <c r="AB220" i="1"/>
  <c r="AA220" i="1"/>
  <c r="AB219" i="1"/>
  <c r="AA219" i="1"/>
  <c r="AB218" i="1"/>
  <c r="AA218" i="1"/>
  <c r="AB217" i="1"/>
  <c r="AA217" i="1"/>
  <c r="AB216" i="1"/>
  <c r="AA216" i="1"/>
  <c r="AB215" i="1"/>
  <c r="AA215" i="1"/>
  <c r="AB214" i="1"/>
  <c r="AA214" i="1"/>
  <c r="AB213" i="1"/>
  <c r="AA213" i="1"/>
  <c r="AB212" i="1"/>
  <c r="AA212" i="1"/>
  <c r="AB211" i="1"/>
  <c r="AA211" i="1"/>
  <c r="AB210" i="1"/>
  <c r="AA210" i="1"/>
  <c r="AB209" i="1"/>
  <c r="AA209" i="1"/>
  <c r="AB208" i="1"/>
  <c r="AA208" i="1"/>
  <c r="AB207" i="1"/>
  <c r="AA207" i="1"/>
  <c r="AB206" i="1"/>
  <c r="AA206" i="1"/>
  <c r="AB205" i="1"/>
  <c r="AA205" i="1"/>
  <c r="AB204" i="1"/>
  <c r="AA204" i="1"/>
  <c r="AB203" i="1"/>
  <c r="AA203" i="1"/>
  <c r="AB202" i="1"/>
  <c r="AA202" i="1"/>
  <c r="AB201" i="1"/>
  <c r="AA201" i="1"/>
  <c r="AB200" i="1"/>
  <c r="AA200" i="1"/>
  <c r="AB199" i="1"/>
  <c r="AA199" i="1"/>
  <c r="AB198" i="1"/>
  <c r="AA198" i="1"/>
  <c r="AB197" i="1"/>
  <c r="AA197" i="1"/>
  <c r="AB196" i="1"/>
  <c r="AA196" i="1"/>
  <c r="AB195" i="1"/>
  <c r="AA195" i="1"/>
  <c r="AB194" i="1"/>
  <c r="AA194" i="1"/>
  <c r="AB193" i="1"/>
  <c r="AA193" i="1"/>
  <c r="AB192" i="1"/>
  <c r="AA192" i="1"/>
  <c r="AB191" i="1"/>
  <c r="AA191" i="1"/>
  <c r="AB190" i="1"/>
  <c r="AA190" i="1"/>
  <c r="AB189" i="1"/>
  <c r="AA189" i="1"/>
  <c r="AB188" i="1"/>
  <c r="AA188" i="1"/>
  <c r="AB187" i="1"/>
  <c r="AA187" i="1"/>
  <c r="AB186" i="1"/>
  <c r="AA186" i="1"/>
  <c r="AB185" i="1"/>
  <c r="AA185" i="1"/>
  <c r="AB184" i="1"/>
  <c r="AA184" i="1"/>
  <c r="AB183" i="1"/>
  <c r="AA183" i="1"/>
  <c r="AB182" i="1"/>
  <c r="AA182" i="1"/>
  <c r="AB181" i="1"/>
  <c r="AA181" i="1"/>
  <c r="AB180" i="1"/>
  <c r="AA180" i="1"/>
  <c r="AB179" i="1"/>
  <c r="AA179" i="1"/>
  <c r="AB178" i="1"/>
  <c r="AA178" i="1"/>
  <c r="AB177" i="1"/>
  <c r="AA177" i="1"/>
  <c r="AB176" i="1"/>
  <c r="AA176" i="1"/>
  <c r="AB175" i="1"/>
  <c r="AA175" i="1"/>
  <c r="AB174" i="1"/>
  <c r="AA174" i="1"/>
  <c r="AB173" i="1"/>
  <c r="AA173" i="1"/>
  <c r="AB172" i="1"/>
  <c r="AA172" i="1"/>
  <c r="AB171" i="1"/>
  <c r="AA171" i="1"/>
  <c r="AB170" i="1"/>
  <c r="AA170" i="1"/>
  <c r="AB169" i="1"/>
  <c r="AA169" i="1"/>
  <c r="AB168" i="1"/>
  <c r="AA168" i="1"/>
  <c r="AB167" i="1"/>
  <c r="AA167" i="1"/>
  <c r="AB166" i="1"/>
  <c r="AA166" i="1"/>
  <c r="AB165" i="1"/>
  <c r="AA165" i="1"/>
  <c r="AB164" i="1"/>
  <c r="AA164" i="1"/>
  <c r="AB163" i="1"/>
  <c r="AA163" i="1"/>
  <c r="AB162" i="1"/>
  <c r="AA162" i="1"/>
  <c r="AB161" i="1"/>
  <c r="AA161" i="1"/>
  <c r="AB160" i="1"/>
  <c r="AA160" i="1"/>
  <c r="AB159" i="1"/>
  <c r="AA159" i="1"/>
  <c r="AB158" i="1"/>
  <c r="AA158" i="1"/>
  <c r="AB157" i="1"/>
  <c r="AA157" i="1"/>
  <c r="AB156" i="1"/>
  <c r="AA156" i="1"/>
  <c r="AB155" i="1"/>
  <c r="AA155" i="1"/>
  <c r="AB154" i="1"/>
  <c r="AA154" i="1"/>
  <c r="AB153" i="1"/>
  <c r="AA153" i="1"/>
  <c r="AB152" i="1"/>
  <c r="AA152" i="1"/>
  <c r="AB151" i="1"/>
  <c r="AA151" i="1"/>
  <c r="AB150" i="1"/>
  <c r="AA150" i="1"/>
  <c r="AB149" i="1"/>
  <c r="AA149" i="1"/>
  <c r="AB148" i="1"/>
  <c r="AA148" i="1"/>
  <c r="AB147" i="1"/>
  <c r="AA147" i="1"/>
  <c r="AB146" i="1"/>
  <c r="AA146" i="1"/>
  <c r="AB145" i="1"/>
  <c r="AA145" i="1"/>
  <c r="AB144" i="1"/>
  <c r="AA144" i="1"/>
  <c r="AB143" i="1"/>
  <c r="AA143" i="1"/>
  <c r="AB142" i="1"/>
  <c r="AA142" i="1"/>
  <c r="AB141" i="1"/>
  <c r="AA141" i="1"/>
  <c r="AB140" i="1"/>
  <c r="AA140" i="1"/>
  <c r="AB139" i="1"/>
  <c r="AA139" i="1"/>
  <c r="AB138" i="1"/>
  <c r="AA138" i="1"/>
  <c r="AB137" i="1"/>
  <c r="AA137" i="1"/>
  <c r="AB136" i="1"/>
  <c r="AA136" i="1"/>
  <c r="AB135" i="1"/>
  <c r="AA135" i="1"/>
  <c r="AB134" i="1"/>
  <c r="AA134" i="1"/>
  <c r="AB133" i="1"/>
  <c r="AA133" i="1"/>
  <c r="AB132" i="1"/>
  <c r="AA132" i="1"/>
  <c r="AB131" i="1"/>
  <c r="AA131" i="1"/>
  <c r="AB130" i="1"/>
  <c r="AA130" i="1"/>
  <c r="AB129" i="1"/>
  <c r="AA129" i="1"/>
  <c r="AB128" i="1"/>
  <c r="AA128" i="1"/>
  <c r="AB127" i="1"/>
  <c r="AA127" i="1"/>
  <c r="AB126" i="1"/>
  <c r="AA126" i="1"/>
  <c r="AB125" i="1"/>
  <c r="AA125" i="1"/>
  <c r="AB124" i="1"/>
  <c r="AA124" i="1"/>
  <c r="AB123" i="1"/>
  <c r="AA123" i="1"/>
  <c r="AB122" i="1"/>
  <c r="AA122" i="1"/>
  <c r="AB121" i="1"/>
  <c r="AA121" i="1"/>
  <c r="AB120" i="1"/>
  <c r="AA120" i="1"/>
  <c r="AB119" i="1"/>
  <c r="AA119" i="1"/>
  <c r="AB118" i="1"/>
  <c r="AA118" i="1"/>
  <c r="AB117" i="1"/>
  <c r="AA117" i="1"/>
  <c r="AB116" i="1"/>
  <c r="AA116" i="1"/>
  <c r="AB115" i="1"/>
  <c r="AA115" i="1"/>
  <c r="AB114" i="1"/>
  <c r="AA114" i="1"/>
  <c r="AB113" i="1"/>
  <c r="AA113" i="1"/>
  <c r="AB112" i="1"/>
  <c r="AA112" i="1"/>
  <c r="AB111" i="1"/>
  <c r="AA111" i="1"/>
  <c r="AB110" i="1"/>
  <c r="AA110" i="1"/>
  <c r="AB109" i="1"/>
  <c r="AA109" i="1"/>
  <c r="AB108" i="1"/>
  <c r="AA108" i="1"/>
  <c r="AB107" i="1"/>
  <c r="AA107" i="1"/>
  <c r="AB106" i="1"/>
  <c r="AA106" i="1"/>
  <c r="AB105" i="1"/>
  <c r="AA105" i="1"/>
  <c r="AB104" i="1"/>
  <c r="AA104" i="1"/>
  <c r="AB103" i="1"/>
  <c r="AA103" i="1"/>
  <c r="AB102" i="1"/>
  <c r="AA102" i="1"/>
  <c r="AB101" i="1"/>
  <c r="AA101" i="1"/>
  <c r="AB100" i="1"/>
  <c r="AA100" i="1"/>
  <c r="AB99" i="1"/>
  <c r="AA99" i="1"/>
  <c r="AB98" i="1"/>
  <c r="AA98" i="1"/>
  <c r="AB97" i="1"/>
  <c r="AA97" i="1"/>
  <c r="AB96" i="1"/>
  <c r="AA96" i="1"/>
  <c r="AB95" i="1"/>
  <c r="AA95" i="1"/>
  <c r="AB94" i="1"/>
  <c r="AA94" i="1"/>
  <c r="AB93" i="1"/>
  <c r="AA93" i="1"/>
  <c r="AB92" i="1"/>
  <c r="AA92" i="1"/>
  <c r="AB91" i="1"/>
  <c r="AA91" i="1"/>
  <c r="AB90" i="1"/>
  <c r="AA90" i="1"/>
  <c r="AB89" i="1"/>
  <c r="AA89" i="1"/>
  <c r="AB88" i="1"/>
  <c r="AA88" i="1"/>
  <c r="AB87" i="1"/>
  <c r="AA87" i="1"/>
  <c r="AB86" i="1"/>
  <c r="AA86" i="1"/>
  <c r="AB85" i="1"/>
  <c r="AA85" i="1"/>
  <c r="AB84" i="1"/>
  <c r="AA84" i="1"/>
  <c r="AB83" i="1"/>
  <c r="AA83" i="1"/>
  <c r="AB82" i="1"/>
  <c r="AA82" i="1"/>
  <c r="AB81" i="1"/>
  <c r="AA81" i="1"/>
  <c r="AB80" i="1"/>
  <c r="AA80" i="1"/>
  <c r="AB79" i="1"/>
  <c r="AA79" i="1"/>
  <c r="AB78" i="1"/>
  <c r="AA78" i="1"/>
  <c r="AB77" i="1"/>
  <c r="AA77" i="1"/>
  <c r="AB76" i="1"/>
  <c r="AA76" i="1"/>
  <c r="AB75" i="1"/>
  <c r="AA75" i="1"/>
  <c r="AB74" i="1"/>
  <c r="AA74" i="1"/>
  <c r="AB73" i="1"/>
  <c r="AA73" i="1"/>
  <c r="AB72" i="1"/>
  <c r="AA72" i="1"/>
  <c r="AB71" i="1"/>
  <c r="AA71" i="1"/>
  <c r="AB70" i="1"/>
  <c r="AA70" i="1"/>
  <c r="AB69" i="1"/>
  <c r="AA69" i="1"/>
  <c r="AB68" i="1"/>
  <c r="AA68" i="1"/>
  <c r="AB67" i="1"/>
  <c r="AA67" i="1"/>
  <c r="AB66" i="1"/>
  <c r="AA66" i="1"/>
  <c r="AB65" i="1"/>
  <c r="AA65" i="1"/>
  <c r="AB64" i="1"/>
  <c r="AA64" i="1"/>
  <c r="AB63" i="1"/>
  <c r="AA63" i="1"/>
  <c r="AB62" i="1"/>
  <c r="AA62" i="1"/>
  <c r="AB61" i="1"/>
  <c r="AA61" i="1"/>
  <c r="AB60" i="1"/>
  <c r="AA60" i="1"/>
  <c r="AB59" i="1"/>
  <c r="AA59" i="1"/>
  <c r="AB58" i="1"/>
  <c r="AA58" i="1"/>
  <c r="AB57" i="1"/>
  <c r="AA57" i="1"/>
  <c r="AB56" i="1"/>
  <c r="AA56" i="1"/>
  <c r="AB55" i="1"/>
  <c r="AA55" i="1"/>
  <c r="AB54" i="1"/>
  <c r="AA54" i="1"/>
  <c r="AB53" i="1"/>
  <c r="AA53" i="1"/>
  <c r="AB52" i="1"/>
  <c r="AA52" i="1"/>
  <c r="AB51" i="1"/>
  <c r="AA51" i="1"/>
  <c r="AB50" i="1"/>
  <c r="AA50" i="1"/>
  <c r="AB49" i="1"/>
  <c r="AA49" i="1"/>
  <c r="AB48" i="1"/>
  <c r="AA48" i="1"/>
  <c r="AB47" i="1"/>
  <c r="AA47" i="1"/>
  <c r="AB46" i="1"/>
  <c r="AA46" i="1"/>
  <c r="AB45" i="1"/>
  <c r="AA45" i="1"/>
  <c r="AB44" i="1"/>
  <c r="AA44" i="1"/>
  <c r="AB43" i="1"/>
  <c r="AA43" i="1"/>
  <c r="AB42" i="1"/>
  <c r="AA42" i="1"/>
  <c r="AB41" i="1"/>
  <c r="AA41" i="1"/>
  <c r="AB40" i="1"/>
  <c r="AA40" i="1"/>
  <c r="AB39" i="1"/>
  <c r="AA39" i="1"/>
  <c r="AB38" i="1"/>
  <c r="AA38" i="1"/>
  <c r="AB37" i="1"/>
  <c r="AA37" i="1"/>
  <c r="AB36" i="1"/>
  <c r="AA36" i="1"/>
  <c r="AB35" i="1"/>
  <c r="AA35" i="1"/>
  <c r="AB34" i="1"/>
  <c r="AA34" i="1"/>
  <c r="AB33" i="1"/>
  <c r="AA33" i="1"/>
  <c r="AB32" i="1"/>
  <c r="AA32" i="1"/>
  <c r="AB31" i="1"/>
  <c r="AA31" i="1"/>
  <c r="AB30" i="1"/>
  <c r="AA30" i="1"/>
  <c r="AB29" i="1"/>
  <c r="AA29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B22" i="1"/>
  <c r="AA22" i="1"/>
  <c r="AB21" i="1"/>
  <c r="AA21" i="1"/>
  <c r="AB20" i="1"/>
  <c r="AA20" i="1"/>
  <c r="AB19" i="1"/>
  <c r="AA19" i="1"/>
  <c r="AB18" i="1"/>
  <c r="AA18" i="1"/>
  <c r="AB17" i="1"/>
  <c r="AA17" i="1"/>
  <c r="AB16" i="1"/>
  <c r="AA16" i="1"/>
  <c r="AB15" i="1"/>
  <c r="AA15" i="1"/>
  <c r="AB14" i="1"/>
  <c r="AA14" i="1"/>
  <c r="AB13" i="1"/>
  <c r="AA13" i="1"/>
  <c r="AB12" i="1"/>
  <c r="AA12" i="1"/>
  <c r="AB11" i="1"/>
  <c r="AA11" i="1"/>
  <c r="AB10" i="1"/>
  <c r="AA10" i="1"/>
  <c r="AB9" i="1"/>
  <c r="AA9" i="1"/>
  <c r="AB8" i="1"/>
  <c r="AA8" i="1"/>
  <c r="AB7" i="1"/>
  <c r="AA7" i="1"/>
  <c r="AB6" i="1"/>
  <c r="AA6" i="1"/>
  <c r="AB5" i="1"/>
  <c r="AA5" i="1"/>
  <c r="AB4" i="1"/>
  <c r="AA4" i="1"/>
  <c r="AB3" i="1"/>
  <c r="AA3" i="1"/>
  <c r="AB2" i="1"/>
  <c r="AA2" i="1"/>
  <c r="AC4329" i="1" a="1"/>
  <c r="AC4313" i="1" a="1"/>
  <c r="AC4297" i="1" a="1"/>
  <c r="AC4281" i="1" a="1"/>
  <c r="AC4265" i="1" a="1"/>
  <c r="AC4249" i="1" a="1"/>
  <c r="AC4233" i="1" a="1"/>
  <c r="AC4217" i="1" a="1"/>
  <c r="AC4201" i="1" a="1"/>
  <c r="AC4185" i="1" a="1"/>
  <c r="AC4169" i="1" a="1"/>
  <c r="AC4153" i="1" a="1"/>
  <c r="AC4137" i="1" a="1"/>
  <c r="AC4121" i="1" a="1"/>
  <c r="AC4105" i="1" a="1"/>
  <c r="AC4089" i="1" a="1"/>
  <c r="AC4073" i="1" a="1"/>
  <c r="AC4057" i="1" a="1"/>
  <c r="AC4041" i="1" a="1"/>
  <c r="AC4025" i="1" a="1"/>
  <c r="AC4009" i="1" a="1"/>
  <c r="AC3993" i="1" a="1"/>
  <c r="AC3977" i="1" a="1"/>
  <c r="AC3961" i="1" a="1"/>
  <c r="AC3945" i="1" a="1"/>
  <c r="AC3929" i="1" a="1"/>
  <c r="AC3913" i="1" a="1"/>
  <c r="AC3897" i="1" a="1"/>
  <c r="AC3881" i="1" a="1"/>
  <c r="AC3865" i="1" a="1"/>
  <c r="AC3849" i="1" a="1"/>
  <c r="AC3833" i="1" a="1"/>
  <c r="AC3817" i="1" a="1"/>
  <c r="AC3801" i="1" a="1"/>
  <c r="AC3785" i="1" a="1"/>
  <c r="AC3769" i="1" a="1"/>
  <c r="AC3753" i="1" a="1"/>
  <c r="AC3737" i="1" a="1"/>
  <c r="AC3721" i="1" a="1"/>
  <c r="AC3705" i="1" a="1"/>
  <c r="AC3689" i="1" a="1"/>
  <c r="AC3673" i="1" a="1"/>
  <c r="AC4334" i="1" a="1"/>
  <c r="AC4318" i="1" a="1"/>
  <c r="AC4302" i="1" a="1"/>
  <c r="AC4286" i="1" a="1"/>
  <c r="AC4270" i="1" a="1"/>
  <c r="AC4254" i="1" a="1"/>
  <c r="AC4238" i="1" a="1"/>
  <c r="AC4222" i="1" a="1"/>
  <c r="AC4206" i="1" a="1"/>
  <c r="AC4190" i="1" a="1"/>
  <c r="AC4174" i="1" a="1"/>
  <c r="AC4158" i="1" a="1"/>
  <c r="AC4142" i="1" a="1"/>
  <c r="AC4126" i="1" a="1"/>
  <c r="AC4110" i="1" a="1"/>
  <c r="AC4094" i="1" a="1"/>
  <c r="AC4078" i="1" a="1"/>
  <c r="AC4062" i="1" a="1"/>
  <c r="AC4046" i="1" a="1"/>
  <c r="AC4030" i="1" a="1"/>
  <c r="AC4014" i="1" a="1"/>
  <c r="AC3998" i="1" a="1"/>
  <c r="AC3982" i="1" a="1"/>
  <c r="AC3966" i="1" a="1"/>
  <c r="AC3950" i="1" a="1"/>
  <c r="AC4323" i="1" a="1"/>
  <c r="AC4307" i="1" a="1"/>
  <c r="AC4291" i="1" a="1"/>
  <c r="AC4275" i="1" a="1"/>
  <c r="AC4259" i="1" a="1"/>
  <c r="AC4243" i="1" a="1"/>
  <c r="AC4227" i="1" a="1"/>
  <c r="AC4211" i="1" a="1"/>
  <c r="AC4195" i="1" a="1"/>
  <c r="AC4179" i="1" a="1"/>
  <c r="AC4163" i="1" a="1"/>
  <c r="AC4147" i="1" a="1"/>
  <c r="AC4131" i="1" a="1"/>
  <c r="AC4115" i="1" a="1"/>
  <c r="AC4099" i="1" a="1"/>
  <c r="AC4083" i="1" a="1"/>
  <c r="AC4067" i="1" a="1"/>
  <c r="AC4051" i="1" a="1"/>
  <c r="AC4035" i="1" a="1"/>
  <c r="AC4019" i="1" a="1"/>
  <c r="AC4003" i="1" a="1"/>
  <c r="AC3987" i="1" a="1"/>
  <c r="AC3971" i="1" a="1"/>
  <c r="AC3955" i="1" a="1"/>
  <c r="AC4328" i="1" a="1"/>
  <c r="AC4312" i="1" a="1"/>
  <c r="AC4296" i="1" a="1"/>
  <c r="AC4280" i="1" a="1"/>
  <c r="AC4264" i="1" a="1"/>
  <c r="AC4333" i="1" a="1"/>
  <c r="AC4317" i="1" a="1"/>
  <c r="AC4301" i="1" a="1"/>
  <c r="AC4285" i="1" a="1"/>
  <c r="AC4322" i="1" a="1"/>
  <c r="AC4306" i="1" a="1"/>
  <c r="AC4290" i="1" a="1"/>
  <c r="AC4327" i="1" a="1"/>
  <c r="AC4311" i="1" a="1"/>
  <c r="AC4295" i="1" a="1"/>
  <c r="AC4332" i="1" a="1"/>
  <c r="AC4316" i="1" a="1"/>
  <c r="AC4300" i="1" a="1"/>
  <c r="AC4284" i="1" a="1"/>
  <c r="AC4268" i="1" a="1"/>
  <c r="AC4252" i="1" a="1"/>
  <c r="AC4236" i="1" a="1"/>
  <c r="AC4220" i="1" a="1"/>
  <c r="AC4204" i="1" a="1"/>
  <c r="AC4188" i="1" a="1"/>
  <c r="AC4172" i="1" a="1"/>
  <c r="AC4156" i="1" a="1"/>
  <c r="AC4140" i="1" a="1"/>
  <c r="AC4124" i="1" a="1"/>
  <c r="AC4108" i="1" a="1"/>
  <c r="AC4092" i="1" a="1"/>
  <c r="AC4076" i="1" a="1"/>
  <c r="AC4060" i="1" a="1"/>
  <c r="AC4044" i="1" a="1"/>
  <c r="AC4028" i="1" a="1"/>
  <c r="AC4012" i="1" a="1"/>
  <c r="AC3996" i="1" a="1"/>
  <c r="AC3980" i="1" a="1"/>
  <c r="AC3964" i="1" a="1"/>
  <c r="AC4321" i="1" a="1"/>
  <c r="AC4305" i="1" a="1"/>
  <c r="AC4289" i="1" a="1"/>
  <c r="AC4273" i="1" a="1"/>
  <c r="AC4257" i="1" a="1"/>
  <c r="AC4241" i="1" a="1"/>
  <c r="AC4225" i="1" a="1"/>
  <c r="AC4209" i="1" a="1"/>
  <c r="AC4193" i="1" a="1"/>
  <c r="AC4177" i="1" a="1"/>
  <c r="AC4161" i="1" a="1"/>
  <c r="AC4145" i="1" a="1"/>
  <c r="AC4129" i="1" a="1"/>
  <c r="AC4113" i="1" a="1"/>
  <c r="AC4097" i="1" a="1"/>
  <c r="AC4081" i="1" a="1"/>
  <c r="AC4065" i="1" a="1"/>
  <c r="AC4049" i="1" a="1"/>
  <c r="AC4033" i="1" a="1"/>
  <c r="AC4017" i="1" a="1"/>
  <c r="AC4001" i="1" a="1"/>
  <c r="AC3985" i="1" a="1"/>
  <c r="AC3969" i="1" a="1"/>
  <c r="AC3953" i="1" a="1"/>
  <c r="AC3937" i="1" a="1"/>
  <c r="AC3921" i="1" a="1"/>
  <c r="AC3905" i="1" a="1"/>
  <c r="AC4326" i="1" a="1"/>
  <c r="AC4310" i="1" a="1"/>
  <c r="AC4294" i="1" a="1"/>
  <c r="AC4278" i="1" a="1"/>
  <c r="AC4262" i="1" a="1"/>
  <c r="AC4246" i="1" a="1"/>
  <c r="AC4230" i="1" a="1"/>
  <c r="AC4214" i="1" a="1"/>
  <c r="AC4198" i="1" a="1"/>
  <c r="AC4182" i="1" a="1"/>
  <c r="AC4166" i="1" a="1"/>
  <c r="AC4150" i="1" a="1"/>
  <c r="AC4331" i="1" a="1"/>
  <c r="AC4315" i="1" a="1"/>
  <c r="AC4299" i="1" a="1"/>
  <c r="AC4283" i="1" a="1"/>
  <c r="AC4267" i="1" a="1"/>
  <c r="AC4251" i="1" a="1"/>
  <c r="AC4235" i="1" a="1"/>
  <c r="AC4219" i="1" a="1"/>
  <c r="AC4203" i="1" a="1"/>
  <c r="AC4187" i="1" a="1"/>
  <c r="AC4171" i="1" a="1"/>
  <c r="AC4320" i="1" a="1"/>
  <c r="AC4304" i="1" a="1"/>
  <c r="AC4288" i="1" a="1"/>
  <c r="AC4325" i="1" a="1"/>
  <c r="AC4330" i="1" a="1"/>
  <c r="AC4240" i="1" a="1"/>
  <c r="AC4184" i="1" a="1"/>
  <c r="AC4162" i="1" a="1"/>
  <c r="AC4104" i="1" a="1"/>
  <c r="AC4090" i="1" a="1"/>
  <c r="AC4040" i="1" a="1"/>
  <c r="AC4026" i="1" a="1"/>
  <c r="AC3949" i="1" a="1"/>
  <c r="AC3930" i="1" a="1"/>
  <c r="AC3917" i="1" a="1"/>
  <c r="AC3898" i="1" a="1"/>
  <c r="AC3854" i="1" a="1"/>
  <c r="AC3773" i="1" a="1"/>
  <c r="AC3659" i="1" a="1"/>
  <c r="AC3643" i="1" a="1"/>
  <c r="AC3627" i="1" a="1"/>
  <c r="AC3611" i="1" a="1"/>
  <c r="AC3595" i="1" a="1"/>
  <c r="AC3579" i="1" a="1"/>
  <c r="AC3563" i="1" a="1"/>
  <c r="AC3547" i="1" a="1"/>
  <c r="AC3531" i="1" a="1"/>
  <c r="AC4276" i="1" a="1"/>
  <c r="AC4118" i="1" a="1"/>
  <c r="AC4054" i="1" a="1"/>
  <c r="AC3990" i="1" a="1"/>
  <c r="AC3956" i="1" a="1"/>
  <c r="AC3936" i="1" a="1"/>
  <c r="AC3904" i="1" a="1"/>
  <c r="AC3879" i="1" a="1"/>
  <c r="AC3829" i="1" a="1"/>
  <c r="AC3823" i="1" a="1"/>
  <c r="AC3804" i="1" a="1"/>
  <c r="AC3779" i="1" a="1"/>
  <c r="AC3742" i="1" a="1"/>
  <c r="AC3736" i="1" a="1"/>
  <c r="AC4308" i="1" a="1"/>
  <c r="AC4266" i="1" a="1"/>
  <c r="AC4248" i="1" a="1"/>
  <c r="AC4215" i="1" a="1"/>
  <c r="AC4207" i="1" a="1"/>
  <c r="AC4199" i="1" a="1"/>
  <c r="AC4176" i="1" a="1"/>
  <c r="AC4154" i="1" a="1"/>
  <c r="AC4139" i="1" a="1"/>
  <c r="AC4125" i="1" a="1"/>
  <c r="AC4111" i="1" a="1"/>
  <c r="AC4075" i="1" a="1"/>
  <c r="AC4061" i="1" a="1"/>
  <c r="AC4047" i="1" a="1"/>
  <c r="AC4011" i="1" a="1"/>
  <c r="AC3997" i="1" a="1"/>
  <c r="AC3976" i="1" a="1"/>
  <c r="AC3942" i="1" a="1"/>
  <c r="AC3923" i="1" a="1"/>
  <c r="AC3910" i="1" a="1"/>
  <c r="AC3885" i="1" a="1"/>
  <c r="AC3835" i="1" a="1"/>
  <c r="AC3730" i="1" a="1"/>
  <c r="AC3724" i="1" a="1"/>
  <c r="AC3718" i="1" a="1"/>
  <c r="AC3694" i="1" a="1"/>
  <c r="AC3648" i="1" a="1"/>
  <c r="AC3632" i="1" a="1"/>
  <c r="AC3616" i="1" a="1"/>
  <c r="AC3600" i="1" a="1"/>
  <c r="AC3584" i="1" a="1"/>
  <c r="AC3568" i="1" a="1"/>
  <c r="AC3552" i="1" a="1"/>
  <c r="AC3536" i="1" a="1"/>
  <c r="AC3983" i="1" a="1"/>
  <c r="AC3891" i="1" a="1"/>
  <c r="AC3860" i="1" a="1"/>
  <c r="AC3841" i="1" a="1"/>
  <c r="AC3816" i="1" a="1"/>
  <c r="AC3810" i="1" a="1"/>
  <c r="AC3766" i="1" a="1"/>
  <c r="AC3748" i="1" a="1"/>
  <c r="AC3712" i="1" a="1"/>
  <c r="AC3688" i="1" a="1"/>
  <c r="AC4319" i="1" a="1"/>
  <c r="AC4256" i="1" a="1"/>
  <c r="AC4231" i="1" a="1"/>
  <c r="AC4223" i="1" a="1"/>
  <c r="AC4191" i="1" a="1"/>
  <c r="AC4168" i="1" a="1"/>
  <c r="AC4096" i="1" a="1"/>
  <c r="AC4032" i="1" a="1"/>
  <c r="AC3962" i="1" a="1"/>
  <c r="AC3866" i="1" a="1"/>
  <c r="AC3822" i="1" a="1"/>
  <c r="AC3760" i="1" a="1"/>
  <c r="AC3754" i="1" a="1"/>
  <c r="AC3706" i="1" a="1"/>
  <c r="AC3700" i="1" a="1"/>
  <c r="AC3682" i="1" a="1"/>
  <c r="AC3676" i="1" a="1"/>
  <c r="AC3670" i="1" a="1"/>
  <c r="AC3653" i="1" a="1"/>
  <c r="AC3637" i="1" a="1"/>
  <c r="AC3621" i="1" a="1"/>
  <c r="AC3605" i="1" a="1"/>
  <c r="AC3589" i="1" a="1"/>
  <c r="AC3573" i="1" a="1"/>
  <c r="AC3557" i="1" a="1"/>
  <c r="AC3541" i="1" a="1"/>
  <c r="AC4132" i="1" a="1"/>
  <c r="AC4082" i="1" a="1"/>
  <c r="AC4068" i="1" a="1"/>
  <c r="AC4018" i="1" a="1"/>
  <c r="AC4004" i="1" a="1"/>
  <c r="AC3948" i="1" a="1"/>
  <c r="AC3916" i="1" a="1"/>
  <c r="AC3878" i="1" a="1"/>
  <c r="AC3872" i="1" a="1"/>
  <c r="AC3847" i="1" a="1"/>
  <c r="AC3797" i="1" a="1"/>
  <c r="AC3791" i="1" a="1"/>
  <c r="AC3772" i="1" a="1"/>
  <c r="AC3664" i="1" a="1"/>
  <c r="AC4239" i="1" a="1"/>
  <c r="AC4183" i="1" a="1"/>
  <c r="AC4146" i="1" a="1"/>
  <c r="AC4103" i="1" a="1"/>
  <c r="AC4039" i="1" a="1"/>
  <c r="AC3853" i="1" a="1"/>
  <c r="AC3803" i="1" a="1"/>
  <c r="AC4274" i="1" a="1"/>
  <c r="AC4247" i="1" a="1"/>
  <c r="AC4160" i="1" a="1"/>
  <c r="AC4117" i="1" a="1"/>
  <c r="AC4053" i="1" a="1"/>
  <c r="AC3989" i="1" a="1"/>
  <c r="AC3968" i="1" a="1"/>
  <c r="AC3935" i="1" a="1"/>
  <c r="AC3903" i="1" a="1"/>
  <c r="AC3884" i="1" a="1"/>
  <c r="AC3859" i="1" a="1"/>
  <c r="AC3828" i="1" a="1"/>
  <c r="AC3809" i="1" a="1"/>
  <c r="AC3784" i="1" a="1"/>
  <c r="AC4205" i="1" a="1"/>
  <c r="AC4175" i="1" a="1"/>
  <c r="AC4138" i="1" a="1"/>
  <c r="AC4088" i="1" a="1"/>
  <c r="AC4074" i="1" a="1"/>
  <c r="AC4024" i="1" a="1"/>
  <c r="AC4010" i="1" a="1"/>
  <c r="AC3975" i="1" a="1"/>
  <c r="AC3941" i="1" a="1"/>
  <c r="AC3922" i="1" a="1"/>
  <c r="AC3909" i="1" a="1"/>
  <c r="AC3834" i="1" a="1"/>
  <c r="AC3790" i="1" a="1"/>
  <c r="AC4293" i="1" a="1"/>
  <c r="AC4102" i="1" a="1"/>
  <c r="AC4038" i="1" a="1"/>
  <c r="AC3954" i="1" a="1"/>
  <c r="AC3928" i="1" a="1"/>
  <c r="AC3896" i="1" a="1"/>
  <c r="AC3890" i="1" a="1"/>
  <c r="AC3846" i="1" a="1"/>
  <c r="AC3840" i="1" a="1"/>
  <c r="AC3815" i="1" a="1"/>
  <c r="AC4255" i="1" a="1"/>
  <c r="AC4221" i="1" a="1"/>
  <c r="AC4213" i="1" a="1"/>
  <c r="AC4197" i="1" a="1"/>
  <c r="AC4167" i="1" a="1"/>
  <c r="AC4152" i="1" a="1"/>
  <c r="AC4123" i="1" a="1"/>
  <c r="AC4109" i="1" a="1"/>
  <c r="AC4095" i="1" a="1"/>
  <c r="AC4059" i="1" a="1"/>
  <c r="AC4045" i="1" a="1"/>
  <c r="AC4031" i="1" a="1"/>
  <c r="AC3995" i="1" a="1"/>
  <c r="AC3947" i="1" a="1"/>
  <c r="AC3934" i="1" a="1"/>
  <c r="AC3915" i="1" a="1"/>
  <c r="AC3902" i="1" a="1"/>
  <c r="AC4282" i="1" a="1"/>
  <c r="AC3981" i="1" a="1"/>
  <c r="AC3974" i="1" a="1"/>
  <c r="AC3877" i="1" a="1"/>
  <c r="AC3871" i="1" a="1"/>
  <c r="AC3852" i="1" a="1"/>
  <c r="AC4272" i="1" a="1"/>
  <c r="AC4263" i="1" a="1"/>
  <c r="AC4237" i="1" a="1"/>
  <c r="AC4229" i="1" a="1"/>
  <c r="AC4189" i="1" a="1"/>
  <c r="AC4080" i="1" a="1"/>
  <c r="AC4016" i="1" a="1"/>
  <c r="AC3960" i="1" a="1"/>
  <c r="AC3883" i="1" a="1"/>
  <c r="AC4159" i="1" a="1"/>
  <c r="AC4144" i="1" a="1"/>
  <c r="AC4130" i="1" a="1"/>
  <c r="AC4116" i="1" a="1"/>
  <c r="AC4066" i="1" a="1"/>
  <c r="AC4052" i="1" a="1"/>
  <c r="AC4002" i="1" a="1"/>
  <c r="AC3988" i="1" a="1"/>
  <c r="AC3967" i="1" a="1"/>
  <c r="AC3889" i="1" a="1"/>
  <c r="AC3864" i="1" a="1"/>
  <c r="AC4245" i="1" a="1"/>
  <c r="AC4181" i="1" a="1"/>
  <c r="AC4087" i="1" a="1"/>
  <c r="AC4023" i="1" a="1"/>
  <c r="AC3940" i="1" a="1"/>
  <c r="AC3908" i="1" a="1"/>
  <c r="AC3870" i="1" a="1"/>
  <c r="AC3789" i="1" a="1"/>
  <c r="AC3722" i="1" a="1"/>
  <c r="AC3716" i="1" a="1"/>
  <c r="AC3698" i="1" a="1"/>
  <c r="AC3692" i="1" a="1"/>
  <c r="AC3686" i="1" a="1"/>
  <c r="AC4292" i="1" a="1"/>
  <c r="AC4253" i="1" a="1"/>
  <c r="AC4101" i="1" a="1"/>
  <c r="AC4037" i="1" a="1"/>
  <c r="AC3927" i="1" a="1"/>
  <c r="AC3895" i="1" a="1"/>
  <c r="AC3845" i="1" a="1"/>
  <c r="AC3839" i="1" a="1"/>
  <c r="AC3820" i="1" a="1"/>
  <c r="AC3795" i="1" a="1"/>
  <c r="AC3764" i="1" a="1"/>
  <c r="AC3680" i="1" a="1"/>
  <c r="AC4303" i="1" a="1"/>
  <c r="AC4212" i="1" a="1"/>
  <c r="AC4196" i="1" a="1"/>
  <c r="AC4173" i="1" a="1"/>
  <c r="AC4151" i="1" a="1"/>
  <c r="AC4136" i="1" a="1"/>
  <c r="AC4122" i="1" a="1"/>
  <c r="AC4072" i="1" a="1"/>
  <c r="AC4058" i="1" a="1"/>
  <c r="AC4008" i="1" a="1"/>
  <c r="AC3994" i="1" a="1"/>
  <c r="AC3946" i="1" a="1"/>
  <c r="AC3933" i="1" a="1"/>
  <c r="AC3914" i="1" a="1"/>
  <c r="AC3901" i="1" a="1"/>
  <c r="AC3851" i="1" a="1"/>
  <c r="AC3770" i="1" a="1"/>
  <c r="AC3674" i="1" a="1"/>
  <c r="AC3668" i="1" a="1"/>
  <c r="AC3651" i="1" a="1"/>
  <c r="AC3635" i="1" a="1"/>
  <c r="AC3619" i="1" a="1"/>
  <c r="AC3603" i="1" a="1"/>
  <c r="AC3587" i="1" a="1"/>
  <c r="AC3571" i="1" a="1"/>
  <c r="AC4314" i="1" a="1"/>
  <c r="AC4086" i="1" a="1"/>
  <c r="AC4022" i="1" a="1"/>
  <c r="AC3973" i="1" a="1"/>
  <c r="AC3920" i="1" a="1"/>
  <c r="AC3876" i="1" a="1"/>
  <c r="AC3857" i="1" a="1"/>
  <c r="AC3832" i="1" a="1"/>
  <c r="AC3826" i="1" a="1"/>
  <c r="AC3782" i="1" a="1"/>
  <c r="AC3776" i="1" a="1"/>
  <c r="AC4271" i="1" a="1"/>
  <c r="AC4228" i="1" a="1"/>
  <c r="AC4165" i="1" a="1"/>
  <c r="AC4107" i="1" a="1"/>
  <c r="AC4093" i="1" a="1"/>
  <c r="AC4079" i="1" a="1"/>
  <c r="AC4043" i="1" a="1"/>
  <c r="AC4029" i="1" a="1"/>
  <c r="AC4015" i="1" a="1"/>
  <c r="AC3959" i="1" a="1"/>
  <c r="AC3952" i="1" a="1"/>
  <c r="AC3939" i="1" a="1"/>
  <c r="AC3926" i="1" a="1"/>
  <c r="AC3907" i="1" a="1"/>
  <c r="AC3882" i="1" a="1"/>
  <c r="AC3838" i="1" a="1"/>
  <c r="AC3745" i="1" a="1"/>
  <c r="AC3739" i="1" a="1"/>
  <c r="AC3733" i="1" a="1"/>
  <c r="AC3715" i="1" a="1"/>
  <c r="AC3709" i="1" a="1"/>
  <c r="AC3656" i="1" a="1"/>
  <c r="AC3640" i="1" a="1"/>
  <c r="AC3624" i="1" a="1"/>
  <c r="AC4261" i="1" a="1"/>
  <c r="AC4143" i="1" a="1"/>
  <c r="AC3894" i="1" a="1"/>
  <c r="AC3888" i="1" a="1"/>
  <c r="AC3863" i="1" a="1"/>
  <c r="AC3813" i="1" a="1"/>
  <c r="AC3807" i="1" a="1"/>
  <c r="AC3788" i="1" a="1"/>
  <c r="AC3763" i="1" a="1"/>
  <c r="AC3757" i="1" a="1"/>
  <c r="AC3751" i="1" a="1"/>
  <c r="AC3727" i="1" a="1"/>
  <c r="AC3703" i="1" a="1"/>
  <c r="AC3697" i="1" a="1"/>
  <c r="AC4279" i="1" a="1"/>
  <c r="AC4157" i="1" a="1"/>
  <c r="AC4114" i="1" a="1"/>
  <c r="AC4100" i="1" a="1"/>
  <c r="AC4050" i="1" a="1"/>
  <c r="AC4036" i="1" a="1"/>
  <c r="AC3986" i="1" a="1"/>
  <c r="AC3965" i="1" a="1"/>
  <c r="AC3958" i="1" a="1"/>
  <c r="AC3932" i="1" a="1"/>
  <c r="AC3900" i="1" a="1"/>
  <c r="AC3875" i="1" a="1"/>
  <c r="AC3844" i="1" a="1"/>
  <c r="AC3825" i="1" a="1"/>
  <c r="AC3800" i="1" a="1"/>
  <c r="AC3794" i="1" a="1"/>
  <c r="AC3679" i="1" a="1"/>
  <c r="AC4218" i="1" a="1"/>
  <c r="AC4210" i="1" a="1"/>
  <c r="AC4135" i="1" a="1"/>
  <c r="AC4071" i="1" a="1"/>
  <c r="AC4007" i="1" a="1"/>
  <c r="AC4324" i="1" a="1"/>
  <c r="AC4269" i="1" a="1"/>
  <c r="AC4085" i="1" a="1"/>
  <c r="AC4021" i="1" a="1"/>
  <c r="AC3972" i="1" a="1"/>
  <c r="AC3919" i="1" a="1"/>
  <c r="AC4234" i="1" a="1"/>
  <c r="AC4226" i="1" a="1"/>
  <c r="AC4194" i="1" a="1"/>
  <c r="AC4186" i="1" a="1"/>
  <c r="AC4164" i="1" a="1"/>
  <c r="AC4149" i="1" a="1"/>
  <c r="AC4120" i="1" a="1"/>
  <c r="AC4106" i="1" a="1"/>
  <c r="AC4056" i="1" a="1"/>
  <c r="AC4042" i="1" a="1"/>
  <c r="AC3992" i="1" a="1"/>
  <c r="AC4260" i="1" a="1"/>
  <c r="AC4134" i="1" a="1"/>
  <c r="AC4070" i="1" a="1"/>
  <c r="AC4242" i="1" a="1"/>
  <c r="AC4127" i="1" a="1"/>
  <c r="AC4091" i="1" a="1"/>
  <c r="AC4077" i="1" a="1"/>
  <c r="AC4063" i="1" a="1"/>
  <c r="AC4027" i="1" a="1"/>
  <c r="AC4013" i="1" a="1"/>
  <c r="AC3999" i="1" a="1"/>
  <c r="AC4277" i="1" a="1"/>
  <c r="AC4250" i="1" a="1"/>
  <c r="AC4141" i="1" a="1"/>
  <c r="AC4208" i="1" a="1"/>
  <c r="AC4200" i="1" a="1"/>
  <c r="AC4178" i="1" a="1"/>
  <c r="AC4170" i="1" a="1"/>
  <c r="AC4155" i="1" a="1"/>
  <c r="AC4112" i="1" a="1"/>
  <c r="AC4309" i="1" a="1"/>
  <c r="AC4298" i="1" a="1"/>
  <c r="AC4287" i="1" a="1"/>
  <c r="AC4216" i="1" a="1"/>
  <c r="AC4224" i="1" a="1"/>
  <c r="AC4192" i="1" a="1"/>
  <c r="AC4148" i="1" a="1"/>
  <c r="AC4119" i="1" a="1"/>
  <c r="AC4055" i="1" a="1"/>
  <c r="AC3758" i="1" a="1"/>
  <c r="AC3734" i="1" a="1"/>
  <c r="AC3657" i="1" a="1"/>
  <c r="AC3650" i="1" a="1"/>
  <c r="AC3630" i="1" a="1"/>
  <c r="AC3623" i="1" a="1"/>
  <c r="AC4180" i="1" a="1"/>
  <c r="AC3979" i="1" a="1"/>
  <c r="AC3944" i="1" a="1"/>
  <c r="AC3837" i="1" a="1"/>
  <c r="AC3522" i="1" a="1"/>
  <c r="AC3506" i="1" a="1"/>
  <c r="AC3490" i="1" a="1"/>
  <c r="AC3474" i="1" a="1"/>
  <c r="AC3458" i="1" a="1"/>
  <c r="AC3442" i="1" a="1"/>
  <c r="AC3426" i="1" a="1"/>
  <c r="AC3410" i="1" a="1"/>
  <c r="AC3394" i="1" a="1"/>
  <c r="AC3378" i="1" a="1"/>
  <c r="AC3362" i="1" a="1"/>
  <c r="AC3346" i="1" a="1"/>
  <c r="AC3330" i="1" a="1"/>
  <c r="AC3314" i="1" a="1"/>
  <c r="AC3298" i="1" a="1"/>
  <c r="AC3282" i="1" a="1"/>
  <c r="AC3266" i="1" a="1"/>
  <c r="AC3250" i="1" a="1"/>
  <c r="AC3234" i="1" a="1"/>
  <c r="AC3636" i="1" a="1"/>
  <c r="AC3991" i="1" a="1"/>
  <c r="AC3911" i="1" a="1"/>
  <c r="AC3899" i="1" a="1"/>
  <c r="AC3867" i="1" a="1"/>
  <c r="AC3856" i="1" a="1"/>
  <c r="AC3827" i="1" a="1"/>
  <c r="AC3818" i="1" a="1"/>
  <c r="AC3741" i="1" a="1"/>
  <c r="AC3725" i="1" a="1"/>
  <c r="AC3717" i="1" a="1"/>
  <c r="AC3678" i="1" a="1"/>
  <c r="AC3671" i="1" a="1"/>
  <c r="AC3590" i="1" a="1"/>
  <c r="AC3577" i="1" a="1"/>
  <c r="AC3511" i="1" a="1"/>
  <c r="AC3495" i="1" a="1"/>
  <c r="AC3479" i="1" a="1"/>
  <c r="AC3463" i="1" a="1"/>
  <c r="AC3447" i="1" a="1"/>
  <c r="AC3431" i="1" a="1"/>
  <c r="AC3415" i="1" a="1"/>
  <c r="AC3399" i="1" a="1"/>
  <c r="AC3383" i="1" a="1"/>
  <c r="AC3367" i="1" a="1"/>
  <c r="AC3351" i="1" a="1"/>
  <c r="AC3335" i="1" a="1"/>
  <c r="AC3319" i="1" a="1"/>
  <c r="AC3303" i="1" a="1"/>
  <c r="AC3287" i="1" a="1"/>
  <c r="AC3271" i="1" a="1"/>
  <c r="AC3255" i="1" a="1"/>
  <c r="AC3239" i="1" a="1"/>
  <c r="AC3765" i="1" a="1"/>
  <c r="AC3749" i="1" a="1"/>
  <c r="AC3701" i="1" a="1"/>
  <c r="AC3693" i="1" a="1"/>
  <c r="AC3629" i="1" a="1"/>
  <c r="AC3583" i="1" a="1"/>
  <c r="AC3558" i="1" a="1"/>
  <c r="AC3978" i="1" a="1"/>
  <c r="AC3808" i="1" a="1"/>
  <c r="AC3799" i="1" a="1"/>
  <c r="AC3781" i="1" a="1"/>
  <c r="AC3663" i="1" a="1"/>
  <c r="AC3609" i="1" a="1"/>
  <c r="AC3596" i="1" a="1"/>
  <c r="AC3564" i="1" a="1"/>
  <c r="AC3545" i="1" a="1"/>
  <c r="AC3539" i="1" a="1"/>
  <c r="AC3533" i="1" a="1"/>
  <c r="AC3527" i="1" a="1"/>
  <c r="AC3516" i="1" a="1"/>
  <c r="AC3500" i="1" a="1"/>
  <c r="AC3484" i="1" a="1"/>
  <c r="AC3468" i="1" a="1"/>
  <c r="AC3452" i="1" a="1"/>
  <c r="AC3436" i="1" a="1"/>
  <c r="AC3420" i="1" a="1"/>
  <c r="AC3404" i="1" a="1"/>
  <c r="AC3388" i="1" a="1"/>
  <c r="AC3372" i="1" a="1"/>
  <c r="AC3356" i="1" a="1"/>
  <c r="AC3340" i="1" a="1"/>
  <c r="AC3324" i="1" a="1"/>
  <c r="AC3308" i="1" a="1"/>
  <c r="AC3292" i="1" a="1"/>
  <c r="AC3276" i="1" a="1"/>
  <c r="AC3260" i="1" a="1"/>
  <c r="AC3244" i="1" a="1"/>
  <c r="AC3228" i="1" a="1"/>
  <c r="AC3887" i="1" a="1"/>
  <c r="AC3836" i="1" a="1"/>
  <c r="AC3708" i="1" a="1"/>
  <c r="AC3649" i="1" a="1"/>
  <c r="AC3642" i="1" a="1"/>
  <c r="AC3622" i="1" a="1"/>
  <c r="AC3615" i="1" a="1"/>
  <c r="AC3602" i="1" a="1"/>
  <c r="AC3570" i="1" a="1"/>
  <c r="AC3551" i="1" a="1"/>
  <c r="AC4133" i="1" a="1"/>
  <c r="AC3943" i="1" a="1"/>
  <c r="AC3931" i="1" a="1"/>
  <c r="AC3732" i="1" a="1"/>
  <c r="AC3685" i="1" a="1"/>
  <c r="AC3576" i="1" a="1"/>
  <c r="AC3521" i="1" a="1"/>
  <c r="AC3505" i="1" a="1"/>
  <c r="AC3489" i="1" a="1"/>
  <c r="AC3756" i="1" a="1"/>
  <c r="AC3662" i="1" a="1"/>
  <c r="AC3655" i="1" a="1"/>
  <c r="AC3608" i="1" a="1"/>
  <c r="AC4064" i="1" a="1"/>
  <c r="AC3886" i="1" a="1"/>
  <c r="AC3855" i="1" a="1"/>
  <c r="AC3798" i="1" a="1"/>
  <c r="AC3740" i="1" a="1"/>
  <c r="AC3677" i="1" a="1"/>
  <c r="AC3510" i="1" a="1"/>
  <c r="AC3494" i="1" a="1"/>
  <c r="AC4000" i="1" a="1"/>
  <c r="AC3806" i="1" a="1"/>
  <c r="AC3747" i="1" a="1"/>
  <c r="AC3699" i="1" a="1"/>
  <c r="AC3628" i="1" a="1"/>
  <c r="AC3582" i="1" a="1"/>
  <c r="AC3918" i="1" a="1"/>
  <c r="AC3780" i="1" a="1"/>
  <c r="AC3771" i="1" a="1"/>
  <c r="AC3731" i="1" a="1"/>
  <c r="AC3723" i="1" a="1"/>
  <c r="AC3669" i="1" a="1"/>
  <c r="AC3588" i="1" a="1"/>
  <c r="AC3544" i="1" a="1"/>
  <c r="AC3538" i="1" a="1"/>
  <c r="AC3532" i="1" a="1"/>
  <c r="AC3526" i="1" a="1"/>
  <c r="AC3515" i="1" a="1"/>
  <c r="AC3499" i="1" a="1"/>
  <c r="AC3483" i="1" a="1"/>
  <c r="AC3874" i="1" a="1"/>
  <c r="AC3843" i="1" a="1"/>
  <c r="AC3707" i="1" a="1"/>
  <c r="AC3661" i="1" a="1"/>
  <c r="AC3641" i="1" a="1"/>
  <c r="AC3634" i="1" a="1"/>
  <c r="AC3614" i="1" a="1"/>
  <c r="AC3601" i="1" a="1"/>
  <c r="AC3569" i="1" a="1"/>
  <c r="AC3556" i="1" a="1"/>
  <c r="AC3550" i="1" a="1"/>
  <c r="AC3951" i="1" a="1"/>
  <c r="AC3755" i="1" a="1"/>
  <c r="AC3691" i="1" a="1"/>
  <c r="AC3684" i="1" a="1"/>
  <c r="AC3594" i="1" a="1"/>
  <c r="AC3575" i="1" a="1"/>
  <c r="AC3562" i="1" a="1"/>
  <c r="AC3520" i="1" a="1"/>
  <c r="AC3504" i="1" a="1"/>
  <c r="AC3488" i="1" a="1"/>
  <c r="AC3906" i="1" a="1"/>
  <c r="AC3824" i="1" a="1"/>
  <c r="AC3787" i="1" a="1"/>
  <c r="AC3654" i="1" a="1"/>
  <c r="AC3647" i="1" a="1"/>
  <c r="AC3620" i="1" a="1"/>
  <c r="AC3607" i="1" a="1"/>
  <c r="AC3963" i="1" a="1"/>
  <c r="AC3862" i="1" a="1"/>
  <c r="AC3814" i="1" a="1"/>
  <c r="AC3796" i="1" a="1"/>
  <c r="AC3714" i="1" a="1"/>
  <c r="AC3581" i="1" a="1"/>
  <c r="AC3525" i="1" a="1"/>
  <c r="AC3509" i="1" a="1"/>
  <c r="AC3493" i="1" a="1"/>
  <c r="AC3477" i="1" a="1"/>
  <c r="AC3461" i="1" a="1"/>
  <c r="AC3445" i="1" a="1"/>
  <c r="AC3429" i="1" a="1"/>
  <c r="AC3413" i="1" a="1"/>
  <c r="AC3397" i="1" a="1"/>
  <c r="AC3381" i="1" a="1"/>
  <c r="AC3365" i="1" a="1"/>
  <c r="AC3349" i="1" a="1"/>
  <c r="AC3333" i="1" a="1"/>
  <c r="AC3317" i="1" a="1"/>
  <c r="AC3301" i="1" a="1"/>
  <c r="AC3285" i="1" a="1"/>
  <c r="AC3269" i="1" a="1"/>
  <c r="AC3253" i="1" a="1"/>
  <c r="AC3237" i="1" a="1"/>
  <c r="AC4048" i="1" a="1"/>
  <c r="AC3873" i="1" a="1"/>
  <c r="AC3805" i="1" a="1"/>
  <c r="AC3762" i="1" a="1"/>
  <c r="AC3746" i="1" a="1"/>
  <c r="AC3738" i="1" a="1"/>
  <c r="AC3778" i="1" a="1"/>
  <c r="AC3683" i="1" a="1"/>
  <c r="AC3675" i="1" a="1"/>
  <c r="AC3613" i="1" a="1"/>
  <c r="AC3549" i="1" a="1"/>
  <c r="AC3543" i="1" a="1"/>
  <c r="AC3537" i="1" a="1"/>
  <c r="AC3514" i="1" a="1"/>
  <c r="AC3498" i="1" a="1"/>
  <c r="AC3482" i="1" a="1"/>
  <c r="AC3466" i="1" a="1"/>
  <c r="AC3450" i="1" a="1"/>
  <c r="AC3434" i="1" a="1"/>
  <c r="AC3418" i="1" a="1"/>
  <c r="AC3402" i="1" a="1"/>
  <c r="AC3386" i="1" a="1"/>
  <c r="AC3370" i="1" a="1"/>
  <c r="AC3354" i="1" a="1"/>
  <c r="AC3338" i="1" a="1"/>
  <c r="AC3322" i="1" a="1"/>
  <c r="AC3306" i="1" a="1"/>
  <c r="AC3290" i="1" a="1"/>
  <c r="AC3274" i="1" a="1"/>
  <c r="AC3258" i="1" a="1"/>
  <c r="AC3242" i="1" a="1"/>
  <c r="AC3226" i="1" a="1"/>
  <c r="AC4202" i="1" a="1"/>
  <c r="AC4128" i="1" a="1"/>
  <c r="AC3938" i="1" a="1"/>
  <c r="AC3842" i="1" a="1"/>
  <c r="AC3729" i="1" a="1"/>
  <c r="AC3667" i="1" a="1"/>
  <c r="AC3660" i="1" a="1"/>
  <c r="AC3633" i="1" a="1"/>
  <c r="AC3626" i="1" a="1"/>
  <c r="AC3555" i="1" a="1"/>
  <c r="AC4232" i="1" a="1"/>
  <c r="AC3690" i="1" a="1"/>
  <c r="AC3593" i="1" a="1"/>
  <c r="AC3574" i="1" a="1"/>
  <c r="AC3561" i="1" a="1"/>
  <c r="AC3530" i="1" a="1"/>
  <c r="AC3519" i="1" a="1"/>
  <c r="AC3503" i="1" a="1"/>
  <c r="AC3487" i="1" a="1"/>
  <c r="AC3471" i="1" a="1"/>
  <c r="AC3455" i="1" a="1"/>
  <c r="AC3439" i="1" a="1"/>
  <c r="AC3423" i="1" a="1"/>
  <c r="AC3407" i="1" a="1"/>
  <c r="AC3391" i="1" a="1"/>
  <c r="AC3375" i="1" a="1"/>
  <c r="AC3359" i="1" a="1"/>
  <c r="AC3343" i="1" a="1"/>
  <c r="AC3327" i="1" a="1"/>
  <c r="AC3311" i="1" a="1"/>
  <c r="AC3295" i="1" a="1"/>
  <c r="AC3279" i="1" a="1"/>
  <c r="AC3263" i="1" a="1"/>
  <c r="AC3247" i="1" a="1"/>
  <c r="AC3231" i="1" a="1"/>
  <c r="AC4034" i="1" a="1"/>
  <c r="AC3893" i="1" a="1"/>
  <c r="AC3786" i="1" a="1"/>
  <c r="AC3713" i="1" a="1"/>
  <c r="AC3646" i="1" a="1"/>
  <c r="AC3639" i="1" a="1"/>
  <c r="AC3606" i="1" a="1"/>
  <c r="AC3599" i="1" a="1"/>
  <c r="AC3567" i="1" a="1"/>
  <c r="AC3861" i="1" a="1"/>
  <c r="AC3850" i="1" a="1"/>
  <c r="AC3831" i="1" a="1"/>
  <c r="AC3777" i="1" a="1"/>
  <c r="AC3761" i="1" a="1"/>
  <c r="AC3580" i="1" a="1"/>
  <c r="AC3524" i="1" a="1"/>
  <c r="AC3508" i="1" a="1"/>
  <c r="AC3492" i="1" a="1"/>
  <c r="AC3476" i="1" a="1"/>
  <c r="AC3460" i="1" a="1"/>
  <c r="AC3444" i="1" a="1"/>
  <c r="AC3428" i="1" a="1"/>
  <c r="AC3412" i="1" a="1"/>
  <c r="AC3396" i="1" a="1"/>
  <c r="AC3380" i="1" a="1"/>
  <c r="AC3364" i="1" a="1"/>
  <c r="AC3348" i="1" a="1"/>
  <c r="AC3332" i="1" a="1"/>
  <c r="AC3316" i="1" a="1"/>
  <c r="AC3300" i="1" a="1"/>
  <c r="AC3284" i="1" a="1"/>
  <c r="AC3268" i="1" a="1"/>
  <c r="AC3252" i="1" a="1"/>
  <c r="AC3236" i="1" a="1"/>
  <c r="AC3984" i="1" a="1"/>
  <c r="AC3768" i="1" a="1"/>
  <c r="AC3720" i="1" a="1"/>
  <c r="AC3652" i="1" a="1"/>
  <c r="AC3586" i="1" a="1"/>
  <c r="AC4098" i="1" a="1"/>
  <c r="AC3925" i="1" a="1"/>
  <c r="AC3821" i="1" a="1"/>
  <c r="AC3812" i="1" a="1"/>
  <c r="AC3744" i="1" a="1"/>
  <c r="AC3704" i="1" a="1"/>
  <c r="AC3696" i="1" a="1"/>
  <c r="AC3612" i="1" a="1"/>
  <c r="AC3592" i="1" a="1"/>
  <c r="AC3548" i="1" a="1"/>
  <c r="AC3542" i="1" a="1"/>
  <c r="AC3513" i="1" a="1"/>
  <c r="AC3497" i="1" a="1"/>
  <c r="AC3481" i="1" a="1"/>
  <c r="AC4020" i="1" a="1"/>
  <c r="AC3793" i="1" a="1"/>
  <c r="AC3752" i="1" a="1"/>
  <c r="AC3728" i="1" a="1"/>
  <c r="AC3681" i="1" a="1"/>
  <c r="AC3666" i="1" a="1"/>
  <c r="AC3645" i="1" a="1"/>
  <c r="AC3625" i="1" a="1"/>
  <c r="AC3618" i="1" a="1"/>
  <c r="AC3560" i="1" a="1"/>
  <c r="AC3554" i="1" a="1"/>
  <c r="AC4244" i="1" a="1"/>
  <c r="AC4084" i="1" a="1"/>
  <c r="AC4006" i="1" a="1"/>
  <c r="AC3880" i="1" a="1"/>
  <c r="AC3869" i="1" a="1"/>
  <c r="AC3830" i="1" a="1"/>
  <c r="AC3535" i="1" a="1"/>
  <c r="AC3529" i="1" a="1"/>
  <c r="AC3518" i="1" a="1"/>
  <c r="AC3502" i="1" a="1"/>
  <c r="AC3486" i="1" a="1"/>
  <c r="AC3892" i="1" a="1"/>
  <c r="AC3802" i="1" a="1"/>
  <c r="AC3658" i="1" a="1"/>
  <c r="AC3638" i="1" a="1"/>
  <c r="AC3631" i="1" a="1"/>
  <c r="AC3598" i="1" a="1"/>
  <c r="AC3566" i="1" a="1"/>
  <c r="AC4258" i="1" a="1"/>
  <c r="AC3811" i="1" a="1"/>
  <c r="AC3735" i="1" a="1"/>
  <c r="AC3572" i="1" a="1"/>
  <c r="AC3523" i="1" a="1"/>
  <c r="AC3507" i="1" a="1"/>
  <c r="AC3491" i="1" a="1"/>
  <c r="AC3970" i="1" a="1"/>
  <c r="AC3858" i="1" a="1"/>
  <c r="AC3775" i="1" a="1"/>
  <c r="AC3767" i="1" a="1"/>
  <c r="AC3719" i="1" a="1"/>
  <c r="AC3711" i="1" a="1"/>
  <c r="AC3604" i="1" a="1"/>
  <c r="AC3585" i="1" a="1"/>
  <c r="AC3924" i="1" a="1"/>
  <c r="AC3912" i="1" a="1"/>
  <c r="AC3819" i="1" a="1"/>
  <c r="AC3759" i="1" a="1"/>
  <c r="AC3743" i="1" a="1"/>
  <c r="AC3726" i="1" a="1"/>
  <c r="AC3695" i="1" a="1"/>
  <c r="AC3672" i="1" a="1"/>
  <c r="AC3665" i="1" a="1"/>
  <c r="AC3591" i="1" a="1"/>
  <c r="AC3578" i="1" a="1"/>
  <c r="AC3512" i="1" a="1"/>
  <c r="AC3496" i="1" a="1"/>
  <c r="AC3480" i="1" a="1"/>
  <c r="AC4069" i="1" a="1"/>
  <c r="AC3957" i="1" a="1"/>
  <c r="AC3868" i="1" a="1"/>
  <c r="AC3848" i="1" a="1"/>
  <c r="AC3792" i="1" a="1"/>
  <c r="AC3783" i="1" a="1"/>
  <c r="AC3750" i="1" a="1"/>
  <c r="AC3702" i="1" a="1"/>
  <c r="AC3644" i="1" a="1"/>
  <c r="AC3617" i="1" a="1"/>
  <c r="AC3559" i="1" a="1"/>
  <c r="AC3553" i="1" a="1"/>
  <c r="AC3473" i="1" a="1"/>
  <c r="AC3390" i="1" a="1"/>
  <c r="AC3360" i="1" a="1"/>
  <c r="AC3337" i="1" a="1"/>
  <c r="AC3262" i="1" a="1"/>
  <c r="AC3232" i="1" a="1"/>
  <c r="AC3208" i="1" a="1"/>
  <c r="AC3192" i="1" a="1"/>
  <c r="AC3176" i="1" a="1"/>
  <c r="AC3160" i="1" a="1"/>
  <c r="AC3144" i="1" a="1"/>
  <c r="AC3128" i="1" a="1"/>
  <c r="AC3112" i="1" a="1"/>
  <c r="AC3096" i="1" a="1"/>
  <c r="AC3080" i="1" a="1"/>
  <c r="AC3064" i="1" a="1"/>
  <c r="AC3048" i="1" a="1"/>
  <c r="AC3032" i="1" a="1"/>
  <c r="AC3016" i="1" a="1"/>
  <c r="AC3000" i="1" a="1"/>
  <c r="AC2984" i="1" a="1"/>
  <c r="AC2968" i="1" a="1"/>
  <c r="AC2952" i="1" a="1"/>
  <c r="AC2936" i="1" a="1"/>
  <c r="AC2920" i="1" a="1"/>
  <c r="AC2904" i="1" a="1"/>
  <c r="AC2888" i="1" a="1"/>
  <c r="AC2872" i="1" a="1"/>
  <c r="AC2856" i="1" a="1"/>
  <c r="AC2840" i="1" a="1"/>
  <c r="AC3465" i="1" a="1"/>
  <c r="AC3528" i="1" a="1"/>
  <c r="AC3457" i="1" a="1"/>
  <c r="AC3435" i="1" a="1"/>
  <c r="AC3427" i="1" a="1"/>
  <c r="AC3405" i="1" a="1"/>
  <c r="AC3382" i="1" a="1"/>
  <c r="AC3352" i="1" a="1"/>
  <c r="AC3329" i="1" a="1"/>
  <c r="AC3307" i="1" a="1"/>
  <c r="AC3299" i="1" a="1"/>
  <c r="AC3277" i="1" a="1"/>
  <c r="AC3254" i="1" a="1"/>
  <c r="AC3224" i="1" a="1"/>
  <c r="AC3213" i="1" a="1"/>
  <c r="AC3197" i="1" a="1"/>
  <c r="AC3181" i="1" a="1"/>
  <c r="AC3165" i="1" a="1"/>
  <c r="AC3149" i="1" a="1"/>
  <c r="AC3133" i="1" a="1"/>
  <c r="AC3117" i="1" a="1"/>
  <c r="AC3101" i="1" a="1"/>
  <c r="AC3085" i="1" a="1"/>
  <c r="AC3069" i="1" a="1"/>
  <c r="AC3053" i="1" a="1"/>
  <c r="AC3037" i="1" a="1"/>
  <c r="AC3021" i="1" a="1"/>
  <c r="AC3005" i="1" a="1"/>
  <c r="AC2989" i="1" a="1"/>
  <c r="AC2973" i="1" a="1"/>
  <c r="AC2957" i="1" a="1"/>
  <c r="AC2941" i="1" a="1"/>
  <c r="AC2925" i="1" a="1"/>
  <c r="AC2909" i="1" a="1"/>
  <c r="AC2893" i="1" a="1"/>
  <c r="AC2877" i="1" a="1"/>
  <c r="AC2861" i="1" a="1"/>
  <c r="AC2845" i="1" a="1"/>
  <c r="AC3774" i="1" a="1"/>
  <c r="AC3449" i="1" a="1"/>
  <c r="AC3374" i="1" a="1"/>
  <c r="AC3344" i="1" a="1"/>
  <c r="AC3321" i="1" a="1"/>
  <c r="AC3246" i="1" a="1"/>
  <c r="AC3218" i="1" a="1"/>
  <c r="AC3202" i="1" a="1"/>
  <c r="AC3186" i="1" a="1"/>
  <c r="AC3170" i="1" a="1"/>
  <c r="AC3154" i="1" a="1"/>
  <c r="AC3138" i="1" a="1"/>
  <c r="AC3122" i="1" a="1"/>
  <c r="AC3106" i="1" a="1"/>
  <c r="AC3090" i="1" a="1"/>
  <c r="AC3074" i="1" a="1"/>
  <c r="AC3058" i="1" a="1"/>
  <c r="AC3042" i="1" a="1"/>
  <c r="AC3026" i="1" a="1"/>
  <c r="AC3010" i="1" a="1"/>
  <c r="AC2994" i="1" a="1"/>
  <c r="AC2978" i="1" a="1"/>
  <c r="AC2962" i="1" a="1"/>
  <c r="AC2946" i="1" a="1"/>
  <c r="AC2930" i="1" a="1"/>
  <c r="AC2914" i="1" a="1"/>
  <c r="AC2898" i="1" a="1"/>
  <c r="AC2882" i="1" a="1"/>
  <c r="AC2866" i="1" a="1"/>
  <c r="AC2850" i="1" a="1"/>
  <c r="AC3710" i="1" a="1"/>
  <c r="AC3472" i="1" a="1"/>
  <c r="AC3441" i="1" a="1"/>
  <c r="AC3419" i="1" a="1"/>
  <c r="AC3411" i="1" a="1"/>
  <c r="AC3389" i="1" a="1"/>
  <c r="AC3366" i="1" a="1"/>
  <c r="AC3336" i="1" a="1"/>
  <c r="AC3313" i="1" a="1"/>
  <c r="AC3291" i="1" a="1"/>
  <c r="AC3283" i="1" a="1"/>
  <c r="AC3261" i="1" a="1"/>
  <c r="AC3238" i="1" a="1"/>
  <c r="AC3223" i="1" a="1"/>
  <c r="AC3207" i="1" a="1"/>
  <c r="AC3191" i="1" a="1"/>
  <c r="AC3175" i="1" a="1"/>
  <c r="AC3159" i="1" a="1"/>
  <c r="AC3464" i="1" a="1"/>
  <c r="AC3540" i="1" a="1"/>
  <c r="AC3456" i="1" a="1"/>
  <c r="AC3433" i="1" a="1"/>
  <c r="AC3358" i="1" a="1"/>
  <c r="AC3328" i="1" a="1"/>
  <c r="AC3305" i="1" a="1"/>
  <c r="AC3230" i="1" a="1"/>
  <c r="AC3212" i="1" a="1"/>
  <c r="AC3196" i="1" a="1"/>
  <c r="AC3180" i="1" a="1"/>
  <c r="AC3164" i="1" a="1"/>
  <c r="AC3148" i="1" a="1"/>
  <c r="AC3448" i="1" a="1"/>
  <c r="AC3425" i="1" a="1"/>
  <c r="AC3403" i="1" a="1"/>
  <c r="AC3395" i="1" a="1"/>
  <c r="AC3373" i="1" a="1"/>
  <c r="AC3350" i="1" a="1"/>
  <c r="AC3320" i="1" a="1"/>
  <c r="AC3297" i="1" a="1"/>
  <c r="AC3275" i="1" a="1"/>
  <c r="AC3267" i="1" a="1"/>
  <c r="AC3245" i="1" a="1"/>
  <c r="AC3217" i="1" a="1"/>
  <c r="AC3201" i="1" a="1"/>
  <c r="AC3440" i="1" a="1"/>
  <c r="AC3417" i="1" a="1"/>
  <c r="AC3342" i="1" a="1"/>
  <c r="AC3312" i="1" a="1"/>
  <c r="AC3289" i="1" a="1"/>
  <c r="AC3222" i="1" a="1"/>
  <c r="AC3206" i="1" a="1"/>
  <c r="AC3190" i="1" a="1"/>
  <c r="AC3174" i="1" a="1"/>
  <c r="AC3158" i="1" a="1"/>
  <c r="AC3478" i="1" a="1"/>
  <c r="AC3470" i="1" a="1"/>
  <c r="AC3432" i="1" a="1"/>
  <c r="AC3409" i="1" a="1"/>
  <c r="AC3387" i="1" a="1"/>
  <c r="AC3379" i="1" a="1"/>
  <c r="AC3357" i="1" a="1"/>
  <c r="AC3334" i="1" a="1"/>
  <c r="AC3304" i="1" a="1"/>
  <c r="AC3281" i="1" a="1"/>
  <c r="AC3259" i="1" a="1"/>
  <c r="AC3251" i="1" a="1"/>
  <c r="AC3229" i="1" a="1"/>
  <c r="AC3211" i="1" a="1"/>
  <c r="AC3195" i="1" a="1"/>
  <c r="AC3179" i="1" a="1"/>
  <c r="AC3163" i="1" a="1"/>
  <c r="AC3147" i="1" a="1"/>
  <c r="AC3131" i="1" a="1"/>
  <c r="AC3115" i="1" a="1"/>
  <c r="AC3099" i="1" a="1"/>
  <c r="AC3083" i="1" a="1"/>
  <c r="AC3067" i="1" a="1"/>
  <c r="AC3051" i="1" a="1"/>
  <c r="AC3035" i="1" a="1"/>
  <c r="AC3019" i="1" a="1"/>
  <c r="AC3003" i="1" a="1"/>
  <c r="AC2987" i="1" a="1"/>
  <c r="AC2971" i="1" a="1"/>
  <c r="AC2955" i="1" a="1"/>
  <c r="AC2939" i="1" a="1"/>
  <c r="AC2923" i="1" a="1"/>
  <c r="AC2907" i="1" a="1"/>
  <c r="AC2891" i="1" a="1"/>
  <c r="AC2875" i="1" a="1"/>
  <c r="AC2859" i="1" a="1"/>
  <c r="AC2843" i="1" a="1"/>
  <c r="AC3462" i="1" a="1"/>
  <c r="AC3454" i="1" a="1"/>
  <c r="AC3424" i="1" a="1"/>
  <c r="AC3401" i="1" a="1"/>
  <c r="AC3326" i="1" a="1"/>
  <c r="AC3296" i="1" a="1"/>
  <c r="AC3273" i="1" a="1"/>
  <c r="AC3216" i="1" a="1"/>
  <c r="AC3200" i="1" a="1"/>
  <c r="AC3184" i="1" a="1"/>
  <c r="AC3168" i="1" a="1"/>
  <c r="AC3152" i="1" a="1"/>
  <c r="AC3136" i="1" a="1"/>
  <c r="AC3120" i="1" a="1"/>
  <c r="AC3104" i="1" a="1"/>
  <c r="AC3088" i="1" a="1"/>
  <c r="AC3072" i="1" a="1"/>
  <c r="AC3056" i="1" a="1"/>
  <c r="AC3040" i="1" a="1"/>
  <c r="AC3024" i="1" a="1"/>
  <c r="AC3008" i="1" a="1"/>
  <c r="AC2992" i="1" a="1"/>
  <c r="AC2976" i="1" a="1"/>
  <c r="AC2960" i="1" a="1"/>
  <c r="AC2944" i="1" a="1"/>
  <c r="AC2928" i="1" a="1"/>
  <c r="AC2912" i="1" a="1"/>
  <c r="AC2896" i="1" a="1"/>
  <c r="AC2880" i="1" a="1"/>
  <c r="AC2864" i="1" a="1"/>
  <c r="AC2848" i="1" a="1"/>
  <c r="AC3597" i="1" a="1"/>
  <c r="AC4005" i="1" a="1"/>
  <c r="AC3446" i="1" a="1"/>
  <c r="AC3416" i="1" a="1"/>
  <c r="AC3393" i="1" a="1"/>
  <c r="AC3371" i="1" a="1"/>
  <c r="AC3363" i="1" a="1"/>
  <c r="AC3341" i="1" a="1"/>
  <c r="AC3318" i="1" a="1"/>
  <c r="AC3288" i="1" a="1"/>
  <c r="AC3265" i="1" a="1"/>
  <c r="AC3243" i="1" a="1"/>
  <c r="AC3235" i="1" a="1"/>
  <c r="AC3221" i="1" a="1"/>
  <c r="AC3205" i="1" a="1"/>
  <c r="AC3189" i="1" a="1"/>
  <c r="AC3173" i="1" a="1"/>
  <c r="AC3157" i="1" a="1"/>
  <c r="AC3141" i="1" a="1"/>
  <c r="AC3125" i="1" a="1"/>
  <c r="AC3109" i="1" a="1"/>
  <c r="AC3093" i="1" a="1"/>
  <c r="AC3077" i="1" a="1"/>
  <c r="AC3061" i="1" a="1"/>
  <c r="AC3045" i="1" a="1"/>
  <c r="AC3029" i="1" a="1"/>
  <c r="AC3013" i="1" a="1"/>
  <c r="AC2997" i="1" a="1"/>
  <c r="AC2981" i="1" a="1"/>
  <c r="AC2965" i="1" a="1"/>
  <c r="AC2949" i="1" a="1"/>
  <c r="AC2933" i="1" a="1"/>
  <c r="AC2917" i="1" a="1"/>
  <c r="AC2901" i="1" a="1"/>
  <c r="AC2885" i="1" a="1"/>
  <c r="AC2869" i="1" a="1"/>
  <c r="AC2853" i="1" a="1"/>
  <c r="AC3469" i="1" a="1"/>
  <c r="AC3687" i="1" a="1"/>
  <c r="AC3565" i="1" a="1"/>
  <c r="AC3438" i="1" a="1"/>
  <c r="AC3408" i="1" a="1"/>
  <c r="AC3385" i="1" a="1"/>
  <c r="AC3310" i="1" a="1"/>
  <c r="AC3280" i="1" a="1"/>
  <c r="AC3257" i="1" a="1"/>
  <c r="AC3210" i="1" a="1"/>
  <c r="AC3194" i="1" a="1"/>
  <c r="AC3178" i="1" a="1"/>
  <c r="AC3162" i="1" a="1"/>
  <c r="AC3146" i="1" a="1"/>
  <c r="AC3130" i="1" a="1"/>
  <c r="AC3114" i="1" a="1"/>
  <c r="AC3098" i="1" a="1"/>
  <c r="AC3082" i="1" a="1"/>
  <c r="AC3066" i="1" a="1"/>
  <c r="AC3050" i="1" a="1"/>
  <c r="AC3034" i="1" a="1"/>
  <c r="AC3018" i="1" a="1"/>
  <c r="AC3002" i="1" a="1"/>
  <c r="AC2986" i="1" a="1"/>
  <c r="AC2970" i="1" a="1"/>
  <c r="AC2954" i="1" a="1"/>
  <c r="AC2938" i="1" a="1"/>
  <c r="AC2922" i="1" a="1"/>
  <c r="AC2906" i="1" a="1"/>
  <c r="AC2890" i="1" a="1"/>
  <c r="AC2874" i="1" a="1"/>
  <c r="AC2858" i="1" a="1"/>
  <c r="AC2842" i="1" a="1"/>
  <c r="AC3610" i="1" a="1"/>
  <c r="AC3534" i="1" a="1"/>
  <c r="AC3453" i="1" a="1"/>
  <c r="AC3430" i="1" a="1"/>
  <c r="AC3400" i="1" a="1"/>
  <c r="AC3377" i="1" a="1"/>
  <c r="AC3355" i="1" a="1"/>
  <c r="AC3347" i="1" a="1"/>
  <c r="AC3325" i="1" a="1"/>
  <c r="AC3302" i="1" a="1"/>
  <c r="AC3272" i="1" a="1"/>
  <c r="AC3249" i="1" a="1"/>
  <c r="AC3227" i="1" a="1"/>
  <c r="AC3215" i="1" a="1"/>
  <c r="AC3199" i="1" a="1"/>
  <c r="AC3183" i="1" a="1"/>
  <c r="AC3167" i="1" a="1"/>
  <c r="AC3151" i="1" a="1"/>
  <c r="AC3422" i="1" a="1"/>
  <c r="AC3392" i="1" a="1"/>
  <c r="AC3369" i="1" a="1"/>
  <c r="AC3294" i="1" a="1"/>
  <c r="AC3264" i="1" a="1"/>
  <c r="AC3241" i="1" a="1"/>
  <c r="AC3220" i="1" a="1"/>
  <c r="AC3204" i="1" a="1"/>
  <c r="AC3188" i="1" a="1"/>
  <c r="AC3172" i="1" a="1"/>
  <c r="AC3156" i="1" a="1"/>
  <c r="AC3475" i="1" a="1"/>
  <c r="AC3517" i="1" a="1"/>
  <c r="AC3437" i="1" a="1"/>
  <c r="AC3414" i="1" a="1"/>
  <c r="AC3384" i="1" a="1"/>
  <c r="AC3361" i="1" a="1"/>
  <c r="AC3339" i="1" a="1"/>
  <c r="AC3331" i="1" a="1"/>
  <c r="AC3309" i="1" a="1"/>
  <c r="AC3286" i="1" a="1"/>
  <c r="AC3256" i="1" a="1"/>
  <c r="AC3233" i="1" a="1"/>
  <c r="AC3209" i="1" a="1"/>
  <c r="AC3193" i="1" a="1"/>
  <c r="AC3177" i="1" a="1"/>
  <c r="AC3161" i="1" a="1"/>
  <c r="AC3546" i="1" a="1"/>
  <c r="AC3467" i="1" a="1"/>
  <c r="AC3459" i="1" a="1"/>
  <c r="AC3501" i="1" a="1"/>
  <c r="AC3406" i="1" a="1"/>
  <c r="AC3376" i="1" a="1"/>
  <c r="AC3353" i="1" a="1"/>
  <c r="AC3278" i="1" a="1"/>
  <c r="AC3248" i="1" a="1"/>
  <c r="AC3225" i="1" a="1"/>
  <c r="AC3214" i="1" a="1"/>
  <c r="AC3198" i="1" a="1"/>
  <c r="AC3182" i="1" a="1"/>
  <c r="AC3166" i="1" a="1"/>
  <c r="AC3150" i="1" a="1"/>
  <c r="AC3126" i="1" a="1"/>
  <c r="AC3079" i="1" a="1"/>
  <c r="AC2932" i="1" a="1"/>
  <c r="AC2870" i="1" a="1"/>
  <c r="AC2833" i="1" a="1"/>
  <c r="AC2817" i="1" a="1"/>
  <c r="AC2801" i="1" a="1"/>
  <c r="AC2785" i="1" a="1"/>
  <c r="AC2769" i="1" a="1"/>
  <c r="AC2753" i="1" a="1"/>
  <c r="AC2737" i="1" a="1"/>
  <c r="AC2721" i="1" a="1"/>
  <c r="AC2705" i="1" a="1"/>
  <c r="AC2689" i="1" a="1"/>
  <c r="AC2673" i="1" a="1"/>
  <c r="AC2657" i="1" a="1"/>
  <c r="AC2641" i="1" a="1"/>
  <c r="AC2625" i="1" a="1"/>
  <c r="AC2609" i="1" a="1"/>
  <c r="AC2593" i="1" a="1"/>
  <c r="AC2577" i="1" a="1"/>
  <c r="AC2561" i="1" a="1"/>
  <c r="AC2545" i="1" a="1"/>
  <c r="AC2529" i="1" a="1"/>
  <c r="AC2513" i="1" a="1"/>
  <c r="AC2497" i="1" a="1"/>
  <c r="AC2481" i="1" a="1"/>
  <c r="AC2465" i="1" a="1"/>
  <c r="AC3270" i="1" a="1"/>
  <c r="AC3118" i="1" a="1"/>
  <c r="AC3071" i="1" a="1"/>
  <c r="AC3025" i="1" a="1"/>
  <c r="AC3017" i="1" a="1"/>
  <c r="AC2963" i="1" a="1"/>
  <c r="AC2924" i="1" a="1"/>
  <c r="AC2862" i="1" a="1"/>
  <c r="AC3110" i="1" a="1"/>
  <c r="AC3063" i="1" a="1"/>
  <c r="AC2916" i="1" a="1"/>
  <c r="AC2854" i="1" a="1"/>
  <c r="AC2822" i="1" a="1"/>
  <c r="AC2806" i="1" a="1"/>
  <c r="AC2790" i="1" a="1"/>
  <c r="AC2774" i="1" a="1"/>
  <c r="AC2758" i="1" a="1"/>
  <c r="AC2742" i="1" a="1"/>
  <c r="AC2726" i="1" a="1"/>
  <c r="AC2710" i="1" a="1"/>
  <c r="AC2694" i="1" a="1"/>
  <c r="AC2678" i="1" a="1"/>
  <c r="AC2662" i="1" a="1"/>
  <c r="AC2646" i="1" a="1"/>
  <c r="AC2630" i="1" a="1"/>
  <c r="AC2614" i="1" a="1"/>
  <c r="AC2598" i="1" a="1"/>
  <c r="AC2582" i="1" a="1"/>
  <c r="AC2566" i="1" a="1"/>
  <c r="AC2550" i="1" a="1"/>
  <c r="AC2534" i="1" a="1"/>
  <c r="AC2518" i="1" a="1"/>
  <c r="AC2502" i="1" a="1"/>
  <c r="AC2486" i="1" a="1"/>
  <c r="AC2470" i="1" a="1"/>
  <c r="AC2454" i="1" a="1"/>
  <c r="AC3485" i="1" a="1"/>
  <c r="AC3102" i="1" a="1"/>
  <c r="AC3055" i="1" a="1"/>
  <c r="AC3009" i="1" a="1"/>
  <c r="AC3001" i="1" a="1"/>
  <c r="AC2947" i="1" a="1"/>
  <c r="AC2908" i="1" a="1"/>
  <c r="AC2846" i="1" a="1"/>
  <c r="AC3315" i="1" a="1"/>
  <c r="AC3094" i="1" a="1"/>
  <c r="AC3047" i="1" a="1"/>
  <c r="AC2900" i="1" a="1"/>
  <c r="AC2838" i="1" a="1"/>
  <c r="AC2827" i="1" a="1"/>
  <c r="AC2811" i="1" a="1"/>
  <c r="AC2795" i="1" a="1"/>
  <c r="AC2779" i="1" a="1"/>
  <c r="AC2763" i="1" a="1"/>
  <c r="AC2747" i="1" a="1"/>
  <c r="AC2731" i="1" a="1"/>
  <c r="AC2715" i="1" a="1"/>
  <c r="AC2699" i="1" a="1"/>
  <c r="AC2683" i="1" a="1"/>
  <c r="AC2667" i="1" a="1"/>
  <c r="AC2651" i="1" a="1"/>
  <c r="AC2635" i="1" a="1"/>
  <c r="AC2619" i="1" a="1"/>
  <c r="AC2603" i="1" a="1"/>
  <c r="AC2587" i="1" a="1"/>
  <c r="AC2571" i="1" a="1"/>
  <c r="AC2555" i="1" a="1"/>
  <c r="AC2539" i="1" a="1"/>
  <c r="AC2523" i="1" a="1"/>
  <c r="AC2507" i="1" a="1"/>
  <c r="AC2491" i="1" a="1"/>
  <c r="AC2475" i="1" a="1"/>
  <c r="AC2459" i="1" a="1"/>
  <c r="AC3345" i="1" a="1"/>
  <c r="AC3086" i="1" a="1"/>
  <c r="AC3039" i="1" a="1"/>
  <c r="AC2993" i="1" a="1"/>
  <c r="AC2985" i="1" a="1"/>
  <c r="AC2931" i="1" a="1"/>
  <c r="AC2892" i="1" a="1"/>
  <c r="AC3140" i="1" a="1"/>
  <c r="AC3078" i="1" a="1"/>
  <c r="AC3031" i="1" a="1"/>
  <c r="AC3421" i="1" a="1"/>
  <c r="AC3132" i="1" a="1"/>
  <c r="AC3070" i="1" a="1"/>
  <c r="AC3023" i="1" a="1"/>
  <c r="AC2977" i="1" a="1"/>
  <c r="AC2969" i="1" a="1"/>
  <c r="AC3124" i="1" a="1"/>
  <c r="AC3062" i="1" a="1"/>
  <c r="AC3015" i="1" a="1"/>
  <c r="AC3451" i="1" a="1"/>
  <c r="AC3116" i="1" a="1"/>
  <c r="AC3054" i="1" a="1"/>
  <c r="AC3007" i="1" a="1"/>
  <c r="AC3108" i="1" a="1"/>
  <c r="AC3046" i="1" a="1"/>
  <c r="AC2999" i="1" a="1"/>
  <c r="AC3219" i="1" a="1"/>
  <c r="AC3139" i="1" a="1"/>
  <c r="AC3100" i="1" a="1"/>
  <c r="AC3038" i="1" a="1"/>
  <c r="AC2991" i="1" a="1"/>
  <c r="AC3092" i="1" a="1"/>
  <c r="AC3030" i="1" a="1"/>
  <c r="AC2983" i="1" a="1"/>
  <c r="AC3203" i="1" a="1"/>
  <c r="AC3123" i="1" a="1"/>
  <c r="AC3084" i="1" a="1"/>
  <c r="AC3022" i="1" a="1"/>
  <c r="AC2975" i="1" a="1"/>
  <c r="AC3076" i="1" a="1"/>
  <c r="AC3014" i="1" a="1"/>
  <c r="AC2967" i="1" a="1"/>
  <c r="AC2836" i="1" a="1"/>
  <c r="AC2820" i="1" a="1"/>
  <c r="AC2804" i="1" a="1"/>
  <c r="AC2788" i="1" a="1"/>
  <c r="AC2772" i="1" a="1"/>
  <c r="AC2756" i="1" a="1"/>
  <c r="AC2740" i="1" a="1"/>
  <c r="AC2724" i="1" a="1"/>
  <c r="AC2708" i="1" a="1"/>
  <c r="AC2692" i="1" a="1"/>
  <c r="AC2676" i="1" a="1"/>
  <c r="AC2660" i="1" a="1"/>
  <c r="AC2644" i="1" a="1"/>
  <c r="AC2628" i="1" a="1"/>
  <c r="AC2612" i="1" a="1"/>
  <c r="AC2596" i="1" a="1"/>
  <c r="AC2580" i="1" a="1"/>
  <c r="AC2564" i="1" a="1"/>
  <c r="AC2548" i="1" a="1"/>
  <c r="AC2532" i="1" a="1"/>
  <c r="AC2516" i="1" a="1"/>
  <c r="AC2500" i="1" a="1"/>
  <c r="AC2484" i="1" a="1"/>
  <c r="AC2468" i="1" a="1"/>
  <c r="AC2452" i="1" a="1"/>
  <c r="AC3187" i="1" a="1"/>
  <c r="AC3107" i="1" a="1"/>
  <c r="AC3068" i="1" a="1"/>
  <c r="AC3006" i="1" a="1"/>
  <c r="AC2959" i="1" a="1"/>
  <c r="AC2913" i="1" a="1"/>
  <c r="AC2905" i="1" a="1"/>
  <c r="AC2851" i="1" a="1"/>
  <c r="AC3060" i="1" a="1"/>
  <c r="AC2998" i="1" a="1"/>
  <c r="AC2951" i="1" a="1"/>
  <c r="AC2825" i="1" a="1"/>
  <c r="AC2809" i="1" a="1"/>
  <c r="AC2793" i="1" a="1"/>
  <c r="AC2777" i="1" a="1"/>
  <c r="AC2761" i="1" a="1"/>
  <c r="AC2745" i="1" a="1"/>
  <c r="AC2729" i="1" a="1"/>
  <c r="AC2713" i="1" a="1"/>
  <c r="AC2697" i="1" a="1"/>
  <c r="AC2681" i="1" a="1"/>
  <c r="AC2665" i="1" a="1"/>
  <c r="AC2649" i="1" a="1"/>
  <c r="AC2633" i="1" a="1"/>
  <c r="AC2617" i="1" a="1"/>
  <c r="AC2601" i="1" a="1"/>
  <c r="AC2585" i="1" a="1"/>
  <c r="AC2569" i="1" a="1"/>
  <c r="AC2553" i="1" a="1"/>
  <c r="AC2537" i="1" a="1"/>
  <c r="AC2521" i="1" a="1"/>
  <c r="AC2505" i="1" a="1"/>
  <c r="AC2489" i="1" a="1"/>
  <c r="AC2473" i="1" a="1"/>
  <c r="AC2457" i="1" a="1"/>
  <c r="AC3293" i="1" a="1"/>
  <c r="AC3145" i="1" a="1"/>
  <c r="AC3091" i="1" a="1"/>
  <c r="AC3052" i="1" a="1"/>
  <c r="AC2990" i="1" a="1"/>
  <c r="AC2943" i="1" a="1"/>
  <c r="AC2897" i="1" a="1"/>
  <c r="AC2889" i="1" a="1"/>
  <c r="AC3044" i="1" a="1"/>
  <c r="AC2982" i="1" a="1"/>
  <c r="AC2935" i="1" a="1"/>
  <c r="AC2830" i="1" a="1"/>
  <c r="AC2814" i="1" a="1"/>
  <c r="AC2798" i="1" a="1"/>
  <c r="AC2782" i="1" a="1"/>
  <c r="AC2766" i="1" a="1"/>
  <c r="AC2750" i="1" a="1"/>
  <c r="AC2734" i="1" a="1"/>
  <c r="AC2718" i="1" a="1"/>
  <c r="AC2702" i="1" a="1"/>
  <c r="AC2686" i="1" a="1"/>
  <c r="AC2670" i="1" a="1"/>
  <c r="AC2654" i="1" a="1"/>
  <c r="AC2638" i="1" a="1"/>
  <c r="AC2622" i="1" a="1"/>
  <c r="AC2606" i="1" a="1"/>
  <c r="AC2590" i="1" a="1"/>
  <c r="AC2574" i="1" a="1"/>
  <c r="AC2558" i="1" a="1"/>
  <c r="AC2542" i="1" a="1"/>
  <c r="AC2526" i="1" a="1"/>
  <c r="AC2510" i="1" a="1"/>
  <c r="AC2494" i="1" a="1"/>
  <c r="AC2478" i="1" a="1"/>
  <c r="AC2462" i="1" a="1"/>
  <c r="AC3323" i="1" a="1"/>
  <c r="AC3171" i="1" a="1"/>
  <c r="AC3137" i="1" a="1"/>
  <c r="AC3129" i="1" a="1"/>
  <c r="AC3075" i="1" a="1"/>
  <c r="AC3036" i="1" a="1"/>
  <c r="AC2974" i="1" a="1"/>
  <c r="AC2927" i="1" a="1"/>
  <c r="AC2881" i="1" a="1"/>
  <c r="AC2873" i="1" a="1"/>
  <c r="AC3185" i="1" a="1"/>
  <c r="AC3028" i="1" a="1"/>
  <c r="AC2966" i="1" a="1"/>
  <c r="AC2919" i="1" a="1"/>
  <c r="AC2835" i="1" a="1"/>
  <c r="AC2819" i="1" a="1"/>
  <c r="AC2803" i="1" a="1"/>
  <c r="AC2787" i="1" a="1"/>
  <c r="AC2771" i="1" a="1"/>
  <c r="AC2755" i="1" a="1"/>
  <c r="AC2739" i="1" a="1"/>
  <c r="AC2723" i="1" a="1"/>
  <c r="AC2707" i="1" a="1"/>
  <c r="AC2691" i="1" a="1"/>
  <c r="AC2675" i="1" a="1"/>
  <c r="AC2659" i="1" a="1"/>
  <c r="AC2643" i="1" a="1"/>
  <c r="AC2627" i="1" a="1"/>
  <c r="AC2611" i="1" a="1"/>
  <c r="AC2595" i="1" a="1"/>
  <c r="AC2579" i="1" a="1"/>
  <c r="AC2563" i="1" a="1"/>
  <c r="AC2547" i="1" a="1"/>
  <c r="AC2531" i="1" a="1"/>
  <c r="AC2515" i="1" a="1"/>
  <c r="AC2499" i="1" a="1"/>
  <c r="AC2483" i="1" a="1"/>
  <c r="AC2467" i="1" a="1"/>
  <c r="AC3368" i="1" a="1"/>
  <c r="AC3121" i="1" a="1"/>
  <c r="AC3113" i="1" a="1"/>
  <c r="AC3059" i="1" a="1"/>
  <c r="AC3020" i="1" a="1"/>
  <c r="AC2958" i="1" a="1"/>
  <c r="AC2911" i="1" a="1"/>
  <c r="AC2865" i="1" a="1"/>
  <c r="AC2857" i="1" a="1"/>
  <c r="AC3012" i="1" a="1"/>
  <c r="AC3398" i="1" a="1"/>
  <c r="AC3155" i="1" a="1"/>
  <c r="AC3105" i="1" a="1"/>
  <c r="AC3097" i="1" a="1"/>
  <c r="AC3043" i="1" a="1"/>
  <c r="AC3004" i="1" a="1"/>
  <c r="AC3169" i="1" a="1"/>
  <c r="AC3143" i="1" a="1"/>
  <c r="AC2996" i="1" a="1"/>
  <c r="AC3135" i="1" a="1"/>
  <c r="AC3089" i="1" a="1"/>
  <c r="AC3081" i="1" a="1"/>
  <c r="AC3027" i="1" a="1"/>
  <c r="AC2988" i="1" a="1"/>
  <c r="AC3443" i="1" a="1"/>
  <c r="AC3127" i="1" a="1"/>
  <c r="AC2980" i="1" a="1"/>
  <c r="AC3119" i="1" a="1"/>
  <c r="AC3073" i="1" a="1"/>
  <c r="AC3065" i="1" a="1"/>
  <c r="AC3011" i="1" a="1"/>
  <c r="AC2972" i="1" a="1"/>
  <c r="AC3153" i="1" a="1"/>
  <c r="AC3111" i="1" a="1"/>
  <c r="AC2964" i="1" a="1"/>
  <c r="AC3103" i="1" a="1"/>
  <c r="AC3057" i="1" a="1"/>
  <c r="AC3049" i="1" a="1"/>
  <c r="AC2995" i="1" a="1"/>
  <c r="AC3142" i="1" a="1"/>
  <c r="AC3095" i="1" a="1"/>
  <c r="AC2948" i="1" a="1"/>
  <c r="AC2886" i="1" a="1"/>
  <c r="AC2839" i="1" a="1"/>
  <c r="AC2828" i="1" a="1"/>
  <c r="AC2812" i="1" a="1"/>
  <c r="AC2796" i="1" a="1"/>
  <c r="AC2780" i="1" a="1"/>
  <c r="AC2764" i="1" a="1"/>
  <c r="AC2748" i="1" a="1"/>
  <c r="AC2732" i="1" a="1"/>
  <c r="AC2716" i="1" a="1"/>
  <c r="AC2700" i="1" a="1"/>
  <c r="AC2684" i="1" a="1"/>
  <c r="AC2668" i="1" a="1"/>
  <c r="AC2652" i="1" a="1"/>
  <c r="AC2636" i="1" a="1"/>
  <c r="AC2620" i="1" a="1"/>
  <c r="AC2604" i="1" a="1"/>
  <c r="AC2588" i="1" a="1"/>
  <c r="AC2572" i="1" a="1"/>
  <c r="AC2556" i="1" a="1"/>
  <c r="AC2540" i="1" a="1"/>
  <c r="AC2524" i="1" a="1"/>
  <c r="AC2508" i="1" a="1"/>
  <c r="AC2492" i="1" a="1"/>
  <c r="AC2476" i="1" a="1"/>
  <c r="AC2460" i="1" a="1"/>
  <c r="AC2852" i="1" a="1"/>
  <c r="AC2786" i="1" a="1"/>
  <c r="AC2685" i="1" a="1"/>
  <c r="AC2530" i="1" a="1"/>
  <c r="AC2436" i="1" a="1"/>
  <c r="AC2420" i="1" a="1"/>
  <c r="AC2404" i="1" a="1"/>
  <c r="AC2388" i="1" a="1"/>
  <c r="AC2372" i="1" a="1"/>
  <c r="AC2356" i="1" a="1"/>
  <c r="AC2340" i="1" a="1"/>
  <c r="AC2324" i="1" a="1"/>
  <c r="AC2308" i="1" a="1"/>
  <c r="AC2292" i="1" a="1"/>
  <c r="AC2276" i="1" a="1"/>
  <c r="AC2260" i="1" a="1"/>
  <c r="AC2244" i="1" a="1"/>
  <c r="AC2228" i="1" a="1"/>
  <c r="AC2212" i="1" a="1"/>
  <c r="AC2196" i="1" a="1"/>
  <c r="AC2180" i="1" a="1"/>
  <c r="AC2164" i="1" a="1"/>
  <c r="AC3134" i="1" a="1"/>
  <c r="AC3041" i="1" a="1"/>
  <c r="AC2979" i="1" a="1"/>
  <c r="AC2871" i="1" a="1"/>
  <c r="AC2841" i="1" a="1"/>
  <c r="AC2832" i="1" a="1"/>
  <c r="AC2824" i="1" a="1"/>
  <c r="AC2778" i="1" a="1"/>
  <c r="AC2677" i="1" a="1"/>
  <c r="AC2623" i="1" a="1"/>
  <c r="AC2615" i="1" a="1"/>
  <c r="AC2576" i="1" a="1"/>
  <c r="AC2568" i="1" a="1"/>
  <c r="AC2522" i="1" a="1"/>
  <c r="AC2770" i="1" a="1"/>
  <c r="AC2669" i="1" a="1"/>
  <c r="AC2514" i="1" a="1"/>
  <c r="AC2441" i="1" a="1"/>
  <c r="AC2425" i="1" a="1"/>
  <c r="AC2409" i="1" a="1"/>
  <c r="AC2393" i="1" a="1"/>
  <c r="AC2377" i="1" a="1"/>
  <c r="AC2361" i="1" a="1"/>
  <c r="AC2345" i="1" a="1"/>
  <c r="AC2329" i="1" a="1"/>
  <c r="AC2313" i="1" a="1"/>
  <c r="AC2297" i="1" a="1"/>
  <c r="AC2281" i="1" a="1"/>
  <c r="AC2265" i="1" a="1"/>
  <c r="AC2249" i="1" a="1"/>
  <c r="AC2233" i="1" a="1"/>
  <c r="AC2217" i="1" a="1"/>
  <c r="AC2201" i="1" a="1"/>
  <c r="AC2185" i="1" a="1"/>
  <c r="AC2169" i="1" a="1"/>
  <c r="AC2153" i="1" a="1"/>
  <c r="AC3087" i="1" a="1"/>
  <c r="AC2953" i="1" a="1"/>
  <c r="AC2902" i="1" a="1"/>
  <c r="AC2816" i="1" a="1"/>
  <c r="AC2808" i="1" a="1"/>
  <c r="AC2762" i="1" a="1"/>
  <c r="AC2661" i="1" a="1"/>
  <c r="AC2607" i="1" a="1"/>
  <c r="AC2599" i="1" a="1"/>
  <c r="AC2560" i="1" a="1"/>
  <c r="AC2552" i="1" a="1"/>
  <c r="AC2506" i="1" a="1"/>
  <c r="AC2942" i="1" a="1"/>
  <c r="AC2754" i="1" a="1"/>
  <c r="AC2653" i="1" a="1"/>
  <c r="AC2498" i="1" a="1"/>
  <c r="AC2446" i="1" a="1"/>
  <c r="AC2430" i="1" a="1"/>
  <c r="AC2414" i="1" a="1"/>
  <c r="AC2398" i="1" a="1"/>
  <c r="AC2382" i="1" a="1"/>
  <c r="AC2366" i="1" a="1"/>
  <c r="AC2350" i="1" a="1"/>
  <c r="AC2334" i="1" a="1"/>
  <c r="AC2318" i="1" a="1"/>
  <c r="AC2302" i="1" a="1"/>
  <c r="AC2286" i="1" a="1"/>
  <c r="AC2270" i="1" a="1"/>
  <c r="AC2254" i="1" a="1"/>
  <c r="AC2238" i="1" a="1"/>
  <c r="AC2222" i="1" a="1"/>
  <c r="AC2206" i="1" a="1"/>
  <c r="AC2190" i="1" a="1"/>
  <c r="AC2174" i="1" a="1"/>
  <c r="AC2158" i="1" a="1"/>
  <c r="AC2800" i="1" a="1"/>
  <c r="AC2792" i="1" a="1"/>
  <c r="AC2746" i="1" a="1"/>
  <c r="AC2645" i="1" a="1"/>
  <c r="AC2591" i="1" a="1"/>
  <c r="AC2583" i="1" a="1"/>
  <c r="AC2544" i="1" a="1"/>
  <c r="AC2536" i="1" a="1"/>
  <c r="AC2490" i="1" a="1"/>
  <c r="AC2860" i="1" a="1"/>
  <c r="AC2738" i="1" a="1"/>
  <c r="AC2637" i="1" a="1"/>
  <c r="AC2921" i="1" a="1"/>
  <c r="AC2879" i="1" a="1"/>
  <c r="AC2831" i="1" a="1"/>
  <c r="AC2823" i="1" a="1"/>
  <c r="AC2784" i="1" a="1"/>
  <c r="AC2776" i="1" a="1"/>
  <c r="AC2730" i="1" a="1"/>
  <c r="AC2629" i="1" a="1"/>
  <c r="AC2575" i="1" a="1"/>
  <c r="AC2722" i="1" a="1"/>
  <c r="AC2621" i="1" a="1"/>
  <c r="AC2849" i="1" a="1"/>
  <c r="AC2815" i="1" a="1"/>
  <c r="AC2807" i="1" a="1"/>
  <c r="AC2768" i="1" a="1"/>
  <c r="AC2760" i="1" a="1"/>
  <c r="AC2714" i="1" a="1"/>
  <c r="AC2613" i="1" a="1"/>
  <c r="AC2910" i="1" a="1"/>
  <c r="AC2706" i="1" a="1"/>
  <c r="AC2605" i="1" a="1"/>
  <c r="AC2961" i="1" a="1"/>
  <c r="AC2950" i="1" a="1"/>
  <c r="AC2940" i="1" a="1"/>
  <c r="AC2799" i="1" a="1"/>
  <c r="AC2791" i="1" a="1"/>
  <c r="AC2752" i="1" a="1"/>
  <c r="AC2744" i="1" a="1"/>
  <c r="AC2698" i="1" a="1"/>
  <c r="AC2597" i="1" a="1"/>
  <c r="AC3240" i="1" a="1"/>
  <c r="AC2899" i="1" a="1"/>
  <c r="AC2878" i="1" a="1"/>
  <c r="AC2868" i="1" a="1"/>
  <c r="AC2690" i="1" a="1"/>
  <c r="AC2589" i="1" a="1"/>
  <c r="AC2837" i="1" a="1"/>
  <c r="AC2783" i="1" a="1"/>
  <c r="AC2775" i="1" a="1"/>
  <c r="AC2736" i="1" a="1"/>
  <c r="AC2728" i="1" a="1"/>
  <c r="AC2682" i="1" a="1"/>
  <c r="AC2581" i="1" a="1"/>
  <c r="AC2929" i="1" a="1"/>
  <c r="AC2887" i="1" a="1"/>
  <c r="AC2829" i="1" a="1"/>
  <c r="AC2674" i="1" a="1"/>
  <c r="AC2573" i="1" a="1"/>
  <c r="AC2439" i="1" a="1"/>
  <c r="AC2423" i="1" a="1"/>
  <c r="AC2407" i="1" a="1"/>
  <c r="AC2391" i="1" a="1"/>
  <c r="AC2375" i="1" a="1"/>
  <c r="AC2359" i="1" a="1"/>
  <c r="AC2343" i="1" a="1"/>
  <c r="AC2327" i="1" a="1"/>
  <c r="AC2311" i="1" a="1"/>
  <c r="AC2295" i="1" a="1"/>
  <c r="AC2279" i="1" a="1"/>
  <c r="AC2263" i="1" a="1"/>
  <c r="AC2247" i="1" a="1"/>
  <c r="AC2231" i="1" a="1"/>
  <c r="AC2215" i="1" a="1"/>
  <c r="AC2199" i="1" a="1"/>
  <c r="AC2183" i="1" a="1"/>
  <c r="AC2167" i="1" a="1"/>
  <c r="AC2847" i="1" a="1"/>
  <c r="AC2821" i="1" a="1"/>
  <c r="AC2767" i="1" a="1"/>
  <c r="AC2759" i="1" a="1"/>
  <c r="AC2720" i="1" a="1"/>
  <c r="AC2712" i="1" a="1"/>
  <c r="AC2666" i="1" a="1"/>
  <c r="AC2565" i="1" a="1"/>
  <c r="AC2511" i="1" a="1"/>
  <c r="AC2503" i="1" a="1"/>
  <c r="AC2464" i="1" a="1"/>
  <c r="AC2456" i="1" a="1"/>
  <c r="AC2813" i="1" a="1"/>
  <c r="AC2658" i="1" a="1"/>
  <c r="AC2557" i="1" a="1"/>
  <c r="AC2444" i="1" a="1"/>
  <c r="AC2428" i="1" a="1"/>
  <c r="AC2412" i="1" a="1"/>
  <c r="AC2396" i="1" a="1"/>
  <c r="AC2380" i="1" a="1"/>
  <c r="AC2364" i="1" a="1"/>
  <c r="AC2348" i="1" a="1"/>
  <c r="AC2332" i="1" a="1"/>
  <c r="AC2316" i="1" a="1"/>
  <c r="AC2300" i="1" a="1"/>
  <c r="AC2284" i="1" a="1"/>
  <c r="AC2268" i="1" a="1"/>
  <c r="AC2252" i="1" a="1"/>
  <c r="AC2236" i="1" a="1"/>
  <c r="AC2220" i="1" a="1"/>
  <c r="AC2204" i="1" a="1"/>
  <c r="AC2188" i="1" a="1"/>
  <c r="AC2172" i="1" a="1"/>
  <c r="AC2156" i="1" a="1"/>
  <c r="AC2918" i="1" a="1"/>
  <c r="AC2867" i="1" a="1"/>
  <c r="AC2805" i="1" a="1"/>
  <c r="AC2751" i="1" a="1"/>
  <c r="AC2743" i="1" a="1"/>
  <c r="AC2704" i="1" a="1"/>
  <c r="AC2696" i="1" a="1"/>
  <c r="AC2650" i="1" a="1"/>
  <c r="AC2549" i="1" a="1"/>
  <c r="AC2495" i="1" a="1"/>
  <c r="AC2487" i="1" a="1"/>
  <c r="AC3033" i="1" a="1"/>
  <c r="AC2876" i="1" a="1"/>
  <c r="AC2797" i="1" a="1"/>
  <c r="AC2642" i="1" a="1"/>
  <c r="AC2541" i="1" a="1"/>
  <c r="AC2449" i="1" a="1"/>
  <c r="AC2433" i="1" a="1"/>
  <c r="AC2417" i="1" a="1"/>
  <c r="AC2401" i="1" a="1"/>
  <c r="AC2385" i="1" a="1"/>
  <c r="AC2369" i="1" a="1"/>
  <c r="AC2353" i="1" a="1"/>
  <c r="AC2337" i="1" a="1"/>
  <c r="AC2321" i="1" a="1"/>
  <c r="AC2305" i="1" a="1"/>
  <c r="AC2289" i="1" a="1"/>
  <c r="AC2273" i="1" a="1"/>
  <c r="AC2257" i="1" a="1"/>
  <c r="AC2241" i="1" a="1"/>
  <c r="AC2225" i="1" a="1"/>
  <c r="AC2209" i="1" a="1"/>
  <c r="AC2193" i="1" a="1"/>
  <c r="AC2177" i="1" a="1"/>
  <c r="AC2161" i="1" a="1"/>
  <c r="AC2789" i="1" a="1"/>
  <c r="AC2735" i="1" a="1"/>
  <c r="AC2727" i="1" a="1"/>
  <c r="AC2688" i="1" a="1"/>
  <c r="AC2680" i="1" a="1"/>
  <c r="AC2634" i="1" a="1"/>
  <c r="AC2533" i="1" a="1"/>
  <c r="AC2479" i="1" a="1"/>
  <c r="AC2471" i="1" a="1"/>
  <c r="AC2781" i="1" a="1"/>
  <c r="AC2626" i="1" a="1"/>
  <c r="AC2525" i="1" a="1"/>
  <c r="AC2438" i="1" a="1"/>
  <c r="AC2422" i="1" a="1"/>
  <c r="AC2406" i="1" a="1"/>
  <c r="AC2390" i="1" a="1"/>
  <c r="AC2374" i="1" a="1"/>
  <c r="AC2358" i="1" a="1"/>
  <c r="AC2342" i="1" a="1"/>
  <c r="AC2326" i="1" a="1"/>
  <c r="AC2310" i="1" a="1"/>
  <c r="AC2294" i="1" a="1"/>
  <c r="AC2278" i="1" a="1"/>
  <c r="AC2262" i="1" a="1"/>
  <c r="AC2246" i="1" a="1"/>
  <c r="AC2230" i="1" a="1"/>
  <c r="AC2214" i="1" a="1"/>
  <c r="AC2198" i="1" a="1"/>
  <c r="AC2182" i="1" a="1"/>
  <c r="AC2166" i="1" a="1"/>
  <c r="AC2937" i="1" a="1"/>
  <c r="AC2855" i="1" a="1"/>
  <c r="AC2773" i="1" a="1"/>
  <c r="AC2719" i="1" a="1"/>
  <c r="AC2711" i="1" a="1"/>
  <c r="AC2672" i="1" a="1"/>
  <c r="AC2664" i="1" a="1"/>
  <c r="AC2618" i="1" a="1"/>
  <c r="AC2517" i="1" a="1"/>
  <c r="AC2463" i="1" a="1"/>
  <c r="AC2455" i="1" a="1"/>
  <c r="AC2895" i="1" a="1"/>
  <c r="AC2765" i="1" a="1"/>
  <c r="AC2610" i="1" a="1"/>
  <c r="AC2757" i="1" a="1"/>
  <c r="AC2703" i="1" a="1"/>
  <c r="AC2695" i="1" a="1"/>
  <c r="AC2656" i="1" a="1"/>
  <c r="AC2648" i="1" a="1"/>
  <c r="AC2602" i="1" a="1"/>
  <c r="AC2926" i="1" a="1"/>
  <c r="AC2884" i="1" a="1"/>
  <c r="AC2749" i="1" a="1"/>
  <c r="AC2594" i="1" a="1"/>
  <c r="AC2956" i="1" a="1"/>
  <c r="AC2844" i="1" a="1"/>
  <c r="AC2741" i="1" a="1"/>
  <c r="AC2687" i="1" a="1"/>
  <c r="AC2679" i="1" a="1"/>
  <c r="AC2640" i="1" a="1"/>
  <c r="AC2632" i="1" a="1"/>
  <c r="AC2586" i="1" a="1"/>
  <c r="AC2915" i="1" a="1"/>
  <c r="AC2834" i="1" a="1"/>
  <c r="AC2733" i="1" a="1"/>
  <c r="AC2578" i="1" a="1"/>
  <c r="AC2863" i="1" a="1"/>
  <c r="AC2826" i="1" a="1"/>
  <c r="AC2725" i="1" a="1"/>
  <c r="AC2671" i="1" a="1"/>
  <c r="AC2663" i="1" a="1"/>
  <c r="AC2624" i="1" a="1"/>
  <c r="AC2616" i="1" a="1"/>
  <c r="AC2945" i="1" a="1"/>
  <c r="AC2894" i="1" a="1"/>
  <c r="AC2818" i="1" a="1"/>
  <c r="AC2717" i="1" a="1"/>
  <c r="AC2903" i="1" a="1"/>
  <c r="AC2883" i="1" a="1"/>
  <c r="AC2810" i="1" a="1"/>
  <c r="AC2709" i="1" a="1"/>
  <c r="AC2655" i="1" a="1"/>
  <c r="AC2647" i="1" a="1"/>
  <c r="AC2608" i="1" a="1"/>
  <c r="AC2600" i="1" a="1"/>
  <c r="AC2934" i="1" a="1"/>
  <c r="AC2802" i="1" a="1"/>
  <c r="AC2701" i="1" a="1"/>
  <c r="AC2546" i="1" a="1"/>
  <c r="AC2447" i="1" a="1"/>
  <c r="AC2431" i="1" a="1"/>
  <c r="AC2415" i="1" a="1"/>
  <c r="AC2399" i="1" a="1"/>
  <c r="AC2383" i="1" a="1"/>
  <c r="AC2367" i="1" a="1"/>
  <c r="AC2351" i="1" a="1"/>
  <c r="AC2335" i="1" a="1"/>
  <c r="AC2319" i="1" a="1"/>
  <c r="AC2303" i="1" a="1"/>
  <c r="AC2287" i="1" a="1"/>
  <c r="AC2271" i="1" a="1"/>
  <c r="AC2255" i="1" a="1"/>
  <c r="AC2239" i="1" a="1"/>
  <c r="AC2223" i="1" a="1"/>
  <c r="AC2207" i="1" a="1"/>
  <c r="AC2191" i="1" a="1"/>
  <c r="AC2175" i="1" a="1"/>
  <c r="AC2159" i="1" a="1"/>
  <c r="AC2570" i="1" a="1"/>
  <c r="AC2519" i="1" a="1"/>
  <c r="AC2477" i="1" a="1"/>
  <c r="AC2440" i="1" a="1"/>
  <c r="AC2386" i="1" a="1"/>
  <c r="AC2378" i="1" a="1"/>
  <c r="AC2339" i="1" a="1"/>
  <c r="AC2331" i="1" a="1"/>
  <c r="AC2285" i="1" a="1"/>
  <c r="AC2184" i="1" a="1"/>
  <c r="AC2142" i="1" a="1"/>
  <c r="AC2126" i="1" a="1"/>
  <c r="AC2110" i="1" a="1"/>
  <c r="AC2094" i="1" a="1"/>
  <c r="AC2078" i="1" a="1"/>
  <c r="AC2062" i="1" a="1"/>
  <c r="AC2046" i="1" a="1"/>
  <c r="AC2030" i="1" a="1"/>
  <c r="AC2014" i="1" a="1"/>
  <c r="AC1998" i="1" a="1"/>
  <c r="AC1982" i="1" a="1"/>
  <c r="AC1966" i="1" a="1"/>
  <c r="AC1950" i="1" a="1"/>
  <c r="AC1934" i="1" a="1"/>
  <c r="AC1918" i="1" a="1"/>
  <c r="AC1902" i="1" a="1"/>
  <c r="AC1886" i="1" a="1"/>
  <c r="AC1870" i="1" a="1"/>
  <c r="AC1854" i="1" a="1"/>
  <c r="AC1838" i="1" a="1"/>
  <c r="AC1822" i="1" a="1"/>
  <c r="AC1806" i="1" a="1"/>
  <c r="AC1790" i="1" a="1"/>
  <c r="AC2528" i="1" a="1"/>
  <c r="AC2432" i="1" a="1"/>
  <c r="AC2277" i="1" a="1"/>
  <c r="AC2176" i="1" a="1"/>
  <c r="AC2424" i="1" a="1"/>
  <c r="AC2370" i="1" a="1"/>
  <c r="AC2362" i="1" a="1"/>
  <c r="AC2323" i="1" a="1"/>
  <c r="AC2315" i="1" a="1"/>
  <c r="AC2269" i="1" a="1"/>
  <c r="AC2168" i="1" a="1"/>
  <c r="AC2147" i="1" a="1"/>
  <c r="AC2131" i="1" a="1"/>
  <c r="AC2115" i="1" a="1"/>
  <c r="AC2099" i="1" a="1"/>
  <c r="AC2083" i="1" a="1"/>
  <c r="AC2067" i="1" a="1"/>
  <c r="AC2051" i="1" a="1"/>
  <c r="AC2035" i="1" a="1"/>
  <c r="AC2019" i="1" a="1"/>
  <c r="AC2003" i="1" a="1"/>
  <c r="AC1987" i="1" a="1"/>
  <c r="AC1971" i="1" a="1"/>
  <c r="AC1955" i="1" a="1"/>
  <c r="AC1939" i="1" a="1"/>
  <c r="AC1923" i="1" a="1"/>
  <c r="AC1907" i="1" a="1"/>
  <c r="AC1891" i="1" a="1"/>
  <c r="AC1875" i="1" a="1"/>
  <c r="AC1859" i="1" a="1"/>
  <c r="AC1843" i="1" a="1"/>
  <c r="AC1827" i="1" a="1"/>
  <c r="AC1811" i="1" a="1"/>
  <c r="AC1795" i="1" a="1"/>
  <c r="AC2559" i="1" a="1"/>
  <c r="AC2538" i="1" a="1"/>
  <c r="AC2416" i="1" a="1"/>
  <c r="AC2261" i="1" a="1"/>
  <c r="AC2160" i="1" a="1"/>
  <c r="AC2466" i="1" a="1"/>
  <c r="AC2408" i="1" a="1"/>
  <c r="AC2354" i="1" a="1"/>
  <c r="AC2346" i="1" a="1"/>
  <c r="AC2307" i="1" a="1"/>
  <c r="AC2299" i="1" a="1"/>
  <c r="AC2253" i="1" a="1"/>
  <c r="AC2152" i="1" a="1"/>
  <c r="AC2136" i="1" a="1"/>
  <c r="AC2120" i="1" a="1"/>
  <c r="AC2104" i="1" a="1"/>
  <c r="AC2088" i="1" a="1"/>
  <c r="AC2072" i="1" a="1"/>
  <c r="AC2056" i="1" a="1"/>
  <c r="AC2040" i="1" a="1"/>
  <c r="AC2024" i="1" a="1"/>
  <c r="AC2008" i="1" a="1"/>
  <c r="AC1992" i="1" a="1"/>
  <c r="AC1976" i="1" a="1"/>
  <c r="AC1960" i="1" a="1"/>
  <c r="AC1944" i="1" a="1"/>
  <c r="AC1928" i="1" a="1"/>
  <c r="AC1912" i="1" a="1"/>
  <c r="AC1896" i="1" a="1"/>
  <c r="AC1880" i="1" a="1"/>
  <c r="AC1864" i="1" a="1"/>
  <c r="AC1848" i="1" a="1"/>
  <c r="AC1832" i="1" a="1"/>
  <c r="AC1816" i="1" a="1"/>
  <c r="AC1800" i="1" a="1"/>
  <c r="AC1784" i="1" a="1"/>
  <c r="AC2400" i="1" a="1"/>
  <c r="AC2245" i="1" a="1"/>
  <c r="AC2496" i="1" a="1"/>
  <c r="AC2392" i="1" a="1"/>
  <c r="AC2338" i="1" a="1"/>
  <c r="AC2330" i="1" a="1"/>
  <c r="AC2291" i="1" a="1"/>
  <c r="AC2283" i="1" a="1"/>
  <c r="AC2237" i="1" a="1"/>
  <c r="AC2527" i="1" a="1"/>
  <c r="AC2485" i="1" a="1"/>
  <c r="AC2384" i="1" a="1"/>
  <c r="AC2229" i="1" a="1"/>
  <c r="AC2567" i="1" a="1"/>
  <c r="AC2376" i="1" a="1"/>
  <c r="AC2322" i="1" a="1"/>
  <c r="AC2314" i="1" a="1"/>
  <c r="AC2275" i="1" a="1"/>
  <c r="AC2267" i="1" a="1"/>
  <c r="AC2221" i="1" a="1"/>
  <c r="AC2368" i="1" a="1"/>
  <c r="AC2213" i="1" a="1"/>
  <c r="AC2474" i="1" a="1"/>
  <c r="AC2360" i="1" a="1"/>
  <c r="AC2306" i="1" a="1"/>
  <c r="AC2298" i="1" a="1"/>
  <c r="AC2259" i="1" a="1"/>
  <c r="AC2251" i="1" a="1"/>
  <c r="AC2205" i="1" a="1"/>
  <c r="AC2794" i="1" a="1"/>
  <c r="AC2639" i="1" a="1"/>
  <c r="AC2352" i="1" a="1"/>
  <c r="AC2197" i="1" a="1"/>
  <c r="AC2504" i="1" a="1"/>
  <c r="AC2445" i="1" a="1"/>
  <c r="AC2344" i="1" a="1"/>
  <c r="AC2290" i="1" a="1"/>
  <c r="AC2282" i="1" a="1"/>
  <c r="AC2243" i="1" a="1"/>
  <c r="AC2235" i="1" a="1"/>
  <c r="AC2189" i="1" a="1"/>
  <c r="AC2592" i="1" a="1"/>
  <c r="AC2535" i="1" a="1"/>
  <c r="AC2453" i="1" a="1"/>
  <c r="AC2437" i="1" a="1"/>
  <c r="AC2336" i="1" a="1"/>
  <c r="AC2181" i="1" a="1"/>
  <c r="AC2429" i="1" a="1"/>
  <c r="AC2328" i="1" a="1"/>
  <c r="AC2274" i="1" a="1"/>
  <c r="AC2266" i="1" a="1"/>
  <c r="AC2227" i="1" a="1"/>
  <c r="AC2219" i="1" a="1"/>
  <c r="AC2173" i="1" a="1"/>
  <c r="AC2145" i="1" a="1"/>
  <c r="AC2129" i="1" a="1"/>
  <c r="AC2113" i="1" a="1"/>
  <c r="AC2097" i="1" a="1"/>
  <c r="AC2081" i="1" a="1"/>
  <c r="AC2065" i="1" a="1"/>
  <c r="AC2049" i="1" a="1"/>
  <c r="AC2033" i="1" a="1"/>
  <c r="AC2017" i="1" a="1"/>
  <c r="AC2001" i="1" a="1"/>
  <c r="AC1985" i="1" a="1"/>
  <c r="AC1969" i="1" a="1"/>
  <c r="AC1953" i="1" a="1"/>
  <c r="AC1937" i="1" a="1"/>
  <c r="AC1921" i="1" a="1"/>
  <c r="AC1905" i="1" a="1"/>
  <c r="AC1889" i="1" a="1"/>
  <c r="AC1873" i="1" a="1"/>
  <c r="AC1857" i="1" a="1"/>
  <c r="AC1841" i="1" a="1"/>
  <c r="AC1825" i="1" a="1"/>
  <c r="AC1809" i="1" a="1"/>
  <c r="AC1793" i="1" a="1"/>
  <c r="AC2493" i="1" a="1"/>
  <c r="AC2421" i="1" a="1"/>
  <c r="AC2320" i="1" a="1"/>
  <c r="AC2165" i="1" a="1"/>
  <c r="AC2482" i="1" a="1"/>
  <c r="AC2472" i="1" a="1"/>
  <c r="AC2413" i="1" a="1"/>
  <c r="AC2312" i="1" a="1"/>
  <c r="AC2258" i="1" a="1"/>
  <c r="AC2250" i="1" a="1"/>
  <c r="AC2211" i="1" a="1"/>
  <c r="AC2203" i="1" a="1"/>
  <c r="AC2157" i="1" a="1"/>
  <c r="AC2150" i="1" a="1"/>
  <c r="AC2134" i="1" a="1"/>
  <c r="AC2118" i="1" a="1"/>
  <c r="AC2102" i="1" a="1"/>
  <c r="AC2086" i="1" a="1"/>
  <c r="AC2070" i="1" a="1"/>
  <c r="AC2054" i="1" a="1"/>
  <c r="AC2038" i="1" a="1"/>
  <c r="AC2022" i="1" a="1"/>
  <c r="AC2006" i="1" a="1"/>
  <c r="AC1990" i="1" a="1"/>
  <c r="AC1974" i="1" a="1"/>
  <c r="AC1958" i="1" a="1"/>
  <c r="AC1942" i="1" a="1"/>
  <c r="AC1926" i="1" a="1"/>
  <c r="AC1910" i="1" a="1"/>
  <c r="AC1894" i="1" a="1"/>
  <c r="AC1878" i="1" a="1"/>
  <c r="AC1862" i="1" a="1"/>
  <c r="AC1846" i="1" a="1"/>
  <c r="AC1830" i="1" a="1"/>
  <c r="AC1814" i="1" a="1"/>
  <c r="AC1798" i="1" a="1"/>
  <c r="AC1782" i="1" a="1"/>
  <c r="AC2554" i="1" a="1"/>
  <c r="AC2405" i="1" a="1"/>
  <c r="AC2304" i="1" a="1"/>
  <c r="AC2451" i="1" a="1"/>
  <c r="AC2443" i="1" a="1"/>
  <c r="AC2397" i="1" a="1"/>
  <c r="AC2296" i="1" a="1"/>
  <c r="AC2242" i="1" a="1"/>
  <c r="AC2234" i="1" a="1"/>
  <c r="AC2195" i="1" a="1"/>
  <c r="AC2187" i="1" a="1"/>
  <c r="AC2139" i="1" a="1"/>
  <c r="AC2123" i="1" a="1"/>
  <c r="AC2107" i="1" a="1"/>
  <c r="AC2091" i="1" a="1"/>
  <c r="AC2075" i="1" a="1"/>
  <c r="AC2059" i="1" a="1"/>
  <c r="AC2043" i="1" a="1"/>
  <c r="AC2027" i="1" a="1"/>
  <c r="AC2011" i="1" a="1"/>
  <c r="AC1995" i="1" a="1"/>
  <c r="AC1979" i="1" a="1"/>
  <c r="AC1963" i="1" a="1"/>
  <c r="AC1947" i="1" a="1"/>
  <c r="AC1931" i="1" a="1"/>
  <c r="AC1915" i="1" a="1"/>
  <c r="AC1899" i="1" a="1"/>
  <c r="AC1883" i="1" a="1"/>
  <c r="AC1867" i="1" a="1"/>
  <c r="AC1851" i="1" a="1"/>
  <c r="AC1835" i="1" a="1"/>
  <c r="AC1819" i="1" a="1"/>
  <c r="AC1803" i="1" a="1"/>
  <c r="AC1787" i="1" a="1"/>
  <c r="AC2461" i="1" a="1"/>
  <c r="AC2389" i="1" a="1"/>
  <c r="AC2288" i="1" a="1"/>
  <c r="AC2543" i="1" a="1"/>
  <c r="AC2512" i="1" a="1"/>
  <c r="AC2435" i="1" a="1"/>
  <c r="AC2427" i="1" a="1"/>
  <c r="AC2381" i="1" a="1"/>
  <c r="AC2280" i="1" a="1"/>
  <c r="AC2226" i="1" a="1"/>
  <c r="AC2218" i="1" a="1"/>
  <c r="AC2179" i="1" a="1"/>
  <c r="AC2171" i="1" a="1"/>
  <c r="AC2144" i="1" a="1"/>
  <c r="AC2128" i="1" a="1"/>
  <c r="AC2112" i="1" a="1"/>
  <c r="AC2096" i="1" a="1"/>
  <c r="AC2080" i="1" a="1"/>
  <c r="AC2064" i="1" a="1"/>
  <c r="AC2048" i="1" a="1"/>
  <c r="AC2032" i="1" a="1"/>
  <c r="AC2016" i="1" a="1"/>
  <c r="AC2000" i="1" a="1"/>
  <c r="AC1984" i="1" a="1"/>
  <c r="AC1968" i="1" a="1"/>
  <c r="AC1952" i="1" a="1"/>
  <c r="AC1936" i="1" a="1"/>
  <c r="AC1920" i="1" a="1"/>
  <c r="AC1904" i="1" a="1"/>
  <c r="AC1888" i="1" a="1"/>
  <c r="AC1872" i="1" a="1"/>
  <c r="AC1856" i="1" a="1"/>
  <c r="AC1840" i="1" a="1"/>
  <c r="AC1824" i="1" a="1"/>
  <c r="AC1808" i="1" a="1"/>
  <c r="AC1792" i="1" a="1"/>
  <c r="AC2373" i="1" a="1"/>
  <c r="AC2272" i="1" a="1"/>
  <c r="AC2501" i="1" a="1"/>
  <c r="AC2419" i="1" a="1"/>
  <c r="AC2411" i="1" a="1"/>
  <c r="AC2365" i="1" a="1"/>
  <c r="AC2264" i="1" a="1"/>
  <c r="AC2210" i="1" a="1"/>
  <c r="AC2202" i="1" a="1"/>
  <c r="AC2480" i="1" a="1"/>
  <c r="AC2357" i="1" a="1"/>
  <c r="AC2256" i="1" a="1"/>
  <c r="AC2562" i="1" a="1"/>
  <c r="AC2450" i="1" a="1"/>
  <c r="AC2442" i="1" a="1"/>
  <c r="AC2403" i="1" a="1"/>
  <c r="AC2395" i="1" a="1"/>
  <c r="AC2349" i="1" a="1"/>
  <c r="AC2248" i="1" a="1"/>
  <c r="AC2194" i="1" a="1"/>
  <c r="AC2186" i="1" a="1"/>
  <c r="AC2341" i="1" a="1"/>
  <c r="AC2240" i="1" a="1"/>
  <c r="AC2520" i="1" a="1"/>
  <c r="AC2469" i="1" a="1"/>
  <c r="AC2434" i="1" a="1"/>
  <c r="AC2426" i="1" a="1"/>
  <c r="AC2387" i="1" a="1"/>
  <c r="AC2379" i="1" a="1"/>
  <c r="AC2333" i="1" a="1"/>
  <c r="AC2232" i="1" a="1"/>
  <c r="AC2551" i="1" a="1"/>
  <c r="AC2325" i="1" a="1"/>
  <c r="AC2224" i="1" a="1"/>
  <c r="AC2693" i="1" a="1"/>
  <c r="AC2631" i="1" a="1"/>
  <c r="AC2418" i="1" a="1"/>
  <c r="AC2410" i="1" a="1"/>
  <c r="AC2371" i="1" a="1"/>
  <c r="AC2363" i="1" a="1"/>
  <c r="AC2317" i="1" a="1"/>
  <c r="AC2216" i="1" a="1"/>
  <c r="AC2509" i="1" a="1"/>
  <c r="AC2309" i="1" a="1"/>
  <c r="AC2208" i="1" a="1"/>
  <c r="AC2584" i="1" a="1"/>
  <c r="AC2488" i="1" a="1"/>
  <c r="AC2458" i="1" a="1"/>
  <c r="AC2402" i="1" a="1"/>
  <c r="AC2394" i="1" a="1"/>
  <c r="AC2355" i="1" a="1"/>
  <c r="AC2347" i="1" a="1"/>
  <c r="AC2301" i="1" a="1"/>
  <c r="AC2200" i="1" a="1"/>
  <c r="AC2137" i="1" a="1"/>
  <c r="AC2121" i="1" a="1"/>
  <c r="AC2105" i="1" a="1"/>
  <c r="AC2089" i="1" a="1"/>
  <c r="AC2073" i="1" a="1"/>
  <c r="AC2057" i="1" a="1"/>
  <c r="AC2041" i="1" a="1"/>
  <c r="AC2025" i="1" a="1"/>
  <c r="AC2009" i="1" a="1"/>
  <c r="AC1993" i="1" a="1"/>
  <c r="AC1977" i="1" a="1"/>
  <c r="AC1961" i="1" a="1"/>
  <c r="AC1945" i="1" a="1"/>
  <c r="AC1929" i="1" a="1"/>
  <c r="AC1913" i="1" a="1"/>
  <c r="AC1897" i="1" a="1"/>
  <c r="AC1881" i="1" a="1"/>
  <c r="AC1865" i="1" a="1"/>
  <c r="AC1849" i="1" a="1"/>
  <c r="AC1833" i="1" a="1"/>
  <c r="AC1817" i="1" a="1"/>
  <c r="AC1801" i="1" a="1"/>
  <c r="AC1785" i="1" a="1"/>
  <c r="AC2106" i="1" a="1"/>
  <c r="AC1951" i="1" a="1"/>
  <c r="AC1850" i="1" a="1"/>
  <c r="AC2098" i="1" a="1"/>
  <c r="AC2044" i="1" a="1"/>
  <c r="AC2036" i="1" a="1"/>
  <c r="AC1997" i="1" a="1"/>
  <c r="AC1989" i="1" a="1"/>
  <c r="AC1943" i="1" a="1"/>
  <c r="AC1842" i="1" a="1"/>
  <c r="AC1788" i="1" a="1"/>
  <c r="AC1780" i="1" a="1"/>
  <c r="AC1764" i="1" a="1"/>
  <c r="AC1748" i="1" a="1"/>
  <c r="AC1732" i="1" a="1"/>
  <c r="AC1716" i="1" a="1"/>
  <c r="AC1700" i="1" a="1"/>
  <c r="AC1684" i="1" a="1"/>
  <c r="AC1668" i="1" a="1"/>
  <c r="AC1652" i="1" a="1"/>
  <c r="AC1636" i="1" a="1"/>
  <c r="AC1620" i="1" a="1"/>
  <c r="AC1604" i="1" a="1"/>
  <c r="AC1588" i="1" a="1"/>
  <c r="AC1572" i="1" a="1"/>
  <c r="AC1556" i="1" a="1"/>
  <c r="AC1540" i="1" a="1"/>
  <c r="AC1524" i="1" a="1"/>
  <c r="AC1508" i="1" a="1"/>
  <c r="AC1492" i="1" a="1"/>
  <c r="AC1476" i="1" a="1"/>
  <c r="AC2090" i="1" a="1"/>
  <c r="AC1935" i="1" a="1"/>
  <c r="AC1834" i="1" a="1"/>
  <c r="AC2162" i="1" a="1"/>
  <c r="AC2082" i="1" a="1"/>
  <c r="AC2028" i="1" a="1"/>
  <c r="AC2020" i="1" a="1"/>
  <c r="AC1981" i="1" a="1"/>
  <c r="AC1973" i="1" a="1"/>
  <c r="AC1927" i="1" a="1"/>
  <c r="AC1826" i="1" a="1"/>
  <c r="AC1769" i="1" a="1"/>
  <c r="AC1753" i="1" a="1"/>
  <c r="AC1737" i="1" a="1"/>
  <c r="AC1721" i="1" a="1"/>
  <c r="AC1705" i="1" a="1"/>
  <c r="AC1689" i="1" a="1"/>
  <c r="AC1673" i="1" a="1"/>
  <c r="AC1657" i="1" a="1"/>
  <c r="AC1641" i="1" a="1"/>
  <c r="AC1625" i="1" a="1"/>
  <c r="AC1609" i="1" a="1"/>
  <c r="AC1593" i="1" a="1"/>
  <c r="AC1577" i="1" a="1"/>
  <c r="AC1561" i="1" a="1"/>
  <c r="AC1545" i="1" a="1"/>
  <c r="AC1529" i="1" a="1"/>
  <c r="AC1513" i="1" a="1"/>
  <c r="AC1497" i="1" a="1"/>
  <c r="AC1481" i="1" a="1"/>
  <c r="AC1465" i="1" a="1"/>
  <c r="AC2074" i="1" a="1"/>
  <c r="AC1919" i="1" a="1"/>
  <c r="AC1818" i="1" a="1"/>
  <c r="AC2066" i="1" a="1"/>
  <c r="AC2012" i="1" a="1"/>
  <c r="AC2004" i="1" a="1"/>
  <c r="AC1965" i="1" a="1"/>
  <c r="AC1957" i="1" a="1"/>
  <c r="AC1911" i="1" a="1"/>
  <c r="AC1810" i="1" a="1"/>
  <c r="AC2058" i="1" a="1"/>
  <c r="AC1903" i="1" a="1"/>
  <c r="AC1802" i="1" a="1"/>
  <c r="AC2151" i="1" a="1"/>
  <c r="AC2050" i="1" a="1"/>
  <c r="AC1996" i="1" a="1"/>
  <c r="AC1988" i="1" a="1"/>
  <c r="AC1949" i="1" a="1"/>
  <c r="AC1941" i="1" a="1"/>
  <c r="AC1895" i="1" a="1"/>
  <c r="AC2143" i="1" a="1"/>
  <c r="AC2042" i="1" a="1"/>
  <c r="AC1887" i="1" a="1"/>
  <c r="AC2170" i="1" a="1"/>
  <c r="AC2135" i="1" a="1"/>
  <c r="AC2034" i="1" a="1"/>
  <c r="AC1980" i="1" a="1"/>
  <c r="AC1972" i="1" a="1"/>
  <c r="AC1933" i="1" a="1"/>
  <c r="AC1925" i="1" a="1"/>
  <c r="AC1879" i="1" a="1"/>
  <c r="AC2127" i="1" a="1"/>
  <c r="AC2026" i="1" a="1"/>
  <c r="AC1871" i="1" a="1"/>
  <c r="AC2119" i="1" a="1"/>
  <c r="AC2018" i="1" a="1"/>
  <c r="AC1964" i="1" a="1"/>
  <c r="AC1956" i="1" a="1"/>
  <c r="AC1917" i="1" a="1"/>
  <c r="AC1909" i="1" a="1"/>
  <c r="AC1863" i="1" a="1"/>
  <c r="AC1773" i="1" a="1"/>
  <c r="AC1757" i="1" a="1"/>
  <c r="AC1741" i="1" a="1"/>
  <c r="AC1725" i="1" a="1"/>
  <c r="AC1709" i="1" a="1"/>
  <c r="AC1693" i="1" a="1"/>
  <c r="AC1677" i="1" a="1"/>
  <c r="AC1661" i="1" a="1"/>
  <c r="AC1645" i="1" a="1"/>
  <c r="AC1629" i="1" a="1"/>
  <c r="AC1613" i="1" a="1"/>
  <c r="AC1597" i="1" a="1"/>
  <c r="AC1581" i="1" a="1"/>
  <c r="AC1565" i="1" a="1"/>
  <c r="AC1549" i="1" a="1"/>
  <c r="AC1533" i="1" a="1"/>
  <c r="AC1517" i="1" a="1"/>
  <c r="AC1501" i="1" a="1"/>
  <c r="AC1485" i="1" a="1"/>
  <c r="AC1469" i="1" a="1"/>
  <c r="AC2111" i="1" a="1"/>
  <c r="AC2010" i="1" a="1"/>
  <c r="AC1855" i="1" a="1"/>
  <c r="AC2149" i="1" a="1"/>
  <c r="AC2103" i="1" a="1"/>
  <c r="AC2002" i="1" a="1"/>
  <c r="AC1948" i="1" a="1"/>
  <c r="AC1940" i="1" a="1"/>
  <c r="AC1901" i="1" a="1"/>
  <c r="AC1893" i="1" a="1"/>
  <c r="AC1847" i="1" a="1"/>
  <c r="AC2095" i="1" a="1"/>
  <c r="AC1994" i="1" a="1"/>
  <c r="AC1839" i="1" a="1"/>
  <c r="AC2141" i="1" a="1"/>
  <c r="AC2133" i="1" a="1"/>
  <c r="AC2087" i="1" a="1"/>
  <c r="AC1986" i="1" a="1"/>
  <c r="AC1932" i="1" a="1"/>
  <c r="AC1924" i="1" a="1"/>
  <c r="AC1885" i="1" a="1"/>
  <c r="AC1877" i="1" a="1"/>
  <c r="AC1831" i="1" a="1"/>
  <c r="AC1767" i="1" a="1"/>
  <c r="AC1751" i="1" a="1"/>
  <c r="AC1735" i="1" a="1"/>
  <c r="AC1719" i="1" a="1"/>
  <c r="AC1703" i="1" a="1"/>
  <c r="AC1687" i="1" a="1"/>
  <c r="AC1671" i="1" a="1"/>
  <c r="AC1655" i="1" a="1"/>
  <c r="AC1639" i="1" a="1"/>
  <c r="AC1623" i="1" a="1"/>
  <c r="AC1607" i="1" a="1"/>
  <c r="AC1591" i="1" a="1"/>
  <c r="AC1575" i="1" a="1"/>
  <c r="AC1559" i="1" a="1"/>
  <c r="AC1543" i="1" a="1"/>
  <c r="AC1527" i="1" a="1"/>
  <c r="AC1511" i="1" a="1"/>
  <c r="AC1495" i="1" a="1"/>
  <c r="AC1479" i="1" a="1"/>
  <c r="AC2192" i="1" a="1"/>
  <c r="AC2178" i="1" a="1"/>
  <c r="AC2079" i="1" a="1"/>
  <c r="AC1978" i="1" a="1"/>
  <c r="AC1823" i="1" a="1"/>
  <c r="AC2125" i="1" a="1"/>
  <c r="AC2117" i="1" a="1"/>
  <c r="AC2071" i="1" a="1"/>
  <c r="AC1970" i="1" a="1"/>
  <c r="AC1916" i="1" a="1"/>
  <c r="AC1908" i="1" a="1"/>
  <c r="AC1869" i="1" a="1"/>
  <c r="AC1861" i="1" a="1"/>
  <c r="AC1815" i="1" a="1"/>
  <c r="AC1772" i="1" a="1"/>
  <c r="AC1756" i="1" a="1"/>
  <c r="AC1740" i="1" a="1"/>
  <c r="AC1724" i="1" a="1"/>
  <c r="AC1708" i="1" a="1"/>
  <c r="AC1692" i="1" a="1"/>
  <c r="AC1676" i="1" a="1"/>
  <c r="AC1660" i="1" a="1"/>
  <c r="AC1644" i="1" a="1"/>
  <c r="AC1628" i="1" a="1"/>
  <c r="AC1612" i="1" a="1"/>
  <c r="AC1596" i="1" a="1"/>
  <c r="AC1580" i="1" a="1"/>
  <c r="AC1564" i="1" a="1"/>
  <c r="AC1548" i="1" a="1"/>
  <c r="AC1532" i="1" a="1"/>
  <c r="AC1516" i="1" a="1"/>
  <c r="AC1500" i="1" a="1"/>
  <c r="AC1484" i="1" a="1"/>
  <c r="AC1468" i="1" a="1"/>
  <c r="AC2063" i="1" a="1"/>
  <c r="AC1962" i="1" a="1"/>
  <c r="AC1807" i="1" a="1"/>
  <c r="AC2148" i="1" a="1"/>
  <c r="AC2109" i="1" a="1"/>
  <c r="AC2101" i="1" a="1"/>
  <c r="AC2055" i="1" a="1"/>
  <c r="AC1954" i="1" a="1"/>
  <c r="AC1900" i="1" a="1"/>
  <c r="AC1892" i="1" a="1"/>
  <c r="AC1853" i="1" a="1"/>
  <c r="AC1845" i="1" a="1"/>
  <c r="AC1799" i="1" a="1"/>
  <c r="AC1777" i="1" a="1"/>
  <c r="AC1761" i="1" a="1"/>
  <c r="AC1745" i="1" a="1"/>
  <c r="AC1729" i="1" a="1"/>
  <c r="AC1713" i="1" a="1"/>
  <c r="AC1697" i="1" a="1"/>
  <c r="AC1681" i="1" a="1"/>
  <c r="AC1665" i="1" a="1"/>
  <c r="AC1649" i="1" a="1"/>
  <c r="AC1633" i="1" a="1"/>
  <c r="AC1617" i="1" a="1"/>
  <c r="AC1601" i="1" a="1"/>
  <c r="AC1585" i="1" a="1"/>
  <c r="AC1569" i="1" a="1"/>
  <c r="AC1553" i="1" a="1"/>
  <c r="AC1537" i="1" a="1"/>
  <c r="AC1521" i="1" a="1"/>
  <c r="AC1505" i="1" a="1"/>
  <c r="AC1489" i="1" a="1"/>
  <c r="AC1473" i="1" a="1"/>
  <c r="AC2047" i="1" a="1"/>
  <c r="AC1946" i="1" a="1"/>
  <c r="AC1791" i="1" a="1"/>
  <c r="AC2140" i="1" a="1"/>
  <c r="AC2132" i="1" a="1"/>
  <c r="AC2093" i="1" a="1"/>
  <c r="AC2085" i="1" a="1"/>
  <c r="AC2039" i="1" a="1"/>
  <c r="AC1938" i="1" a="1"/>
  <c r="AC1884" i="1" a="1"/>
  <c r="AC1876" i="1" a="1"/>
  <c r="AC1837" i="1" a="1"/>
  <c r="AC1829" i="1" a="1"/>
  <c r="AC1783" i="1" a="1"/>
  <c r="AC1766" i="1" a="1"/>
  <c r="AC1750" i="1" a="1"/>
  <c r="AC1734" i="1" a="1"/>
  <c r="AC1718" i="1" a="1"/>
  <c r="AC1702" i="1" a="1"/>
  <c r="AC1686" i="1" a="1"/>
  <c r="AC1670" i="1" a="1"/>
  <c r="AC1654" i="1" a="1"/>
  <c r="AC1638" i="1" a="1"/>
  <c r="AC1622" i="1" a="1"/>
  <c r="AC1606" i="1" a="1"/>
  <c r="AC1590" i="1" a="1"/>
  <c r="AC1574" i="1" a="1"/>
  <c r="AC1558" i="1" a="1"/>
  <c r="AC1542" i="1" a="1"/>
  <c r="AC1526" i="1" a="1"/>
  <c r="AC1510" i="1" a="1"/>
  <c r="AC1494" i="1" a="1"/>
  <c r="AC1478" i="1" a="1"/>
  <c r="AC2155" i="1" a="1"/>
  <c r="AC2031" i="1" a="1"/>
  <c r="AC1930" i="1" a="1"/>
  <c r="AC2124" i="1" a="1"/>
  <c r="AC2116" i="1" a="1"/>
  <c r="AC2077" i="1" a="1"/>
  <c r="AC2069" i="1" a="1"/>
  <c r="AC2023" i="1" a="1"/>
  <c r="AC1922" i="1" a="1"/>
  <c r="AC1868" i="1" a="1"/>
  <c r="AC1860" i="1" a="1"/>
  <c r="AC1821" i="1" a="1"/>
  <c r="AC1813" i="1" a="1"/>
  <c r="AC2015" i="1" a="1"/>
  <c r="AC1914" i="1" a="1"/>
  <c r="AC2108" i="1" a="1"/>
  <c r="AC2100" i="1" a="1"/>
  <c r="AC2061" i="1" a="1"/>
  <c r="AC2053" i="1" a="1"/>
  <c r="AC2007" i="1" a="1"/>
  <c r="AC1906" i="1" a="1"/>
  <c r="AC1852" i="1" a="1"/>
  <c r="AC1844" i="1" a="1"/>
  <c r="AC1805" i="1" a="1"/>
  <c r="AC1999" i="1" a="1"/>
  <c r="AC1898" i="1" a="1"/>
  <c r="AC2146" i="1" a="1"/>
  <c r="AC2092" i="1" a="1"/>
  <c r="AC2084" i="1" a="1"/>
  <c r="AC2045" i="1" a="1"/>
  <c r="AC2037" i="1" a="1"/>
  <c r="AC1991" i="1" a="1"/>
  <c r="AC1890" i="1" a="1"/>
  <c r="AC1836" i="1" a="1"/>
  <c r="AC1828" i="1" a="1"/>
  <c r="AC2154" i="1" a="1"/>
  <c r="AC2138" i="1" a="1"/>
  <c r="AC1983" i="1" a="1"/>
  <c r="AC1882" i="1" a="1"/>
  <c r="AC2163" i="1" a="1"/>
  <c r="AC2130" i="1" a="1"/>
  <c r="AC2076" i="1" a="1"/>
  <c r="AC2068" i="1" a="1"/>
  <c r="AC2029" i="1" a="1"/>
  <c r="AC2021" i="1" a="1"/>
  <c r="AC1975" i="1" a="1"/>
  <c r="AC1874" i="1" a="1"/>
  <c r="AC1820" i="1" a="1"/>
  <c r="AC1812" i="1" a="1"/>
  <c r="AC2122" i="1" a="1"/>
  <c r="AC1967" i="1" a="1"/>
  <c r="AC1866" i="1" a="1"/>
  <c r="AC1775" i="1" a="1"/>
  <c r="AC1736" i="1" a="1"/>
  <c r="AC1674" i="1" a="1"/>
  <c r="AC1635" i="1" a="1"/>
  <c r="AC1627" i="1" a="1"/>
  <c r="AC1573" i="1" a="1"/>
  <c r="AC1519" i="1" a="1"/>
  <c r="AC1480" i="1" a="1"/>
  <c r="AC1459" i="1" a="1"/>
  <c r="AC1443" i="1" a="1"/>
  <c r="AC1427" i="1" a="1"/>
  <c r="AC1411" i="1" a="1"/>
  <c r="AC1395" i="1" a="1"/>
  <c r="AC1379" i="1" a="1"/>
  <c r="AC1363" i="1" a="1"/>
  <c r="AC1347" i="1" a="1"/>
  <c r="AC1331" i="1" a="1"/>
  <c r="AC1315" i="1" a="1"/>
  <c r="AC1299" i="1" a="1"/>
  <c r="AC1283" i="1" a="1"/>
  <c r="AC1267" i="1" a="1"/>
  <c r="AC1251" i="1" a="1"/>
  <c r="AC1235" i="1" a="1"/>
  <c r="AC1219" i="1" a="1"/>
  <c r="AC1203" i="1" a="1"/>
  <c r="AC1187" i="1" a="1"/>
  <c r="AC1171" i="1" a="1"/>
  <c r="AC1155" i="1" a="1"/>
  <c r="AC1139" i="1" a="1"/>
  <c r="AC1123" i="1" a="1"/>
  <c r="AC1107" i="1" a="1"/>
  <c r="AC1091" i="1" a="1"/>
  <c r="AC2114" i="1" a="1"/>
  <c r="AC2052" i="1" a="1"/>
  <c r="AC1959" i="1" a="1"/>
  <c r="AC1804" i="1" a="1"/>
  <c r="AC1728" i="1" a="1"/>
  <c r="AC1666" i="1" a="1"/>
  <c r="AC1534" i="1" a="1"/>
  <c r="AC1472" i="1" a="1"/>
  <c r="AC1759" i="1" a="1"/>
  <c r="AC1720" i="1" a="1"/>
  <c r="AC1658" i="1" a="1"/>
  <c r="AC1619" i="1" a="1"/>
  <c r="AC1611" i="1" a="1"/>
  <c r="AC1557" i="1" a="1"/>
  <c r="AC1503" i="1" a="1"/>
  <c r="AC1464" i="1" a="1"/>
  <c r="AC1448" i="1" a="1"/>
  <c r="AC1432" i="1" a="1"/>
  <c r="AC1416" i="1" a="1"/>
  <c r="AC1400" i="1" a="1"/>
  <c r="AC1384" i="1" a="1"/>
  <c r="AC1368" i="1" a="1"/>
  <c r="AC1352" i="1" a="1"/>
  <c r="AC1336" i="1" a="1"/>
  <c r="AC1320" i="1" a="1"/>
  <c r="AC1304" i="1" a="1"/>
  <c r="AC1288" i="1" a="1"/>
  <c r="AC1272" i="1" a="1"/>
  <c r="AC1256" i="1" a="1"/>
  <c r="AC1240" i="1" a="1"/>
  <c r="AC1224" i="1" a="1"/>
  <c r="AC1208" i="1" a="1"/>
  <c r="AC1192" i="1" a="1"/>
  <c r="AC1176" i="1" a="1"/>
  <c r="AC1160" i="1" a="1"/>
  <c r="AC1144" i="1" a="1"/>
  <c r="AC1128" i="1" a="1"/>
  <c r="AC1112" i="1" a="1"/>
  <c r="AC1096" i="1" a="1"/>
  <c r="AC2005" i="1" a="1"/>
  <c r="AC1774" i="1" a="1"/>
  <c r="AC1712" i="1" a="1"/>
  <c r="AC1650" i="1" a="1"/>
  <c r="AC1518" i="1" a="1"/>
  <c r="AC1743" i="1" a="1"/>
  <c r="AC1704" i="1" a="1"/>
  <c r="AC1642" i="1" a="1"/>
  <c r="AC1603" i="1" a="1"/>
  <c r="AC1595" i="1" a="1"/>
  <c r="AC1541" i="1" a="1"/>
  <c r="AC1487" i="1" a="1"/>
  <c r="AC1453" i="1" a="1"/>
  <c r="AC1437" i="1" a="1"/>
  <c r="AC1421" i="1" a="1"/>
  <c r="AC1405" i="1" a="1"/>
  <c r="AC1389" i="1" a="1"/>
  <c r="AC1373" i="1" a="1"/>
  <c r="AC1357" i="1" a="1"/>
  <c r="AC1341" i="1" a="1"/>
  <c r="AC1325" i="1" a="1"/>
  <c r="AC1309" i="1" a="1"/>
  <c r="AC1293" i="1" a="1"/>
  <c r="AC1277" i="1" a="1"/>
  <c r="AC1261" i="1" a="1"/>
  <c r="AC1245" i="1" a="1"/>
  <c r="AC1229" i="1" a="1"/>
  <c r="AC1213" i="1" a="1"/>
  <c r="AC1197" i="1" a="1"/>
  <c r="AC1181" i="1" a="1"/>
  <c r="AC1165" i="1" a="1"/>
  <c r="AC1149" i="1" a="1"/>
  <c r="AC1133" i="1" a="1"/>
  <c r="AC1117" i="1" a="1"/>
  <c r="AC1101" i="1" a="1"/>
  <c r="AC1085" i="1" a="1"/>
  <c r="AC1758" i="1" a="1"/>
  <c r="AC1696" i="1" a="1"/>
  <c r="AC1634" i="1" a="1"/>
  <c r="AC1502" i="1" a="1"/>
  <c r="AC1781" i="1" a="1"/>
  <c r="AC1727" i="1" a="1"/>
  <c r="AC1742" i="1" a="1"/>
  <c r="AC1765" i="1" a="1"/>
  <c r="AC1726" i="1" a="1"/>
  <c r="AC1749" i="1" a="1"/>
  <c r="AC1733" i="1" a="1"/>
  <c r="AC1694" i="1" a="1"/>
  <c r="AC1632" i="1" a="1"/>
  <c r="AC1570" i="1" a="1"/>
  <c r="AC1789" i="1" a="1"/>
  <c r="AC1779" i="1" a="1"/>
  <c r="AC1771" i="1" a="1"/>
  <c r="AC1717" i="1" a="1"/>
  <c r="AC1663" i="1" a="1"/>
  <c r="AC1624" i="1" a="1"/>
  <c r="AC1562" i="1" a="1"/>
  <c r="AC1523" i="1" a="1"/>
  <c r="AC1515" i="1" a="1"/>
  <c r="AC1462" i="1" a="1"/>
  <c r="AC1446" i="1" a="1"/>
  <c r="AC1430" i="1" a="1"/>
  <c r="AC1414" i="1" a="1"/>
  <c r="AC1398" i="1" a="1"/>
  <c r="AC1382" i="1" a="1"/>
  <c r="AC1366" i="1" a="1"/>
  <c r="AC1350" i="1" a="1"/>
  <c r="AC1334" i="1" a="1"/>
  <c r="AC1318" i="1" a="1"/>
  <c r="AC1302" i="1" a="1"/>
  <c r="AC1286" i="1" a="1"/>
  <c r="AC1270" i="1" a="1"/>
  <c r="AC1254" i="1" a="1"/>
  <c r="AC1238" i="1" a="1"/>
  <c r="AC1222" i="1" a="1"/>
  <c r="AC1206" i="1" a="1"/>
  <c r="AC1190" i="1" a="1"/>
  <c r="AC1174" i="1" a="1"/>
  <c r="AC1158" i="1" a="1"/>
  <c r="AC1142" i="1" a="1"/>
  <c r="AC1126" i="1" a="1"/>
  <c r="AC1110" i="1" a="1"/>
  <c r="AC1094" i="1" a="1"/>
  <c r="AC1678" i="1" a="1"/>
  <c r="AC1616" i="1" a="1"/>
  <c r="AC1554" i="1" a="1"/>
  <c r="AC2060" i="1" a="1"/>
  <c r="AC1763" i="1" a="1"/>
  <c r="AC1755" i="1" a="1"/>
  <c r="AC1701" i="1" a="1"/>
  <c r="AC1647" i="1" a="1"/>
  <c r="AC1608" i="1" a="1"/>
  <c r="AC1546" i="1" a="1"/>
  <c r="AC1507" i="1" a="1"/>
  <c r="AC1499" i="1" a="1"/>
  <c r="AC1451" i="1" a="1"/>
  <c r="AC1435" i="1" a="1"/>
  <c r="AC1419" i="1" a="1"/>
  <c r="AC1403" i="1" a="1"/>
  <c r="AC1387" i="1" a="1"/>
  <c r="AC1371" i="1" a="1"/>
  <c r="AC1355" i="1" a="1"/>
  <c r="AC1339" i="1" a="1"/>
  <c r="AC1323" i="1" a="1"/>
  <c r="AC1307" i="1" a="1"/>
  <c r="AC1291" i="1" a="1"/>
  <c r="AC1275" i="1" a="1"/>
  <c r="AC1259" i="1" a="1"/>
  <c r="AC1243" i="1" a="1"/>
  <c r="AC1227" i="1" a="1"/>
  <c r="AC1211" i="1" a="1"/>
  <c r="AC1195" i="1" a="1"/>
  <c r="AC1179" i="1" a="1"/>
  <c r="AC1163" i="1" a="1"/>
  <c r="AC1147" i="1" a="1"/>
  <c r="AC1131" i="1" a="1"/>
  <c r="AC1115" i="1" a="1"/>
  <c r="AC1099" i="1" a="1"/>
  <c r="AC1083" i="1" a="1"/>
  <c r="AC1662" i="1" a="1"/>
  <c r="AC1600" i="1" a="1"/>
  <c r="AC1538" i="1" a="1"/>
  <c r="AC2013" i="1" a="1"/>
  <c r="AC1858" i="1" a="1"/>
  <c r="AC1747" i="1" a="1"/>
  <c r="AC1739" i="1" a="1"/>
  <c r="AC1685" i="1" a="1"/>
  <c r="AC1631" i="1" a="1"/>
  <c r="AC1592" i="1" a="1"/>
  <c r="AC1530" i="1" a="1"/>
  <c r="AC1491" i="1" a="1"/>
  <c r="AC1483" i="1" a="1"/>
  <c r="AC1456" i="1" a="1"/>
  <c r="AC1440" i="1" a="1"/>
  <c r="AC1424" i="1" a="1"/>
  <c r="AC1408" i="1" a="1"/>
  <c r="AC1392" i="1" a="1"/>
  <c r="AC1376" i="1" a="1"/>
  <c r="AC1360" i="1" a="1"/>
  <c r="AC1344" i="1" a="1"/>
  <c r="AC1328" i="1" a="1"/>
  <c r="AC1312" i="1" a="1"/>
  <c r="AC1296" i="1" a="1"/>
  <c r="AC1280" i="1" a="1"/>
  <c r="AC1264" i="1" a="1"/>
  <c r="AC1248" i="1" a="1"/>
  <c r="AC1232" i="1" a="1"/>
  <c r="AC1216" i="1" a="1"/>
  <c r="AC1200" i="1" a="1"/>
  <c r="AC1184" i="1" a="1"/>
  <c r="AC1168" i="1" a="1"/>
  <c r="AC1152" i="1" a="1"/>
  <c r="AC1136" i="1" a="1"/>
  <c r="AC1120" i="1" a="1"/>
  <c r="AC1104" i="1" a="1"/>
  <c r="AC1088" i="1" a="1"/>
  <c r="AC1797" i="1" a="1"/>
  <c r="AC1778" i="1" a="1"/>
  <c r="AC1646" i="1" a="1"/>
  <c r="AC1584" i="1" a="1"/>
  <c r="AC1522" i="1" a="1"/>
  <c r="AC1770" i="1" a="1"/>
  <c r="AC1731" i="1" a="1"/>
  <c r="AC1723" i="1" a="1"/>
  <c r="AC1669" i="1" a="1"/>
  <c r="AC1615" i="1" a="1"/>
  <c r="AC1576" i="1" a="1"/>
  <c r="AC1514" i="1" a="1"/>
  <c r="AC1475" i="1" a="1"/>
  <c r="AC1467" i="1" a="1"/>
  <c r="AC1461" i="1" a="1"/>
  <c r="AC1445" i="1" a="1"/>
  <c r="AC1429" i="1" a="1"/>
  <c r="AC1413" i="1" a="1"/>
  <c r="AC1397" i="1" a="1"/>
  <c r="AC1381" i="1" a="1"/>
  <c r="AC1365" i="1" a="1"/>
  <c r="AC1349" i="1" a="1"/>
  <c r="AC1333" i="1" a="1"/>
  <c r="AC1317" i="1" a="1"/>
  <c r="AC1301" i="1" a="1"/>
  <c r="AC1285" i="1" a="1"/>
  <c r="AC1269" i="1" a="1"/>
  <c r="AC1253" i="1" a="1"/>
  <c r="AC1237" i="1" a="1"/>
  <c r="AC1221" i="1" a="1"/>
  <c r="AC1205" i="1" a="1"/>
  <c r="AC1189" i="1" a="1"/>
  <c r="AC1173" i="1" a="1"/>
  <c r="AC1157" i="1" a="1"/>
  <c r="AC1141" i="1" a="1"/>
  <c r="AC1125" i="1" a="1"/>
  <c r="AC1109" i="1" a="1"/>
  <c r="AC1093" i="1" a="1"/>
  <c r="AC2293" i="1" a="1"/>
  <c r="AC1762" i="1" a="1"/>
  <c r="AC1754" i="1" a="1"/>
  <c r="AC1746" i="1" a="1"/>
  <c r="AC1614" i="1" a="1"/>
  <c r="AC1552" i="1" a="1"/>
  <c r="AC1490" i="1" a="1"/>
  <c r="AC1796" i="1" a="1"/>
  <c r="AC1786" i="1" a="1"/>
  <c r="AC1738" i="1" a="1"/>
  <c r="AC1730" i="1" a="1"/>
  <c r="AC1722" i="1" a="1"/>
  <c r="AC1776" i="1" a="1"/>
  <c r="AC2448" i="1" a="1"/>
  <c r="AC1768" i="1" a="1"/>
  <c r="AC1760" i="1" a="1"/>
  <c r="AC1752" i="1" a="1"/>
  <c r="AC1690" i="1" a="1"/>
  <c r="AC1651" i="1" a="1"/>
  <c r="AC1643" i="1" a="1"/>
  <c r="AC1589" i="1" a="1"/>
  <c r="AC1535" i="1" a="1"/>
  <c r="AC1496" i="1" a="1"/>
  <c r="AC1454" i="1" a="1"/>
  <c r="AC1438" i="1" a="1"/>
  <c r="AC1422" i="1" a="1"/>
  <c r="AC1406" i="1" a="1"/>
  <c r="AC1390" i="1" a="1"/>
  <c r="AC1374" i="1" a="1"/>
  <c r="AC1358" i="1" a="1"/>
  <c r="AC1342" i="1" a="1"/>
  <c r="AC1326" i="1" a="1"/>
  <c r="AC1310" i="1" a="1"/>
  <c r="AC1294" i="1" a="1"/>
  <c r="AC1278" i="1" a="1"/>
  <c r="AC1262" i="1" a="1"/>
  <c r="AC1246" i="1" a="1"/>
  <c r="AC1230" i="1" a="1"/>
  <c r="AC1214" i="1" a="1"/>
  <c r="AC1198" i="1" a="1"/>
  <c r="AC1182" i="1" a="1"/>
  <c r="AC1166" i="1" a="1"/>
  <c r="AC1150" i="1" a="1"/>
  <c r="AC1134" i="1" a="1"/>
  <c r="AC1118" i="1" a="1"/>
  <c r="AC1102" i="1" a="1"/>
  <c r="AC1086" i="1" a="1"/>
  <c r="AC1706" i="1" a="1"/>
  <c r="AC1695" i="1" a="1"/>
  <c r="AC1528" i="1" a="1"/>
  <c r="AC1486" i="1" a="1"/>
  <c r="AC1715" i="1" a="1"/>
  <c r="AC1664" i="1" a="1"/>
  <c r="AC1579" i="1" a="1"/>
  <c r="AC1070" i="1" a="1"/>
  <c r="AC1054" i="1" a="1"/>
  <c r="AC1038" i="1" a="1"/>
  <c r="AC1022" i="1" a="1"/>
  <c r="AC1006" i="1" a="1"/>
  <c r="AC990" i="1" a="1"/>
  <c r="AC974" i="1" a="1"/>
  <c r="AC958" i="1" a="1"/>
  <c r="AC942" i="1" a="1"/>
  <c r="AC926" i="1" a="1"/>
  <c r="AC910" i="1" a="1"/>
  <c r="AC1506" i="1" a="1"/>
  <c r="AC1683" i="1" a="1"/>
  <c r="AC1653" i="1" a="1"/>
  <c r="AC1075" i="1" a="1"/>
  <c r="AC1059" i="1" a="1"/>
  <c r="AC1043" i="1" a="1"/>
  <c r="AC1027" i="1" a="1"/>
  <c r="AC1011" i="1" a="1"/>
  <c r="AC995" i="1" a="1"/>
  <c r="AC979" i="1" a="1"/>
  <c r="AC963" i="1" a="1"/>
  <c r="AC947" i="1" a="1"/>
  <c r="AC931" i="1" a="1"/>
  <c r="AC915" i="1" a="1"/>
  <c r="AC1621" i="1" a="1"/>
  <c r="AC1610" i="1" a="1"/>
  <c r="AC1599" i="1" a="1"/>
  <c r="AC1568" i="1" a="1"/>
  <c r="AC1080" i="1" a="1"/>
  <c r="AC1064" i="1" a="1"/>
  <c r="AC1048" i="1" a="1"/>
  <c r="AC1032" i="1" a="1"/>
  <c r="AC1016" i="1" a="1"/>
  <c r="AC1000" i="1" a="1"/>
  <c r="AC984" i="1" a="1"/>
  <c r="AC968" i="1" a="1"/>
  <c r="AC952" i="1" a="1"/>
  <c r="AC936" i="1" a="1"/>
  <c r="AC920" i="1" a="1"/>
  <c r="AC1714" i="1" a="1"/>
  <c r="AC1547" i="1" a="1"/>
  <c r="AC1474" i="1" a="1"/>
  <c r="AC1455" i="1" a="1"/>
  <c r="AC1439" i="1" a="1"/>
  <c r="AC1423" i="1" a="1"/>
  <c r="AC1407" i="1" a="1"/>
  <c r="AC1391" i="1" a="1"/>
  <c r="AC1375" i="1" a="1"/>
  <c r="AC1359" i="1" a="1"/>
  <c r="AC1343" i="1" a="1"/>
  <c r="AC1327" i="1" a="1"/>
  <c r="AC1311" i="1" a="1"/>
  <c r="AC1295" i="1" a="1"/>
  <c r="AC1279" i="1" a="1"/>
  <c r="AC1263" i="1" a="1"/>
  <c r="AC1247" i="1" a="1"/>
  <c r="AC1231" i="1" a="1"/>
  <c r="AC1215" i="1" a="1"/>
  <c r="AC1199" i="1" a="1"/>
  <c r="AC1183" i="1" a="1"/>
  <c r="AC1167" i="1" a="1"/>
  <c r="AC1151" i="1" a="1"/>
  <c r="AC1135" i="1" a="1"/>
  <c r="AC1119" i="1" a="1"/>
  <c r="AC1103" i="1" a="1"/>
  <c r="AC1087" i="1" a="1"/>
  <c r="AC1682" i="1" a="1"/>
  <c r="AC1672" i="1" a="1"/>
  <c r="AC1598" i="1" a="1"/>
  <c r="AC1578" i="1" a="1"/>
  <c r="AC1463" i="1" a="1"/>
  <c r="AC1447" i="1" a="1"/>
  <c r="AC1431" i="1" a="1"/>
  <c r="AC1415" i="1" a="1"/>
  <c r="AC1399" i="1" a="1"/>
  <c r="AC1383" i="1" a="1"/>
  <c r="AC1367" i="1" a="1"/>
  <c r="AC1630" i="1" a="1"/>
  <c r="AC1536" i="1" a="1"/>
  <c r="AC1525" i="1" a="1"/>
  <c r="AC1691" i="1" a="1"/>
  <c r="AC1587" i="1" a="1"/>
  <c r="AC1567" i="1" a="1"/>
  <c r="AC1504" i="1" a="1"/>
  <c r="AC1640" i="1" a="1"/>
  <c r="AC1566" i="1" a="1"/>
  <c r="AC1493" i="1" a="1"/>
  <c r="AC1680" i="1" a="1"/>
  <c r="AC1618" i="1" a="1"/>
  <c r="AC1586" i="1" a="1"/>
  <c r="AC1555" i="1" a="1"/>
  <c r="AC1482" i="1" a="1"/>
  <c r="AC1471" i="1" a="1"/>
  <c r="AC1711" i="1" a="1"/>
  <c r="AC1544" i="1" a="1"/>
  <c r="AC1073" i="1" a="1"/>
  <c r="AC1057" i="1" a="1"/>
  <c r="AC1041" i="1" a="1"/>
  <c r="AC1025" i="1" a="1"/>
  <c r="AC1009" i="1" a="1"/>
  <c r="AC993" i="1" a="1"/>
  <c r="AC977" i="1" a="1"/>
  <c r="AC961" i="1" a="1"/>
  <c r="AC945" i="1" a="1"/>
  <c r="AC929" i="1" a="1"/>
  <c r="AC913" i="1" a="1"/>
  <c r="AC1659" i="1" a="1"/>
  <c r="AC1512" i="1" a="1"/>
  <c r="AC1470" i="1" a="1"/>
  <c r="AC1078" i="1" a="1"/>
  <c r="AC1062" i="1" a="1"/>
  <c r="AC1046" i="1" a="1"/>
  <c r="AC1030" i="1" a="1"/>
  <c r="AC1014" i="1" a="1"/>
  <c r="AC998" i="1" a="1"/>
  <c r="AC982" i="1" a="1"/>
  <c r="AC966" i="1" a="1"/>
  <c r="AC950" i="1" a="1"/>
  <c r="AC934" i="1" a="1"/>
  <c r="AC918" i="1" a="1"/>
  <c r="AC1710" i="1" a="1"/>
  <c r="AC1699" i="1" a="1"/>
  <c r="AC1679" i="1" a="1"/>
  <c r="AC1605" i="1" a="1"/>
  <c r="AC1460" i="1" a="1"/>
  <c r="AC1444" i="1" a="1"/>
  <c r="AC1428" i="1" a="1"/>
  <c r="AC1412" i="1" a="1"/>
  <c r="AC1396" i="1" a="1"/>
  <c r="AC1380" i="1" a="1"/>
  <c r="AC1364" i="1" a="1"/>
  <c r="AC1348" i="1" a="1"/>
  <c r="AC1332" i="1" a="1"/>
  <c r="AC1316" i="1" a="1"/>
  <c r="AC1300" i="1" a="1"/>
  <c r="AC1284" i="1" a="1"/>
  <c r="AC1268" i="1" a="1"/>
  <c r="AC1252" i="1" a="1"/>
  <c r="AC1236" i="1" a="1"/>
  <c r="AC1220" i="1" a="1"/>
  <c r="AC1204" i="1" a="1"/>
  <c r="AC1188" i="1" a="1"/>
  <c r="AC1172" i="1" a="1"/>
  <c r="AC1156" i="1" a="1"/>
  <c r="AC1140" i="1" a="1"/>
  <c r="AC1124" i="1" a="1"/>
  <c r="AC1108" i="1" a="1"/>
  <c r="AC1092" i="1" a="1"/>
  <c r="AC1688" i="1" a="1"/>
  <c r="AC1452" i="1" a="1"/>
  <c r="AC1436" i="1" a="1"/>
  <c r="AC1420" i="1" a="1"/>
  <c r="AC1404" i="1" a="1"/>
  <c r="AC1388" i="1" a="1"/>
  <c r="AC1372" i="1" a="1"/>
  <c r="AC1356" i="1" a="1"/>
  <c r="AC1340" i="1" a="1"/>
  <c r="AC1324" i="1" a="1"/>
  <c r="AC1308" i="1" a="1"/>
  <c r="AC1292" i="1" a="1"/>
  <c r="AC1276" i="1" a="1"/>
  <c r="AC1260" i="1" a="1"/>
  <c r="AC1244" i="1" a="1"/>
  <c r="AC1228" i="1" a="1"/>
  <c r="AC1212" i="1" a="1"/>
  <c r="AC1196" i="1" a="1"/>
  <c r="AC1180" i="1" a="1"/>
  <c r="AC1164" i="1" a="1"/>
  <c r="AC1148" i="1" a="1"/>
  <c r="AC1132" i="1" a="1"/>
  <c r="AC1116" i="1" a="1"/>
  <c r="AC1100" i="1" a="1"/>
  <c r="AC1084" i="1" a="1"/>
  <c r="AC1067" i="1" a="1"/>
  <c r="AC1051" i="1" a="1"/>
  <c r="AC1035" i="1" a="1"/>
  <c r="AC1019" i="1" a="1"/>
  <c r="AC1003" i="1" a="1"/>
  <c r="AC987" i="1" a="1"/>
  <c r="AC971" i="1" a="1"/>
  <c r="AC955" i="1" a="1"/>
  <c r="AC939" i="1" a="1"/>
  <c r="AC923" i="1" a="1"/>
  <c r="AC907" i="1" a="1"/>
  <c r="AC1648" i="1" a="1"/>
  <c r="AC1637" i="1" a="1"/>
  <c r="AC1563" i="1" a="1"/>
  <c r="AC1626" i="1" a="1"/>
  <c r="AC1594" i="1" a="1"/>
  <c r="AC1072" i="1" a="1"/>
  <c r="AC1056" i="1" a="1"/>
  <c r="AC1040" i="1" a="1"/>
  <c r="AC1024" i="1" a="1"/>
  <c r="AC1008" i="1" a="1"/>
  <c r="AC992" i="1" a="1"/>
  <c r="AC976" i="1" a="1"/>
  <c r="AC960" i="1" a="1"/>
  <c r="AC944" i="1" a="1"/>
  <c r="AC928" i="1" a="1"/>
  <c r="AC912" i="1" a="1"/>
  <c r="AC1667" i="1" a="1"/>
  <c r="AC1583" i="1" a="1"/>
  <c r="AC1698" i="1" a="1"/>
  <c r="AC1531" i="1" a="1"/>
  <c r="AC1794" i="1" a="1"/>
  <c r="AC1520" i="1" a="1"/>
  <c r="AC1582" i="1" a="1"/>
  <c r="AC1458" i="1" a="1"/>
  <c r="AC1450" i="1" a="1"/>
  <c r="AC1442" i="1" a="1"/>
  <c r="AC1434" i="1" a="1"/>
  <c r="AC1426" i="1" a="1"/>
  <c r="AC1418" i="1" a="1"/>
  <c r="AC1410" i="1" a="1"/>
  <c r="AC1402" i="1" a="1"/>
  <c r="AC1394" i="1" a="1"/>
  <c r="AC1386" i="1" a="1"/>
  <c r="AC1378" i="1" a="1"/>
  <c r="AC1370" i="1" a="1"/>
  <c r="AC1362" i="1" a="1"/>
  <c r="AC1354" i="1" a="1"/>
  <c r="AC1707" i="1" a="1"/>
  <c r="AC1509" i="1" a="1"/>
  <c r="AC1656" i="1" a="1"/>
  <c r="AC1571" i="1" a="1"/>
  <c r="AC1551" i="1" a="1"/>
  <c r="AC1498" i="1" a="1"/>
  <c r="AC1488" i="1" a="1"/>
  <c r="AC1675" i="1" a="1"/>
  <c r="AC1602" i="1" a="1"/>
  <c r="AC1466" i="1" a="1"/>
  <c r="AC1560" i="1" a="1"/>
  <c r="AC1550" i="1" a="1"/>
  <c r="AC1477" i="1" a="1"/>
  <c r="AC1353" i="1" a="1"/>
  <c r="AC1321" i="1" a="1"/>
  <c r="AC1289" i="1" a="1"/>
  <c r="AC1257" i="1" a="1"/>
  <c r="AC1225" i="1" a="1"/>
  <c r="AC1193" i="1" a="1"/>
  <c r="AC1161" i="1" a="1"/>
  <c r="AC1129" i="1" a="1"/>
  <c r="AC1097" i="1" a="1"/>
  <c r="AC897" i="1" a="1"/>
  <c r="AC881" i="1" a="1"/>
  <c r="AC865" i="1" a="1"/>
  <c r="AC849" i="1" a="1"/>
  <c r="AC833" i="1" a="1"/>
  <c r="AC817" i="1" a="1"/>
  <c r="AC801" i="1" a="1"/>
  <c r="AC785" i="1" a="1"/>
  <c r="AC769" i="1" a="1"/>
  <c r="AC753" i="1" a="1"/>
  <c r="AC737" i="1" a="1"/>
  <c r="AC721" i="1" a="1"/>
  <c r="AC705" i="1" a="1"/>
  <c r="AC689" i="1" a="1"/>
  <c r="AC673" i="1" a="1"/>
  <c r="AC657" i="1" a="1"/>
  <c r="AC641" i="1" a="1"/>
  <c r="AC625" i="1" a="1"/>
  <c r="AC1457" i="1" a="1"/>
  <c r="AC1330" i="1" a="1"/>
  <c r="AC1298" i="1" a="1"/>
  <c r="AC1266" i="1" a="1"/>
  <c r="AC1234" i="1" a="1"/>
  <c r="AC1202" i="1" a="1"/>
  <c r="AC1170" i="1" a="1"/>
  <c r="AC1138" i="1" a="1"/>
  <c r="AC1106" i="1" a="1"/>
  <c r="AC1068" i="1" a="1"/>
  <c r="AC1052" i="1" a="1"/>
  <c r="AC1036" i="1" a="1"/>
  <c r="AC1020" i="1" a="1"/>
  <c r="AC1004" i="1" a="1"/>
  <c r="AC988" i="1" a="1"/>
  <c r="AC972" i="1" a="1"/>
  <c r="AC956" i="1" a="1"/>
  <c r="AC940" i="1" a="1"/>
  <c r="AC924" i="1" a="1"/>
  <c r="AC908" i="1" a="1"/>
  <c r="AC902" i="1" a="1"/>
  <c r="AC886" i="1" a="1"/>
  <c r="AC870" i="1" a="1"/>
  <c r="AC854" i="1" a="1"/>
  <c r="AC838" i="1" a="1"/>
  <c r="AC822" i="1" a="1"/>
  <c r="AC806" i="1" a="1"/>
  <c r="AC790" i="1" a="1"/>
  <c r="AC774" i="1" a="1"/>
  <c r="AC758" i="1" a="1"/>
  <c r="AC742" i="1" a="1"/>
  <c r="AC726" i="1" a="1"/>
  <c r="AC710" i="1" a="1"/>
  <c r="AC694" i="1" a="1"/>
  <c r="AC678" i="1" a="1"/>
  <c r="AC662" i="1" a="1"/>
  <c r="AC646" i="1" a="1"/>
  <c r="AC630" i="1" a="1"/>
  <c r="AC1076" i="1" a="1"/>
  <c r="AC1060" i="1" a="1"/>
  <c r="AC1044" i="1" a="1"/>
  <c r="AC1028" i="1" a="1"/>
  <c r="AC1012" i="1" a="1"/>
  <c r="AC996" i="1" a="1"/>
  <c r="AC980" i="1" a="1"/>
  <c r="AC964" i="1" a="1"/>
  <c r="AC948" i="1" a="1"/>
  <c r="AC932" i="1" a="1"/>
  <c r="AC916" i="1" a="1"/>
  <c r="AC1441" i="1" a="1"/>
  <c r="AC1351" i="1" a="1"/>
  <c r="AC1319" i="1" a="1"/>
  <c r="AC1287" i="1" a="1"/>
  <c r="AC1255" i="1" a="1"/>
  <c r="AC1223" i="1" a="1"/>
  <c r="AC1191" i="1" a="1"/>
  <c r="AC1159" i="1" a="1"/>
  <c r="AC1127" i="1" a="1"/>
  <c r="AC1095" i="1" a="1"/>
  <c r="AC891" i="1" a="1"/>
  <c r="AC875" i="1" a="1"/>
  <c r="AC859" i="1" a="1"/>
  <c r="AC843" i="1" a="1"/>
  <c r="AC827" i="1" a="1"/>
  <c r="AC811" i="1" a="1"/>
  <c r="AC795" i="1" a="1"/>
  <c r="AC779" i="1" a="1"/>
  <c r="AC763" i="1" a="1"/>
  <c r="AC747" i="1" a="1"/>
  <c r="AC731" i="1" a="1"/>
  <c r="AC715" i="1" a="1"/>
  <c r="AC699" i="1" a="1"/>
  <c r="AC683" i="1" a="1"/>
  <c r="AC667" i="1" a="1"/>
  <c r="AC651" i="1" a="1"/>
  <c r="AC635" i="1" a="1"/>
  <c r="AC1425" i="1" a="1"/>
  <c r="AC1329" i="1" a="1"/>
  <c r="AC1297" i="1" a="1"/>
  <c r="AC1265" i="1" a="1"/>
  <c r="AC1233" i="1" a="1"/>
  <c r="AC1201" i="1" a="1"/>
  <c r="AC1169" i="1" a="1"/>
  <c r="AC1137" i="1" a="1"/>
  <c r="AC1105" i="1" a="1"/>
  <c r="AC1409" i="1" a="1"/>
  <c r="AC1393" i="1" a="1"/>
  <c r="AC1338" i="1" a="1"/>
  <c r="AC1306" i="1" a="1"/>
  <c r="AC1274" i="1" a="1"/>
  <c r="AC1242" i="1" a="1"/>
  <c r="AC1210" i="1" a="1"/>
  <c r="AC1178" i="1" a="1"/>
  <c r="AC1146" i="1" a="1"/>
  <c r="AC1114" i="1" a="1"/>
  <c r="AC1082" i="1" a="1"/>
  <c r="AC1074" i="1" a="1"/>
  <c r="AC1066" i="1" a="1"/>
  <c r="AC1058" i="1" a="1"/>
  <c r="AC1050" i="1" a="1"/>
  <c r="AC1042" i="1" a="1"/>
  <c r="AC1034" i="1" a="1"/>
  <c r="AC1026" i="1" a="1"/>
  <c r="AC1018" i="1" a="1"/>
  <c r="AC1010" i="1" a="1"/>
  <c r="AC1002" i="1" a="1"/>
  <c r="AC994" i="1" a="1"/>
  <c r="AC986" i="1" a="1"/>
  <c r="AC978" i="1" a="1"/>
  <c r="AC970" i="1" a="1"/>
  <c r="AC962" i="1" a="1"/>
  <c r="AC954" i="1" a="1"/>
  <c r="AC946" i="1" a="1"/>
  <c r="AC938" i="1" a="1"/>
  <c r="AC930" i="1" a="1"/>
  <c r="AC1377" i="1" a="1"/>
  <c r="AC895" i="1" a="1"/>
  <c r="AC879" i="1" a="1"/>
  <c r="AC863" i="1" a="1"/>
  <c r="AC847" i="1" a="1"/>
  <c r="AC831" i="1" a="1"/>
  <c r="AC815" i="1" a="1"/>
  <c r="AC799" i="1" a="1"/>
  <c r="AC783" i="1" a="1"/>
  <c r="AC767" i="1" a="1"/>
  <c r="AC751" i="1" a="1"/>
  <c r="AC735" i="1" a="1"/>
  <c r="AC719" i="1" a="1"/>
  <c r="AC703" i="1" a="1"/>
  <c r="AC687" i="1" a="1"/>
  <c r="AC671" i="1" a="1"/>
  <c r="AC655" i="1" a="1"/>
  <c r="AC639" i="1" a="1"/>
  <c r="AC623" i="1" a="1"/>
  <c r="AC1361" i="1" a="1"/>
  <c r="AC900" i="1" a="1"/>
  <c r="AC884" i="1" a="1"/>
  <c r="AC868" i="1" a="1"/>
  <c r="AC852" i="1" a="1"/>
  <c r="AC836" i="1" a="1"/>
  <c r="AC820" i="1" a="1"/>
  <c r="AC804" i="1" a="1"/>
  <c r="AC788" i="1" a="1"/>
  <c r="AC772" i="1" a="1"/>
  <c r="AC756" i="1" a="1"/>
  <c r="AC740" i="1" a="1"/>
  <c r="AC724" i="1" a="1"/>
  <c r="AC708" i="1" a="1"/>
  <c r="AC692" i="1" a="1"/>
  <c r="AC676" i="1" a="1"/>
  <c r="AC660" i="1" a="1"/>
  <c r="AC644" i="1" a="1"/>
  <c r="AC628" i="1" a="1"/>
  <c r="AC1337" i="1" a="1"/>
  <c r="AC1305" i="1" a="1"/>
  <c r="AC1273" i="1" a="1"/>
  <c r="AC1241" i="1" a="1"/>
  <c r="AC1209" i="1" a="1"/>
  <c r="AC1177" i="1" a="1"/>
  <c r="AC1145" i="1" a="1"/>
  <c r="AC1113" i="1" a="1"/>
  <c r="AC1081" i="1" a="1"/>
  <c r="AC1065" i="1" a="1"/>
  <c r="AC1049" i="1" a="1"/>
  <c r="AC1033" i="1" a="1"/>
  <c r="AC1017" i="1" a="1"/>
  <c r="AC1001" i="1" a="1"/>
  <c r="AC985" i="1" a="1"/>
  <c r="AC969" i="1" a="1"/>
  <c r="AC953" i="1" a="1"/>
  <c r="AC937" i="1" a="1"/>
  <c r="AC921" i="1" a="1"/>
  <c r="AC905" i="1" a="1"/>
  <c r="AC889" i="1" a="1"/>
  <c r="AC873" i="1" a="1"/>
  <c r="AC857" i="1" a="1"/>
  <c r="AC841" i="1" a="1"/>
  <c r="AC825" i="1" a="1"/>
  <c r="AC809" i="1" a="1"/>
  <c r="AC793" i="1" a="1"/>
  <c r="AC777" i="1" a="1"/>
  <c r="AC761" i="1" a="1"/>
  <c r="AC745" i="1" a="1"/>
  <c r="AC729" i="1" a="1"/>
  <c r="AC713" i="1" a="1"/>
  <c r="AC697" i="1" a="1"/>
  <c r="AC681" i="1" a="1"/>
  <c r="AC665" i="1" a="1"/>
  <c r="AC649" i="1" a="1"/>
  <c r="AC633" i="1" a="1"/>
  <c r="AC1346" i="1" a="1"/>
  <c r="AC1314" i="1" a="1"/>
  <c r="AC1282" i="1" a="1"/>
  <c r="AC1250" i="1" a="1"/>
  <c r="AC1218" i="1" a="1"/>
  <c r="AC1186" i="1" a="1"/>
  <c r="AC1154" i="1" a="1"/>
  <c r="AC1122" i="1" a="1"/>
  <c r="AC1090" i="1" a="1"/>
  <c r="AC894" i="1" a="1"/>
  <c r="AC878" i="1" a="1"/>
  <c r="AC862" i="1" a="1"/>
  <c r="AC846" i="1" a="1"/>
  <c r="AC830" i="1" a="1"/>
  <c r="AC814" i="1" a="1"/>
  <c r="AC798" i="1" a="1"/>
  <c r="AC782" i="1" a="1"/>
  <c r="AC766" i="1" a="1"/>
  <c r="AC750" i="1" a="1"/>
  <c r="AC734" i="1" a="1"/>
  <c r="AC718" i="1" a="1"/>
  <c r="AC702" i="1" a="1"/>
  <c r="AC686" i="1" a="1"/>
  <c r="AC670" i="1" a="1"/>
  <c r="AC654" i="1" a="1"/>
  <c r="AC638" i="1" a="1"/>
  <c r="AC622" i="1" a="1"/>
  <c r="AC1449" i="1" a="1"/>
  <c r="AC1335" i="1" a="1"/>
  <c r="AC1303" i="1" a="1"/>
  <c r="AC1271" i="1" a="1"/>
  <c r="AC1239" i="1" a="1"/>
  <c r="AC1207" i="1" a="1"/>
  <c r="AC1175" i="1" a="1"/>
  <c r="AC1143" i="1" a="1"/>
  <c r="AC1111" i="1" a="1"/>
  <c r="AC1433" i="1" a="1"/>
  <c r="AC1071" i="1" a="1"/>
  <c r="AC1055" i="1" a="1"/>
  <c r="AC1039" i="1" a="1"/>
  <c r="AC1023" i="1" a="1"/>
  <c r="AC1007" i="1" a="1"/>
  <c r="AC991" i="1" a="1"/>
  <c r="AC975" i="1" a="1"/>
  <c r="AC959" i="1" a="1"/>
  <c r="AC943" i="1" a="1"/>
  <c r="AC1417" i="1" a="1"/>
  <c r="AC1345" i="1" a="1"/>
  <c r="AC1313" i="1" a="1"/>
  <c r="AC1281" i="1" a="1"/>
  <c r="AC1249" i="1" a="1"/>
  <c r="AC1217" i="1" a="1"/>
  <c r="AC1185" i="1" a="1"/>
  <c r="AC1153" i="1" a="1"/>
  <c r="AC1121" i="1" a="1"/>
  <c r="AC1089" i="1" a="1"/>
  <c r="AC1079" i="1" a="1"/>
  <c r="AC1063" i="1" a="1"/>
  <c r="AC1047" i="1" a="1"/>
  <c r="AC1031" i="1" a="1"/>
  <c r="AC1015" i="1" a="1"/>
  <c r="AC999" i="1" a="1"/>
  <c r="AC983" i="1" a="1"/>
  <c r="AC967" i="1" a="1"/>
  <c r="AC951" i="1" a="1"/>
  <c r="AC935" i="1" a="1"/>
  <c r="AC1401" i="1" a="1"/>
  <c r="AC1322" i="1" a="1"/>
  <c r="AC1290" i="1" a="1"/>
  <c r="AC1258" i="1" a="1"/>
  <c r="AC1226" i="1" a="1"/>
  <c r="AC1194" i="1" a="1"/>
  <c r="AC1162" i="1" a="1"/>
  <c r="AC1130" i="1" a="1"/>
  <c r="AC1098" i="1" a="1"/>
  <c r="AC1385" i="1" a="1"/>
  <c r="AC1744" i="1" a="1"/>
  <c r="AC1539" i="1" a="1"/>
  <c r="AC1069" i="1" a="1"/>
  <c r="AC1053" i="1" a="1"/>
  <c r="AC1037" i="1" a="1"/>
  <c r="AC1021" i="1" a="1"/>
  <c r="AC1005" i="1" a="1"/>
  <c r="AC989" i="1" a="1"/>
  <c r="AC973" i="1" a="1"/>
  <c r="AC957" i="1" a="1"/>
  <c r="AC941" i="1" a="1"/>
  <c r="AC925" i="1" a="1"/>
  <c r="AC909" i="1" a="1"/>
  <c r="AC903" i="1" a="1"/>
  <c r="AC887" i="1" a="1"/>
  <c r="AC871" i="1" a="1"/>
  <c r="AC855" i="1" a="1"/>
  <c r="AC839" i="1" a="1"/>
  <c r="AC823" i="1" a="1"/>
  <c r="AC807" i="1" a="1"/>
  <c r="AC791" i="1" a="1"/>
  <c r="AC775" i="1" a="1"/>
  <c r="AC759" i="1" a="1"/>
  <c r="AC743" i="1" a="1"/>
  <c r="AC727" i="1" a="1"/>
  <c r="AC711" i="1" a="1"/>
  <c r="AC695" i="1" a="1"/>
  <c r="AC679" i="1" a="1"/>
  <c r="AC663" i="1" a="1"/>
  <c r="AC647" i="1" a="1"/>
  <c r="AC631" i="1" a="1"/>
  <c r="AC1369" i="1" a="1"/>
  <c r="AC1077" i="1" a="1"/>
  <c r="AC1061" i="1" a="1"/>
  <c r="AC1045" i="1" a="1"/>
  <c r="AC1029" i="1" a="1"/>
  <c r="AC1013" i="1" a="1"/>
  <c r="AC997" i="1" a="1"/>
  <c r="AC981" i="1" a="1"/>
  <c r="AC965" i="1" a="1"/>
  <c r="AC949" i="1" a="1"/>
  <c r="AC933" i="1" a="1"/>
  <c r="AC917" i="1" a="1"/>
  <c r="AC922" i="1" a="1"/>
  <c r="AC911" i="1" a="1"/>
  <c r="AC605" i="1" a="1"/>
  <c r="AC589" i="1" a="1"/>
  <c r="AC573" i="1" a="1"/>
  <c r="AC557" i="1" a="1"/>
  <c r="AC541" i="1" a="1"/>
  <c r="AC525" i="1" a="1"/>
  <c r="AC509" i="1" a="1"/>
  <c r="AC493" i="1" a="1"/>
  <c r="AC477" i="1" a="1"/>
  <c r="AC461" i="1" a="1"/>
  <c r="AC445" i="1" a="1"/>
  <c r="AC429" i="1" a="1"/>
  <c r="AC413" i="1" a="1"/>
  <c r="AC397" i="1" a="1"/>
  <c r="AC381" i="1" a="1"/>
  <c r="AC365" i="1" a="1"/>
  <c r="AC349" i="1" a="1"/>
  <c r="AC333" i="1" a="1"/>
  <c r="AC317" i="1" a="1"/>
  <c r="AC901" i="1" a="1"/>
  <c r="AC893" i="1" a="1"/>
  <c r="AC885" i="1" a="1"/>
  <c r="AC877" i="1" a="1"/>
  <c r="AC869" i="1" a="1"/>
  <c r="AC861" i="1" a="1"/>
  <c r="AC853" i="1" a="1"/>
  <c r="AC845" i="1" a="1"/>
  <c r="AC837" i="1" a="1"/>
  <c r="AC829" i="1" a="1"/>
  <c r="AC821" i="1" a="1"/>
  <c r="AC813" i="1" a="1"/>
  <c r="AC805" i="1" a="1"/>
  <c r="AC797" i="1" a="1"/>
  <c r="AC789" i="1" a="1"/>
  <c r="AC781" i="1" a="1"/>
  <c r="AC773" i="1" a="1"/>
  <c r="AC765" i="1" a="1"/>
  <c r="AC757" i="1" a="1"/>
  <c r="AC749" i="1" a="1"/>
  <c r="AC741" i="1" a="1"/>
  <c r="AC733" i="1" a="1"/>
  <c r="AC725" i="1" a="1"/>
  <c r="AC717" i="1" a="1"/>
  <c r="AC709" i="1" a="1"/>
  <c r="AC701" i="1" a="1"/>
  <c r="AC693" i="1" a="1"/>
  <c r="AC685" i="1" a="1"/>
  <c r="AC677" i="1" a="1"/>
  <c r="AC669" i="1" a="1"/>
  <c r="AC661" i="1" a="1"/>
  <c r="AC653" i="1" a="1"/>
  <c r="AC645" i="1" a="1"/>
  <c r="AC637" i="1" a="1"/>
  <c r="AC629" i="1" a="1"/>
  <c r="AC621" i="1" a="1"/>
  <c r="AC610" i="1" a="1"/>
  <c r="AC594" i="1" a="1"/>
  <c r="AC578" i="1" a="1"/>
  <c r="AC562" i="1" a="1"/>
  <c r="AC546" i="1" a="1"/>
  <c r="AC530" i="1" a="1"/>
  <c r="AC514" i="1" a="1"/>
  <c r="AC498" i="1" a="1"/>
  <c r="AC482" i="1" a="1"/>
  <c r="AC466" i="1" a="1"/>
  <c r="AC450" i="1" a="1"/>
  <c r="AC434" i="1" a="1"/>
  <c r="AC418" i="1" a="1"/>
  <c r="AC402" i="1" a="1"/>
  <c r="AC386" i="1" a="1"/>
  <c r="AC370" i="1" a="1"/>
  <c r="AC354" i="1" a="1"/>
  <c r="AC338" i="1" a="1"/>
  <c r="AC322" i="1" a="1"/>
  <c r="AC615" i="1" a="1"/>
  <c r="AC599" i="1" a="1"/>
  <c r="AC583" i="1" a="1"/>
  <c r="AC567" i="1" a="1"/>
  <c r="AC551" i="1" a="1"/>
  <c r="AC535" i="1" a="1"/>
  <c r="AC519" i="1" a="1"/>
  <c r="AC503" i="1" a="1"/>
  <c r="AC487" i="1" a="1"/>
  <c r="AC471" i="1" a="1"/>
  <c r="AC455" i="1" a="1"/>
  <c r="AC439" i="1" a="1"/>
  <c r="AC423" i="1" a="1"/>
  <c r="AC407" i="1" a="1"/>
  <c r="AC391" i="1" a="1"/>
  <c r="AC375" i="1" a="1"/>
  <c r="AC359" i="1" a="1"/>
  <c r="AC343" i="1" a="1"/>
  <c r="AC327" i="1" a="1"/>
  <c r="AC311" i="1" a="1"/>
  <c r="AC892" i="1" a="1"/>
  <c r="AC876" i="1" a="1"/>
  <c r="AC860" i="1" a="1"/>
  <c r="AC844" i="1" a="1"/>
  <c r="AC828" i="1" a="1"/>
  <c r="AC812" i="1" a="1"/>
  <c r="AC796" i="1" a="1"/>
  <c r="AC780" i="1" a="1"/>
  <c r="AC764" i="1" a="1"/>
  <c r="AC748" i="1" a="1"/>
  <c r="AC732" i="1" a="1"/>
  <c r="AC716" i="1" a="1"/>
  <c r="AC700" i="1" a="1"/>
  <c r="AC684" i="1" a="1"/>
  <c r="AC668" i="1" a="1"/>
  <c r="AC652" i="1" a="1"/>
  <c r="AC636" i="1" a="1"/>
  <c r="AC620" i="1" a="1"/>
  <c r="AC899" i="1" a="1"/>
  <c r="AC883" i="1" a="1"/>
  <c r="AC867" i="1" a="1"/>
  <c r="AC851" i="1" a="1"/>
  <c r="AC835" i="1" a="1"/>
  <c r="AC819" i="1" a="1"/>
  <c r="AC803" i="1" a="1"/>
  <c r="AC787" i="1" a="1"/>
  <c r="AC771" i="1" a="1"/>
  <c r="AC755" i="1" a="1"/>
  <c r="AC739" i="1" a="1"/>
  <c r="AC723" i="1" a="1"/>
  <c r="AC707" i="1" a="1"/>
  <c r="AC691" i="1" a="1"/>
  <c r="AC675" i="1" a="1"/>
  <c r="AC659" i="1" a="1"/>
  <c r="AC643" i="1" a="1"/>
  <c r="AC627" i="1" a="1"/>
  <c r="AC919" i="1" a="1"/>
  <c r="AC619" i="1" a="1"/>
  <c r="AC906" i="1" a="1"/>
  <c r="AC898" i="1" a="1"/>
  <c r="AC890" i="1" a="1"/>
  <c r="AC882" i="1" a="1"/>
  <c r="AC874" i="1" a="1"/>
  <c r="AC866" i="1" a="1"/>
  <c r="AC858" i="1" a="1"/>
  <c r="AC850" i="1" a="1"/>
  <c r="AC842" i="1" a="1"/>
  <c r="AC834" i="1" a="1"/>
  <c r="AC826" i="1" a="1"/>
  <c r="AC818" i="1" a="1"/>
  <c r="AC810" i="1" a="1"/>
  <c r="AC802" i="1" a="1"/>
  <c r="AC794" i="1" a="1"/>
  <c r="AC786" i="1" a="1"/>
  <c r="AC778" i="1" a="1"/>
  <c r="AC770" i="1" a="1"/>
  <c r="AC762" i="1" a="1"/>
  <c r="AC754" i="1" a="1"/>
  <c r="AC746" i="1" a="1"/>
  <c r="AC738" i="1" a="1"/>
  <c r="AC730" i="1" a="1"/>
  <c r="AC722" i="1" a="1"/>
  <c r="AC714" i="1" a="1"/>
  <c r="AC706" i="1" a="1"/>
  <c r="AC698" i="1" a="1"/>
  <c r="AC690" i="1" a="1"/>
  <c r="AC682" i="1" a="1"/>
  <c r="AC674" i="1" a="1"/>
  <c r="AC666" i="1" a="1"/>
  <c r="AC658" i="1" a="1"/>
  <c r="AC650" i="1" a="1"/>
  <c r="AC642" i="1" a="1"/>
  <c r="AC634" i="1" a="1"/>
  <c r="AC626" i="1" a="1"/>
  <c r="AC608" i="1" a="1"/>
  <c r="AC592" i="1" a="1"/>
  <c r="AC576" i="1" a="1"/>
  <c r="AC560" i="1" a="1"/>
  <c r="AC544" i="1" a="1"/>
  <c r="AC528" i="1" a="1"/>
  <c r="AC512" i="1" a="1"/>
  <c r="AC496" i="1" a="1"/>
  <c r="AC480" i="1" a="1"/>
  <c r="AC464" i="1" a="1"/>
  <c r="AC448" i="1" a="1"/>
  <c r="AC432" i="1" a="1"/>
  <c r="AC416" i="1" a="1"/>
  <c r="AC400" i="1" a="1"/>
  <c r="AC384" i="1" a="1"/>
  <c r="AC368" i="1" a="1"/>
  <c r="AC352" i="1" a="1"/>
  <c r="AC336" i="1" a="1"/>
  <c r="AC320" i="1" a="1"/>
  <c r="AC927" i="1" a="1"/>
  <c r="AC613" i="1" a="1"/>
  <c r="AC597" i="1" a="1"/>
  <c r="AC581" i="1" a="1"/>
  <c r="AC565" i="1" a="1"/>
  <c r="AC549" i="1" a="1"/>
  <c r="AC533" i="1" a="1"/>
  <c r="AC517" i="1" a="1"/>
  <c r="AC501" i="1" a="1"/>
  <c r="AC485" i="1" a="1"/>
  <c r="AC469" i="1" a="1"/>
  <c r="AC453" i="1" a="1"/>
  <c r="AC437" i="1" a="1"/>
  <c r="AC421" i="1" a="1"/>
  <c r="AC405" i="1" a="1"/>
  <c r="AC389" i="1" a="1"/>
  <c r="AC373" i="1" a="1"/>
  <c r="AC357" i="1" a="1"/>
  <c r="AC341" i="1" a="1"/>
  <c r="AC325" i="1" a="1"/>
  <c r="AC618" i="1" a="1"/>
  <c r="AC602" i="1" a="1"/>
  <c r="AC586" i="1" a="1"/>
  <c r="AC570" i="1" a="1"/>
  <c r="AC554" i="1" a="1"/>
  <c r="AC538" i="1" a="1"/>
  <c r="AC522" i="1" a="1"/>
  <c r="AC506" i="1" a="1"/>
  <c r="AC490" i="1" a="1"/>
  <c r="AC474" i="1" a="1"/>
  <c r="AC458" i="1" a="1"/>
  <c r="AC442" i="1" a="1"/>
  <c r="AC426" i="1" a="1"/>
  <c r="AC410" i="1" a="1"/>
  <c r="AC394" i="1" a="1"/>
  <c r="AC378" i="1" a="1"/>
  <c r="AC362" i="1" a="1"/>
  <c r="AC346" i="1" a="1"/>
  <c r="AC330" i="1" a="1"/>
  <c r="AC314" i="1" a="1"/>
  <c r="AC607" i="1" a="1"/>
  <c r="AC591" i="1" a="1"/>
  <c r="AC575" i="1" a="1"/>
  <c r="AC559" i="1" a="1"/>
  <c r="AC543" i="1" a="1"/>
  <c r="AC527" i="1" a="1"/>
  <c r="AC511" i="1" a="1"/>
  <c r="AC495" i="1" a="1"/>
  <c r="AC479" i="1" a="1"/>
  <c r="AC463" i="1" a="1"/>
  <c r="AC447" i="1" a="1"/>
  <c r="AC431" i="1" a="1"/>
  <c r="AC415" i="1" a="1"/>
  <c r="AC399" i="1" a="1"/>
  <c r="AC383" i="1" a="1"/>
  <c r="AC367" i="1" a="1"/>
  <c r="AC351" i="1" a="1"/>
  <c r="AC335" i="1" a="1"/>
  <c r="AC319" i="1" a="1"/>
  <c r="AC904" i="1" a="1"/>
  <c r="AC896" i="1" a="1"/>
  <c r="AC888" i="1" a="1"/>
  <c r="AC880" i="1" a="1"/>
  <c r="AC872" i="1" a="1"/>
  <c r="AC864" i="1" a="1"/>
  <c r="AC856" i="1" a="1"/>
  <c r="AC848" i="1" a="1"/>
  <c r="AC840" i="1" a="1"/>
  <c r="AC832" i="1" a="1"/>
  <c r="AC824" i="1" a="1"/>
  <c r="AC816" i="1" a="1"/>
  <c r="AC808" i="1" a="1"/>
  <c r="AC800" i="1" a="1"/>
  <c r="AC792" i="1" a="1"/>
  <c r="AC784" i="1" a="1"/>
  <c r="AC776" i="1" a="1"/>
  <c r="AC768" i="1" a="1"/>
  <c r="AC760" i="1" a="1"/>
  <c r="AC752" i="1" a="1"/>
  <c r="AC744" i="1" a="1"/>
  <c r="AC736" i="1" a="1"/>
  <c r="AC728" i="1" a="1"/>
  <c r="AC720" i="1" a="1"/>
  <c r="AC712" i="1" a="1"/>
  <c r="AC704" i="1" a="1"/>
  <c r="AC696" i="1" a="1"/>
  <c r="AC688" i="1" a="1"/>
  <c r="AC680" i="1" a="1"/>
  <c r="AC672" i="1" a="1"/>
  <c r="AC664" i="1" a="1"/>
  <c r="AC656" i="1" a="1"/>
  <c r="AC648" i="1" a="1"/>
  <c r="AC640" i="1" a="1"/>
  <c r="AC632" i="1" a="1"/>
  <c r="AC624" i="1" a="1"/>
  <c r="AC914" i="1" a="1"/>
  <c r="AC617" i="1" a="1"/>
  <c r="AC303" i="1" a="1"/>
  <c r="AC287" i="1" a="1"/>
  <c r="AC271" i="1" a="1"/>
  <c r="AC255" i="1" a="1"/>
  <c r="AC239" i="1" a="1"/>
  <c r="AC223" i="1" a="1"/>
  <c r="AC207" i="1" a="1"/>
  <c r="AC191" i="1" a="1"/>
  <c r="AC175" i="1" a="1"/>
  <c r="AC159" i="1" a="1"/>
  <c r="AC143" i="1" a="1"/>
  <c r="AC127" i="1" a="1"/>
  <c r="AC111" i="1" a="1"/>
  <c r="AC95" i="1" a="1"/>
  <c r="AC79" i="1" a="1"/>
  <c r="AC603" i="1" a="1"/>
  <c r="AC587" i="1" a="1"/>
  <c r="AC571" i="1" a="1"/>
  <c r="AC555" i="1" a="1"/>
  <c r="AC539" i="1" a="1"/>
  <c r="AC523" i="1" a="1"/>
  <c r="AC507" i="1" a="1"/>
  <c r="AC491" i="1" a="1"/>
  <c r="AC475" i="1" a="1"/>
  <c r="AC459" i="1" a="1"/>
  <c r="AC443" i="1" a="1"/>
  <c r="AC427" i="1" a="1"/>
  <c r="AC411" i="1" a="1"/>
  <c r="AC395" i="1" a="1"/>
  <c r="AC379" i="1" a="1"/>
  <c r="AC363" i="1" a="1"/>
  <c r="AC347" i="1" a="1"/>
  <c r="AC331" i="1" a="1"/>
  <c r="AC315" i="1" a="1"/>
  <c r="AC611" i="1" a="1"/>
  <c r="AC595" i="1" a="1"/>
  <c r="AC579" i="1" a="1"/>
  <c r="AC563" i="1" a="1"/>
  <c r="AC547" i="1" a="1"/>
  <c r="AC531" i="1" a="1"/>
  <c r="AC515" i="1" a="1"/>
  <c r="AC499" i="1" a="1"/>
  <c r="AC483" i="1" a="1"/>
  <c r="AC467" i="1" a="1"/>
  <c r="AC451" i="1" a="1"/>
  <c r="AC435" i="1" a="1"/>
  <c r="AC419" i="1" a="1"/>
  <c r="AC403" i="1" a="1"/>
  <c r="AC387" i="1" a="1"/>
  <c r="AC371" i="1" a="1"/>
  <c r="AC355" i="1" a="1"/>
  <c r="AC339" i="1" a="1"/>
  <c r="AC323" i="1" a="1"/>
  <c r="AC308" i="1" a="1"/>
  <c r="AC292" i="1" a="1"/>
  <c r="AC276" i="1" a="1"/>
  <c r="AC260" i="1" a="1"/>
  <c r="AC244" i="1" a="1"/>
  <c r="AC228" i="1" a="1"/>
  <c r="AC212" i="1" a="1"/>
  <c r="AC196" i="1" a="1"/>
  <c r="AC180" i="1" a="1"/>
  <c r="AC164" i="1" a="1"/>
  <c r="AC148" i="1" a="1"/>
  <c r="AC132" i="1" a="1"/>
  <c r="AC116" i="1" a="1"/>
  <c r="AC100" i="1" a="1"/>
  <c r="AC84" i="1" a="1"/>
  <c r="AC297" i="1" a="1"/>
  <c r="AC281" i="1" a="1"/>
  <c r="AC265" i="1" a="1"/>
  <c r="AC249" i="1" a="1"/>
  <c r="AC233" i="1" a="1"/>
  <c r="AC217" i="1" a="1"/>
  <c r="AC201" i="1" a="1"/>
  <c r="AC185" i="1" a="1"/>
  <c r="AC169" i="1" a="1"/>
  <c r="AC153" i="1" a="1"/>
  <c r="AC137" i="1" a="1"/>
  <c r="AC121" i="1" a="1"/>
  <c r="AC105" i="1" a="1"/>
  <c r="AC89" i="1" a="1"/>
  <c r="AC302" i="1" a="1"/>
  <c r="AC286" i="1" a="1"/>
  <c r="AC270" i="1" a="1"/>
  <c r="AC254" i="1" a="1"/>
  <c r="AC238" i="1" a="1"/>
  <c r="AC222" i="1" a="1"/>
  <c r="AC206" i="1" a="1"/>
  <c r="AC190" i="1" a="1"/>
  <c r="AC174" i="1" a="1"/>
  <c r="AC158" i="1" a="1"/>
  <c r="AC142" i="1" a="1"/>
  <c r="AC126" i="1" a="1"/>
  <c r="AC110" i="1" a="1"/>
  <c r="AC94" i="1" a="1"/>
  <c r="AC616" i="1" a="1"/>
  <c r="AC600" i="1" a="1"/>
  <c r="AC584" i="1" a="1"/>
  <c r="AC568" i="1" a="1"/>
  <c r="AC552" i="1" a="1"/>
  <c r="AC536" i="1" a="1"/>
  <c r="AC520" i="1" a="1"/>
  <c r="AC504" i="1" a="1"/>
  <c r="AC488" i="1" a="1"/>
  <c r="AC472" i="1" a="1"/>
  <c r="AC456" i="1" a="1"/>
  <c r="AC440" i="1" a="1"/>
  <c r="AC424" i="1" a="1"/>
  <c r="AC408" i="1" a="1"/>
  <c r="AC392" i="1" a="1"/>
  <c r="AC376" i="1" a="1"/>
  <c r="AC360" i="1" a="1"/>
  <c r="AC344" i="1" a="1"/>
  <c r="AC328" i="1" a="1"/>
  <c r="AC312" i="1" a="1"/>
  <c r="AC306" i="1" a="1"/>
  <c r="AC290" i="1" a="1"/>
  <c r="AC274" i="1" a="1"/>
  <c r="AC258" i="1" a="1"/>
  <c r="AC242" i="1" a="1"/>
  <c r="AC226" i="1" a="1"/>
  <c r="AC210" i="1" a="1"/>
  <c r="AC194" i="1" a="1"/>
  <c r="AC178" i="1" a="1"/>
  <c r="AC162" i="1" a="1"/>
  <c r="AC146" i="1" a="1"/>
  <c r="AC130" i="1" a="1"/>
  <c r="AC114" i="1" a="1"/>
  <c r="AC98" i="1" a="1"/>
  <c r="AC82" i="1" a="1"/>
  <c r="AC295" i="1" a="1"/>
  <c r="AC279" i="1" a="1"/>
  <c r="AC263" i="1" a="1"/>
  <c r="AC247" i="1" a="1"/>
  <c r="AC231" i="1" a="1"/>
  <c r="AC215" i="1" a="1"/>
  <c r="AC199" i="1" a="1"/>
  <c r="AC183" i="1" a="1"/>
  <c r="AC167" i="1" a="1"/>
  <c r="AC151" i="1" a="1"/>
  <c r="AC135" i="1" a="1"/>
  <c r="AC119" i="1" a="1"/>
  <c r="AC103" i="1" a="1"/>
  <c r="AC87" i="1" a="1"/>
  <c r="AC300" i="1" a="1"/>
  <c r="AC284" i="1" a="1"/>
  <c r="AC268" i="1" a="1"/>
  <c r="AC252" i="1" a="1"/>
  <c r="AC236" i="1" a="1"/>
  <c r="AC220" i="1" a="1"/>
  <c r="AC204" i="1" a="1"/>
  <c r="AC188" i="1" a="1"/>
  <c r="AC172" i="1" a="1"/>
  <c r="AC156" i="1" a="1"/>
  <c r="AC140" i="1" a="1"/>
  <c r="AC124" i="1" a="1"/>
  <c r="AC108" i="1" a="1"/>
  <c r="AC92" i="1" a="1"/>
  <c r="AC305" i="1" a="1"/>
  <c r="AC289" i="1" a="1"/>
  <c r="AC273" i="1" a="1"/>
  <c r="AC257" i="1" a="1"/>
  <c r="AC241" i="1" a="1"/>
  <c r="AC225" i="1" a="1"/>
  <c r="AC209" i="1" a="1"/>
  <c r="AC193" i="1" a="1"/>
  <c r="AC177" i="1" a="1"/>
  <c r="AC161" i="1" a="1"/>
  <c r="AC145" i="1" a="1"/>
  <c r="AC129" i="1" a="1"/>
  <c r="AC113" i="1" a="1"/>
  <c r="AC97" i="1" a="1"/>
  <c r="AC81" i="1" a="1"/>
  <c r="AC540" i="1" a="1"/>
  <c r="AC412" i="1" a="1"/>
  <c r="AC298" i="1" a="1"/>
  <c r="AC259" i="1" a="1"/>
  <c r="AC104" i="1" a="1"/>
  <c r="AC609" i="1" a="1"/>
  <c r="AC550" i="1" a="1"/>
  <c r="AC481" i="1" a="1"/>
  <c r="AC422" i="1" a="1"/>
  <c r="AC353" i="1" a="1"/>
  <c r="AC251" i="1" a="1"/>
  <c r="AC197" i="1" a="1"/>
  <c r="AC189" i="1" a="1"/>
  <c r="AC150" i="1" a="1"/>
  <c r="AC96" i="1" a="1"/>
  <c r="AC69" i="1" a="1"/>
  <c r="AC53" i="1" a="1"/>
  <c r="AC37" i="1" a="1"/>
  <c r="AC21" i="1" a="1"/>
  <c r="AC5" i="1" a="1"/>
  <c r="AC510" i="1" a="1"/>
  <c r="AC382" i="1" a="1"/>
  <c r="AC282" i="1" a="1"/>
  <c r="AC243" i="1" a="1"/>
  <c r="AC88" i="1" a="1"/>
  <c r="AC569" i="1" a="1"/>
  <c r="AC500" i="1" a="1"/>
  <c r="AC441" i="1" a="1"/>
  <c r="AC372" i="1" a="1"/>
  <c r="AC313" i="1" a="1"/>
  <c r="AC235" i="1" a="1"/>
  <c r="AC181" i="1" a="1"/>
  <c r="AC173" i="1" a="1"/>
  <c r="AC134" i="1" a="1"/>
  <c r="AC80" i="1" a="1"/>
  <c r="AC74" i="1" a="1"/>
  <c r="AC58" i="1" a="1"/>
  <c r="AC42" i="1" a="1"/>
  <c r="AC26" i="1" a="1"/>
  <c r="AC10" i="1" a="1"/>
  <c r="AC588" i="1" a="1"/>
  <c r="AC460" i="1" a="1"/>
  <c r="AC332" i="1" a="1"/>
  <c r="AC266" i="1" a="1"/>
  <c r="AC227" i="1" a="1"/>
  <c r="AC598" i="1" a="1"/>
  <c r="AC529" i="1" a="1"/>
  <c r="AC470" i="1" a="1"/>
  <c r="AC401" i="1" a="1"/>
  <c r="AC342" i="1" a="1"/>
  <c r="AC219" i="1" a="1"/>
  <c r="AC165" i="1" a="1"/>
  <c r="AC157" i="1" a="1"/>
  <c r="AC118" i="1" a="1"/>
  <c r="AC63" i="1" a="1"/>
  <c r="AC47" i="1" a="1"/>
  <c r="AC31" i="1" a="1"/>
  <c r="AC15" i="1" a="1"/>
  <c r="AC558" i="1" a="1"/>
  <c r="AC430" i="1" a="1"/>
  <c r="AC250" i="1" a="1"/>
  <c r="AC211" i="1" a="1"/>
  <c r="AC548" i="1" a="1"/>
  <c r="AC489" i="1" a="1"/>
  <c r="AC420" i="1" a="1"/>
  <c r="AC361" i="1" a="1"/>
  <c r="AC304" i="1" a="1"/>
  <c r="AC203" i="1" a="1"/>
  <c r="AC149" i="1" a="1"/>
  <c r="AC141" i="1" a="1"/>
  <c r="AC102" i="1" a="1"/>
  <c r="AC68" i="1" a="1"/>
  <c r="AC52" i="1" a="1"/>
  <c r="AC36" i="1" a="1"/>
  <c r="AC20" i="1" a="1"/>
  <c r="AC4" i="1" a="1"/>
  <c r="AC452" i="1" a="1"/>
  <c r="AC166" i="1" a="1"/>
  <c r="AC508" i="1" a="1"/>
  <c r="AC380" i="1" a="1"/>
  <c r="AC296" i="1" a="1"/>
  <c r="AC234" i="1" a="1"/>
  <c r="AC195" i="1" a="1"/>
  <c r="AC521" i="1" a="1"/>
  <c r="AC577" i="1" a="1"/>
  <c r="AC518" i="1" a="1"/>
  <c r="AC449" i="1" a="1"/>
  <c r="AC390" i="1" a="1"/>
  <c r="AC321" i="1" a="1"/>
  <c r="AC288" i="1" a="1"/>
  <c r="AC187" i="1" a="1"/>
  <c r="AC133" i="1" a="1"/>
  <c r="AC125" i="1" a="1"/>
  <c r="AC86" i="1" a="1"/>
  <c r="AC73" i="1" a="1"/>
  <c r="AC57" i="1" a="1"/>
  <c r="AC41" i="1" a="1"/>
  <c r="AC25" i="1" a="1"/>
  <c r="AC9" i="1" a="1"/>
  <c r="AC606" i="1" a="1"/>
  <c r="AC478" i="1" a="1"/>
  <c r="AC350" i="1" a="1"/>
  <c r="AC280" i="1" a="1"/>
  <c r="AC218" i="1" a="1"/>
  <c r="AC179" i="1" a="1"/>
  <c r="AC32" i="1" a="1"/>
  <c r="AC596" i="1" a="1"/>
  <c r="AC537" i="1" a="1"/>
  <c r="AC468" i="1" a="1"/>
  <c r="AC409" i="1" a="1"/>
  <c r="AC340" i="1" a="1"/>
  <c r="AC272" i="1" a="1"/>
  <c r="AC171" i="1" a="1"/>
  <c r="AC117" i="1" a="1"/>
  <c r="AC109" i="1" a="1"/>
  <c r="AC78" i="1" a="1"/>
  <c r="AC62" i="1" a="1"/>
  <c r="AC46" i="1" a="1"/>
  <c r="AC30" i="1" a="1"/>
  <c r="AC14" i="1" a="1"/>
  <c r="AC48" i="1" a="1"/>
  <c r="AC556" i="1" a="1"/>
  <c r="AC428" i="1" a="1"/>
  <c r="AC264" i="1" a="1"/>
  <c r="AC202" i="1" a="1"/>
  <c r="AC163" i="1" a="1"/>
  <c r="AC213" i="1" a="1"/>
  <c r="AC16" i="1" a="1"/>
  <c r="AC566" i="1" a="1"/>
  <c r="AC497" i="1" a="1"/>
  <c r="AC438" i="1" a="1"/>
  <c r="AC369" i="1" a="1"/>
  <c r="AC310" i="1" a="1"/>
  <c r="AC256" i="1" a="1"/>
  <c r="AC155" i="1" a="1"/>
  <c r="AC101" i="1" a="1"/>
  <c r="AC93" i="1" a="1"/>
  <c r="AC67" i="1" a="1"/>
  <c r="AC51" i="1" a="1"/>
  <c r="AC35" i="1" a="1"/>
  <c r="AC19" i="1" a="1"/>
  <c r="AC3" i="1" a="1"/>
  <c r="AC526" i="1" a="1"/>
  <c r="AC398" i="1" a="1"/>
  <c r="AC248" i="1" a="1"/>
  <c r="AC186" i="1" a="1"/>
  <c r="AC147" i="1" a="1"/>
  <c r="AC205" i="1" a="1"/>
  <c r="AC585" i="1" a="1"/>
  <c r="AC516" i="1" a="1"/>
  <c r="AC457" i="1" a="1"/>
  <c r="AC388" i="1" a="1"/>
  <c r="AC329" i="1" a="1"/>
  <c r="AC294" i="1" a="1"/>
  <c r="AC240" i="1" a="1"/>
  <c r="AC139" i="1" a="1"/>
  <c r="AC85" i="1" a="1"/>
  <c r="AC72" i="1" a="1"/>
  <c r="AC56" i="1" a="1"/>
  <c r="AC40" i="1" a="1"/>
  <c r="AC24" i="1" a="1"/>
  <c r="AC8" i="1" a="1"/>
  <c r="AC604" i="1" a="1"/>
  <c r="AC476" i="1" a="1"/>
  <c r="AC348" i="1" a="1"/>
  <c r="AC232" i="1" a="1"/>
  <c r="AC170" i="1" a="1"/>
  <c r="AC131" i="1" a="1"/>
  <c r="AC112" i="1" a="1"/>
  <c r="AC614" i="1" a="1"/>
  <c r="AC545" i="1" a="1"/>
  <c r="AC486" i="1" a="1"/>
  <c r="AC417" i="1" a="1"/>
  <c r="AC358" i="1" a="1"/>
  <c r="AC278" i="1" a="1"/>
  <c r="AC224" i="1" a="1"/>
  <c r="AC123" i="1" a="1"/>
  <c r="AC77" i="1" a="1"/>
  <c r="AC61" i="1" a="1"/>
  <c r="AC45" i="1" a="1"/>
  <c r="AC29" i="1" a="1"/>
  <c r="AC13" i="1" a="1"/>
  <c r="AC574" i="1" a="1"/>
  <c r="AC446" i="1" a="1"/>
  <c r="AC318" i="1" a="1"/>
  <c r="AC216" i="1" a="1"/>
  <c r="AC154" i="1" a="1"/>
  <c r="AC115" i="1" a="1"/>
  <c r="AC564" i="1" a="1"/>
  <c r="AC505" i="1" a="1"/>
  <c r="AC436" i="1" a="1"/>
  <c r="AC377" i="1" a="1"/>
  <c r="AC309" i="1" a="1"/>
  <c r="AC301" i="1" a="1"/>
  <c r="AC262" i="1" a="1"/>
  <c r="AC208" i="1" a="1"/>
  <c r="AC107" i="1" a="1"/>
  <c r="AC66" i="1" a="1"/>
  <c r="AC50" i="1" a="1"/>
  <c r="AC34" i="1" a="1"/>
  <c r="AC18" i="1" a="1"/>
  <c r="AC524" i="1" a="1"/>
  <c r="AC396" i="1" a="1"/>
  <c r="AC200" i="1" a="1"/>
  <c r="AC138" i="1" a="1"/>
  <c r="AC99" i="1" a="1"/>
  <c r="AC593" i="1" a="1"/>
  <c r="AC534" i="1" a="1"/>
  <c r="AC465" i="1" a="1"/>
  <c r="AC406" i="1" a="1"/>
  <c r="AC337" i="1" a="1"/>
  <c r="AC293" i="1" a="1"/>
  <c r="AC285" i="1" a="1"/>
  <c r="AC246" i="1" a="1"/>
  <c r="AC192" i="1" a="1"/>
  <c r="AC91" i="1" a="1"/>
  <c r="AC71" i="1" a="1"/>
  <c r="AC55" i="1" a="1"/>
  <c r="AC39" i="1" a="1"/>
  <c r="AC23" i="1" a="1"/>
  <c r="AC7" i="1" a="1"/>
  <c r="AC494" i="1" a="1"/>
  <c r="AC366" i="1" a="1"/>
  <c r="AC184" i="1" a="1"/>
  <c r="AC122" i="1" a="1"/>
  <c r="AC83" i="1" a="1"/>
  <c r="AC580" i="1" a="1"/>
  <c r="AC64" i="1" a="1"/>
  <c r="AC612" i="1" a="1"/>
  <c r="AC553" i="1" a="1"/>
  <c r="AC484" i="1" a="1"/>
  <c r="AC425" i="1" a="1"/>
  <c r="AC356" i="1" a="1"/>
  <c r="AC277" i="1" a="1"/>
  <c r="AC269" i="1" a="1"/>
  <c r="AC230" i="1" a="1"/>
  <c r="AC176" i="1" a="1"/>
  <c r="AC76" i="1" a="1"/>
  <c r="AC60" i="1" a="1"/>
  <c r="AC44" i="1" a="1"/>
  <c r="AC28" i="1" a="1"/>
  <c r="AC12" i="1" a="1"/>
  <c r="AC572" i="1" a="1"/>
  <c r="AC444" i="1" a="1"/>
  <c r="AC316" i="1" a="1"/>
  <c r="AC168" i="1" a="1"/>
  <c r="AC106" i="1" a="1"/>
  <c r="AC582" i="1" a="1"/>
  <c r="AC513" i="1" a="1"/>
  <c r="AC454" i="1" a="1"/>
  <c r="AC385" i="1" a="1"/>
  <c r="AC326" i="1" a="1"/>
  <c r="AC261" i="1" a="1"/>
  <c r="AC253" i="1" a="1"/>
  <c r="AC214" i="1" a="1"/>
  <c r="AC160" i="1" a="1"/>
  <c r="AC65" i="1" a="1"/>
  <c r="AC49" i="1" a="1"/>
  <c r="AC33" i="1" a="1"/>
  <c r="AC17" i="1" a="1"/>
  <c r="AC542" i="1" a="1"/>
  <c r="AC414" i="1" a="1"/>
  <c r="AC307" i="1" a="1"/>
  <c r="AC152" i="1" a="1"/>
  <c r="AC90" i="1" a="1"/>
  <c r="AC393" i="1" a="1"/>
  <c r="AC601" i="1" a="1"/>
  <c r="AC532" i="1" a="1"/>
  <c r="AC473" i="1" a="1"/>
  <c r="AC404" i="1" a="1"/>
  <c r="AC345" i="1" a="1"/>
  <c r="AC299" i="1" a="1"/>
  <c r="AC245" i="1" a="1"/>
  <c r="AC237" i="1" a="1"/>
  <c r="AC198" i="1" a="1"/>
  <c r="AC144" i="1" a="1"/>
  <c r="AC70" i="1" a="1"/>
  <c r="AC54" i="1" a="1"/>
  <c r="AC38" i="1" a="1"/>
  <c r="AC22" i="1" a="1"/>
  <c r="AC6" i="1" a="1"/>
  <c r="AC492" i="1" a="1"/>
  <c r="AC364" i="1" a="1"/>
  <c r="AC291" i="1" a="1"/>
  <c r="AC136" i="1" a="1"/>
  <c r="AC324" i="1" a="1"/>
  <c r="AC561" i="1" a="1"/>
  <c r="AC502" i="1" a="1"/>
  <c r="AC433" i="1" a="1"/>
  <c r="AC374" i="1" a="1"/>
  <c r="AC283" i="1" a="1"/>
  <c r="AC229" i="1" a="1"/>
  <c r="AC221" i="1" a="1"/>
  <c r="AC182" i="1" a="1"/>
  <c r="AC128" i="1" a="1"/>
  <c r="AC75" i="1" a="1"/>
  <c r="AC59" i="1" a="1"/>
  <c r="AC43" i="1" a="1"/>
  <c r="AC27" i="1" a="1"/>
  <c r="AC11" i="1" a="1"/>
  <c r="AC267" i="1" a="1"/>
  <c r="AC590" i="1" a="1"/>
  <c r="AC462" i="1" a="1"/>
  <c r="AC334" i="1" a="1"/>
  <c r="AC275" i="1" a="1"/>
  <c r="AC120" i="1" a="1"/>
  <c r="AC2" i="1" a="1"/>
  <c r="AU4284" i="1" a="1"/>
  <c r="AU3772" i="1" a="1"/>
  <c r="AU3260" i="1" a="1"/>
  <c r="AU4075" i="1" a="1"/>
  <c r="AU3563" i="1" a="1"/>
  <c r="AU4074" i="1" a="1"/>
  <c r="AU4296" i="1" a="1"/>
  <c r="AU3989" i="1" a="1"/>
  <c r="AU4116" i="1" a="1"/>
  <c r="AU3604" i="1" a="1"/>
  <c r="AU4035" i="1" a="1"/>
  <c r="AU3530" i="1" a="1"/>
  <c r="AU2892" i="1" a="1"/>
  <c r="AU3461" i="1" a="1"/>
  <c r="AU2922" i="1" a="1"/>
  <c r="AU3216" i="1" a="1"/>
  <c r="AU3437" i="1" a="1"/>
  <c r="AU3714" i="1" a="1"/>
  <c r="AU2843" i="1" a="1"/>
  <c r="AU2810" i="1" a="1"/>
  <c r="AU3815" i="1" a="1"/>
  <c r="AU3687" i="1" a="1"/>
  <c r="AU3639" i="1" a="1"/>
  <c r="AU3544" i="1" a="1"/>
  <c r="AU3405" i="1" a="1"/>
  <c r="AU3449" i="1" a="1"/>
  <c r="AU3634" i="1" a="1"/>
  <c r="AU3832" i="1" a="1"/>
  <c r="AU4208" i="1" a="1"/>
  <c r="AU3777" i="1" a="1"/>
  <c r="AU3453" i="1" a="1"/>
  <c r="AU3418" i="1" a="1"/>
  <c r="AU3332" i="1" a="1"/>
  <c r="AU2814" i="1" a="1"/>
  <c r="AU3206" i="1" a="1"/>
  <c r="AU3021" i="1" a="1"/>
  <c r="AU3526" i="1" a="1"/>
  <c r="AU2898" i="1" a="1"/>
  <c r="AU2775" i="1" a="1"/>
  <c r="AU3752" i="1" a="1"/>
  <c r="AU4001" i="1" a="1"/>
  <c r="AU3005" i="1" a="1"/>
  <c r="AU3902" i="1" a="1"/>
  <c r="AU3183" i="1" a="1"/>
  <c r="AU2838" i="1" a="1"/>
  <c r="AU3360" i="1" a="1"/>
  <c r="AU2979" i="1" a="1"/>
  <c r="AU3558" i="1" a="1"/>
  <c r="AU4169" i="1" a="1"/>
  <c r="AU3310" i="1" a="1"/>
  <c r="AU2962" i="1" a="1"/>
  <c r="AU3221" i="1" a="1"/>
  <c r="AU3400" i="1" a="1"/>
  <c r="AU3605" i="1" a="1"/>
  <c r="AU3385" i="1" a="1"/>
  <c r="AU3750" i="1" a="1"/>
  <c r="AU2776" i="1" a="1"/>
  <c r="AU3225" i="1" a="1"/>
  <c r="AU2750" i="1" a="1"/>
  <c r="AU3398" i="1" a="1"/>
  <c r="AU3720" i="1" a="1"/>
  <c r="AU3745" i="1" a="1"/>
  <c r="AU4268" i="1" a="1"/>
  <c r="AU3756" i="1" a="1"/>
  <c r="AU3244" i="1" a="1"/>
  <c r="AU4059" i="1" a="1"/>
  <c r="AU3547" i="1" a="1"/>
  <c r="AU4058" i="1" a="1"/>
  <c r="AU4280" i="1" a="1"/>
  <c r="AU3973" i="1" a="1"/>
  <c r="AU4100" i="1" a="1"/>
  <c r="AU3588" i="1" a="1"/>
  <c r="AU4019" i="1" a="1"/>
  <c r="AU3507" i="1" a="1"/>
  <c r="AU2828" i="1" a="1"/>
  <c r="AU3438" i="1" a="1"/>
  <c r="AU2874" i="1" a="1"/>
  <c r="AU3194" i="1" a="1"/>
  <c r="AU3413" i="1" a="1"/>
  <c r="AU3690" i="1" a="1"/>
  <c r="AU2827" i="1" a="1"/>
  <c r="AU4317" i="1" a="1"/>
  <c r="AU3790" i="1" a="1"/>
  <c r="AU3640" i="1" a="1"/>
  <c r="AU4216" i="1" a="1"/>
  <c r="AU3497" i="1" a="1"/>
  <c r="AU3381" i="1" a="1"/>
  <c r="AU3402" i="1" a="1"/>
  <c r="AU3613" i="1" a="1"/>
  <c r="AU3807" i="1" a="1"/>
  <c r="AU4176" i="1" a="1"/>
  <c r="AU3648" i="1" a="1"/>
  <c r="AU3108" i="1" a="1"/>
  <c r="AU3377" i="1" a="1"/>
  <c r="AU3077" i="1" a="1"/>
  <c r="AU3176" i="1" a="1"/>
  <c r="AU3143" i="1" a="1"/>
  <c r="AU2994" i="1" a="1"/>
  <c r="AU3443" i="1" a="1"/>
  <c r="AU3107" i="1" a="1"/>
  <c r="AU3247" i="1" a="1"/>
  <c r="AU3533" i="1" a="1"/>
  <c r="AU3903" i="1" a="1"/>
  <c r="AU2757" i="1" a="1"/>
  <c r="AU3824" i="1" a="1"/>
  <c r="AU2905" i="1" a="1"/>
  <c r="AU3545" i="1" a="1"/>
  <c r="AU3326" i="1" a="1"/>
  <c r="AU2958" i="1" a="1"/>
  <c r="AU3089" i="1" a="1"/>
  <c r="AU4057" i="1" a="1"/>
  <c r="AU3277" i="1" a="1"/>
  <c r="AU3079" i="1" a="1"/>
  <c r="AU3606" i="1" a="1"/>
  <c r="AU3534" i="1" a="1"/>
  <c r="AU3469" i="1" a="1"/>
  <c r="AU2887" i="1" a="1"/>
  <c r="AU4168" i="1" a="1"/>
  <c r="AU3226" i="1" a="1"/>
  <c r="AU2886" i="1" a="1"/>
  <c r="AU3188" i="1" a="1"/>
  <c r="AU3509" i="1" a="1"/>
  <c r="AU4252" i="1" a="1"/>
  <c r="AU3740" i="1" a="1"/>
  <c r="AU3228" i="1" a="1"/>
  <c r="AU4043" i="1" a="1"/>
  <c r="AU3531" i="1" a="1"/>
  <c r="AU4042" i="1" a="1"/>
  <c r="AU4264" i="1" a="1"/>
  <c r="AU3957" i="1" a="1"/>
  <c r="AU4084" i="1" a="1"/>
  <c r="AU3572" i="1" a="1"/>
  <c r="AU4003" i="1" a="1"/>
  <c r="AU3462" i="1" a="1"/>
  <c r="AU2796" i="1" a="1"/>
  <c r="AU3391" i="1" a="1"/>
  <c r="AU2794" i="1" a="1"/>
  <c r="AU3134" i="1" a="1"/>
  <c r="AU3390" i="1" a="1"/>
  <c r="AU3667" i="1" a="1"/>
  <c r="AU2795" i="1" a="1"/>
  <c r="AU4269" i="1" a="1"/>
  <c r="AU3762" i="1" a="1"/>
  <c r="AU4221" i="1" a="1"/>
  <c r="AU4184" i="1" a="1"/>
  <c r="AU3450" i="1" a="1"/>
  <c r="AU3359" i="1" a="1"/>
  <c r="AU3380" i="1" a="1"/>
  <c r="AU3589" i="1" a="1"/>
  <c r="AU3782" i="1" a="1"/>
  <c r="AU4144" i="1" a="1"/>
  <c r="AU3502" i="1" a="1"/>
  <c r="AU2964" i="1" a="1"/>
  <c r="AU3307" i="1" a="1"/>
  <c r="AU2852" i="1" a="1"/>
  <c r="AU2945" i="1" a="1"/>
  <c r="AU2995" i="1" a="1"/>
  <c r="AU2967" i="1" a="1"/>
  <c r="AU3364" i="1" a="1"/>
  <c r="AU2943" i="1" a="1"/>
  <c r="AU3584" i="1" a="1"/>
  <c r="AU3446" i="1" a="1"/>
  <c r="AU3825" i="1" a="1"/>
  <c r="AU3123" i="1" a="1"/>
  <c r="AU3747" i="1" a="1"/>
  <c r="AU3384" i="1" a="1"/>
  <c r="AU4201" i="1" a="1"/>
  <c r="AU3288" i="1" a="1"/>
  <c r="AU2934" i="1" a="1"/>
  <c r="AU3181" i="1" a="1"/>
  <c r="AU3954" i="1" a="1"/>
  <c r="AU3211" i="1" a="1"/>
  <c r="AU3442" i="1" a="1"/>
  <c r="AU3655" i="1" a="1"/>
  <c r="AU2918" i="1" a="1"/>
  <c r="AU2977" i="1" a="1"/>
  <c r="AU3263" i="1" a="1"/>
  <c r="AU3163" i="1" a="1"/>
  <c r="AU3554" i="1" a="1"/>
  <c r="AU4236" i="1" a="1"/>
  <c r="AU3724" i="1" a="1"/>
  <c r="AU3212" i="1" a="1"/>
  <c r="AU4027" i="1" a="1"/>
  <c r="AU3515" i="1" a="1"/>
  <c r="AU4026" i="1" a="1"/>
  <c r="AU4248" i="1" a="1"/>
  <c r="AU3941" i="1" a="1"/>
  <c r="AU4068" i="1" a="1"/>
  <c r="AU3556" i="1" a="1"/>
  <c r="AU4322" i="1" a="1"/>
  <c r="AU3415" i="1" a="1"/>
  <c r="AU2764" i="1" a="1"/>
  <c r="AU3368" i="1" a="1"/>
  <c r="AU4319" i="1" a="1"/>
  <c r="AU3072" i="1" a="1"/>
  <c r="AU3367" i="1" a="1"/>
  <c r="AU3622" i="1" a="1"/>
  <c r="AU3389" i="1" a="1"/>
  <c r="AU4129" i="1" a="1"/>
  <c r="AU3737" i="1" a="1"/>
  <c r="AU4189" i="1" a="1"/>
  <c r="AU4152" i="1" a="1"/>
  <c r="AU3427" i="1" a="1"/>
  <c r="AU3336" i="1" a="1"/>
  <c r="AU3313" i="1" a="1"/>
  <c r="AU3566" i="1" a="1"/>
  <c r="AU3757" i="1" a="1"/>
  <c r="AU4038" i="1" a="1"/>
  <c r="AU3421" i="1" a="1"/>
  <c r="AU3139" i="1" a="1"/>
  <c r="AU3242" i="1" a="1"/>
  <c r="AU3232" i="1" a="1"/>
  <c r="AU3774" i="1" a="1"/>
  <c r="AU3142" i="1" a="1"/>
  <c r="AU2900" i="1" a="1"/>
  <c r="AU2916" i="1" a="1"/>
  <c r="AU3138" i="1" a="1"/>
  <c r="AU4112" i="1" a="1"/>
  <c r="AU3407" i="1" a="1"/>
  <c r="AU3568" i="1" a="1"/>
  <c r="AU3220" i="1" a="1"/>
  <c r="AU3674" i="1" a="1"/>
  <c r="AU2816" i="1" a="1"/>
  <c r="AU4086" i="1" a="1"/>
  <c r="AU3255" i="1" a="1"/>
  <c r="AU2867" i="1" a="1"/>
  <c r="AU4174" i="1" a="1"/>
  <c r="AU3874" i="1" a="1"/>
  <c r="AU3119" i="1" a="1"/>
  <c r="AU3200" i="1" a="1"/>
  <c r="AU3746" i="1" a="1"/>
  <c r="AU3751" i="1" a="1"/>
  <c r="AU3441" i="1" a="1"/>
  <c r="AU4206" i="1" a="1"/>
  <c r="AU2752" i="1" a="1"/>
  <c r="AU3262" i="1" a="1"/>
  <c r="AU3677" i="1" a="1"/>
  <c r="AU3158" i="1" a="1"/>
  <c r="AU3151" i="1" a="1"/>
  <c r="AU2978" i="1" a="1"/>
  <c r="AU3649" i="1" a="1"/>
  <c r="AU3727" i="1" a="1"/>
  <c r="AU4220" i="1" a="1"/>
  <c r="AU3708" i="1" a="1"/>
  <c r="AU3196" i="1" a="1"/>
  <c r="AU4011" i="1" a="1"/>
  <c r="AU3499" i="1" a="1"/>
  <c r="AU4010" i="1" a="1"/>
  <c r="AU4232" i="1" a="1"/>
  <c r="AU3925" i="1" a="1"/>
  <c r="AU4052" i="1" a="1"/>
  <c r="AU3540" i="1" a="1"/>
  <c r="AU4306" i="1" a="1"/>
  <c r="AU3346" i="1" a="1"/>
  <c r="AU3621" i="1" a="1"/>
  <c r="AU3325" i="1" a="1"/>
  <c r="AU4271" i="1" a="1"/>
  <c r="AU3051" i="1" a="1"/>
  <c r="AU3301" i="1" a="1"/>
  <c r="AU3575" i="1" a="1"/>
  <c r="AU3131" i="1" a="1"/>
  <c r="AU4023" i="1" a="1"/>
  <c r="AU3712" i="1" a="1"/>
  <c r="AU4157" i="1" a="1"/>
  <c r="AU4071" i="1" a="1"/>
  <c r="AU3382" i="1" a="1"/>
  <c r="AU3186" i="1" a="1"/>
  <c r="AU3293" i="1" a="1"/>
  <c r="AU3519" i="1" a="1"/>
  <c r="AU3729" i="1" a="1"/>
  <c r="AU4009" i="1" a="1"/>
  <c r="AU3343" i="1" a="1"/>
  <c r="AU2987" i="1" a="1"/>
  <c r="AU3209" i="1" a="1"/>
  <c r="AU2986" i="1" a="1"/>
  <c r="AU3203" i="1" a="1"/>
  <c r="AU3697" i="1" a="1"/>
  <c r="AU3204" i="1" a="1"/>
  <c r="AU3474" i="1" a="1"/>
  <c r="AU3043" i="1" a="1"/>
  <c r="AU4007" i="1" a="1"/>
  <c r="AU3330" i="1" a="1"/>
  <c r="AU3525" i="1" a="1"/>
  <c r="AU3315" i="1" a="1"/>
  <c r="AU3561" i="1" a="1"/>
  <c r="AU4205" i="1" a="1"/>
  <c r="AU3901" i="1" a="1"/>
  <c r="AU3160" i="1" a="1"/>
  <c r="AU2888" i="1" a="1"/>
  <c r="AU3976" i="1" a="1"/>
  <c r="AU3725" i="1" a="1"/>
  <c r="AU3087" i="1" a="1"/>
  <c r="AU3311" i="1" a="1"/>
  <c r="AU3673" i="1" a="1"/>
  <c r="AU2931" i="1" a="1"/>
  <c r="AU3034" i="1" a="1"/>
  <c r="AU3399" i="1" a="1"/>
  <c r="AU3095" i="1" a="1"/>
  <c r="AU3447" i="1" a="1"/>
  <c r="AU2751" i="1" a="1"/>
  <c r="AU3799" i="1" a="1"/>
  <c r="AU3101" i="1" a="1"/>
  <c r="AU4064" i="1" a="1"/>
  <c r="AU3219" i="1" a="1"/>
  <c r="AU4204" i="1" a="1"/>
  <c r="AU3692" i="1" a="1"/>
  <c r="AU3180" i="1" a="1"/>
  <c r="AU3995" i="1" a="1"/>
  <c r="AU3483" i="1" a="1"/>
  <c r="AU3994" i="1" a="1"/>
  <c r="AU4327" i="1" a="1"/>
  <c r="AU3909" i="1" a="1"/>
  <c r="AU4036" i="1" a="1"/>
  <c r="AU3524" i="1" a="1"/>
  <c r="AU4290" i="1" a="1"/>
  <c r="AU3303" i="1" a="1"/>
  <c r="AU3366" i="1" a="1"/>
  <c r="AU3259" i="1" a="1"/>
  <c r="AU4054" i="1" a="1"/>
  <c r="AU3031" i="1" a="1"/>
  <c r="AU3237" i="1" a="1"/>
  <c r="AU3528" i="1" a="1"/>
  <c r="AU3816" i="1" a="1"/>
  <c r="AU3997" i="1" a="1"/>
  <c r="AU3688" i="1" a="1"/>
  <c r="AU4072" i="1" a="1"/>
  <c r="AU4045" i="1" a="1"/>
  <c r="AU3314" i="1" a="1"/>
  <c r="AU3145" i="1" a="1"/>
  <c r="AU3271" i="1" a="1"/>
  <c r="AU3472" i="1" a="1"/>
  <c r="AU3657" i="1" a="1"/>
  <c r="AU3703" i="1" a="1"/>
  <c r="AU3309" i="1" a="1"/>
  <c r="AU2787" i="1" a="1"/>
  <c r="AU3178" i="1" a="1"/>
  <c r="AU2786" i="1" a="1"/>
  <c r="AU3535" i="1" a="1"/>
  <c r="AU3304" i="1" a="1"/>
  <c r="AU2879" i="1" a="1"/>
  <c r="AU2932" i="1" a="1"/>
  <c r="AU2766" i="1" a="1"/>
  <c r="AU3926" i="1" a="1"/>
  <c r="AU3296" i="1" a="1"/>
  <c r="AU3487" i="1" a="1"/>
  <c r="AU2951" i="1" a="1"/>
  <c r="AU3522" i="1" a="1"/>
  <c r="AU3982" i="1" a="1"/>
  <c r="AU3823" i="1" a="1"/>
  <c r="AU3128" i="1" a="1"/>
  <c r="AU3353" i="1" a="1"/>
  <c r="AU3801" i="1" a="1"/>
  <c r="AU3653" i="1" a="1"/>
  <c r="AU2928" i="1" a="1"/>
  <c r="AU3831" i="1" a="1"/>
  <c r="AU2801" i="1" a="1"/>
  <c r="AU3571" i="1" a="1"/>
  <c r="AU2800" i="1" a="1"/>
  <c r="AU3363" i="1" a="1"/>
  <c r="AU3557" i="1" a="1"/>
  <c r="AU3521" i="1" a="1"/>
  <c r="AU4142" i="1" a="1"/>
  <c r="AU2910" i="1" a="1"/>
  <c r="AU3059" i="1" a="1"/>
  <c r="AU3007" i="1" a="1"/>
  <c r="AU4188" i="1" a="1"/>
  <c r="AU3676" i="1" a="1"/>
  <c r="AU3164" i="1" a="1"/>
  <c r="AU3979" i="1" a="1"/>
  <c r="AU3467" i="1" a="1"/>
  <c r="AU3978" i="1" a="1"/>
  <c r="AU4311" i="1" a="1"/>
  <c r="AU3893" i="1" a="1"/>
  <c r="AU4020" i="1" a="1"/>
  <c r="AU3508" i="1" a="1"/>
  <c r="AU4274" i="1" a="1"/>
  <c r="AU3281" i="1" a="1"/>
  <c r="AU3111" i="1" a="1"/>
  <c r="AU3195" i="1" a="1"/>
  <c r="AU4025" i="1" a="1"/>
  <c r="AU2991" i="1" a="1"/>
  <c r="AU3174" i="1" a="1"/>
  <c r="AU3481" i="1" a="1"/>
  <c r="AU3689" i="1" a="1"/>
  <c r="AU3969" i="1" a="1"/>
  <c r="AU3641" i="1" a="1"/>
  <c r="AU4046" i="1" a="1"/>
  <c r="AU4016" i="1" a="1"/>
  <c r="AU3294" i="1" a="1"/>
  <c r="AU3125" i="1" a="1"/>
  <c r="AU3249" i="1" a="1"/>
  <c r="AU3425" i="1" a="1"/>
  <c r="AU3610" i="1" a="1"/>
  <c r="AU3679" i="1" a="1"/>
  <c r="AU3274" i="1" a="1"/>
  <c r="AU3016" i="1" a="1"/>
  <c r="AU3146" i="1" a="1"/>
  <c r="AU3041" i="1" a="1"/>
  <c r="AU2788" i="1" a="1"/>
  <c r="AU3486" i="1" a="1"/>
  <c r="AU4172" i="1" a="1"/>
  <c r="AU3660" i="1" a="1"/>
  <c r="AU3148" i="1" a="1"/>
  <c r="AU3963" i="1" a="1"/>
  <c r="AU3451" i="1" a="1"/>
  <c r="AU3962" i="1" a="1"/>
  <c r="AU4295" i="1" a="1"/>
  <c r="AU3877" i="1" a="1"/>
  <c r="AU4004" i="1" a="1"/>
  <c r="AU3492" i="1" a="1"/>
  <c r="AU4258" i="1" a="1"/>
  <c r="AU3261" i="1" a="1"/>
  <c r="AU3841" i="1" a="1"/>
  <c r="AU3175" i="1" a="1"/>
  <c r="AU3999" i="1" a="1"/>
  <c r="AU2972" i="1" a="1"/>
  <c r="AU3153" i="1" a="1"/>
  <c r="AU3434" i="1" a="1"/>
  <c r="AU3642" i="1" a="1"/>
  <c r="AU3944" i="1" a="1"/>
  <c r="AU4222" i="1" a="1"/>
  <c r="AU4017" i="1" a="1"/>
  <c r="AU3685" i="1" a="1"/>
  <c r="AU3272" i="1" a="1"/>
  <c r="AU3085" i="1" a="1"/>
  <c r="AU3229" i="1" a="1"/>
  <c r="AU3379" i="1" a="1"/>
  <c r="AU3587" i="1" a="1"/>
  <c r="AU3632" i="1" a="1"/>
  <c r="AU3243" i="1" a="1"/>
  <c r="AU2873" i="1" a="1"/>
  <c r="AU3055" i="1" a="1"/>
  <c r="AU2830" i="1" a="1"/>
  <c r="AU3233" i="1" a="1"/>
  <c r="AU2833" i="1" a="1"/>
  <c r="AU3578" i="1" a="1"/>
  <c r="AU3594" i="1" a="1"/>
  <c r="AU4156" i="1" a="1"/>
  <c r="AU3644" i="1" a="1"/>
  <c r="AU3132" i="1" a="1"/>
  <c r="AU3947" i="1" a="1"/>
  <c r="AU3435" i="1" a="1"/>
  <c r="AU3946" i="1" a="1"/>
  <c r="AU4279" i="1" a="1"/>
  <c r="AU3861" i="1" a="1"/>
  <c r="AU3988" i="1" a="1"/>
  <c r="AU3476" i="1" a="1"/>
  <c r="AU4242" i="1" a="1"/>
  <c r="AU3239" i="1" a="1"/>
  <c r="AU3713" i="1" a="1"/>
  <c r="AU3154" i="1" a="1"/>
  <c r="AU3974" i="1" a="1"/>
  <c r="AU2924" i="1" a="1"/>
  <c r="AU3112" i="1" a="1"/>
  <c r="AU3411" i="1" a="1"/>
  <c r="AU3527" i="1" a="1"/>
  <c r="AU3919" i="1" a="1"/>
  <c r="AU4190" i="1" a="1"/>
  <c r="AU3939" i="1" a="1"/>
  <c r="AU3662" i="1" a="1"/>
  <c r="AU3250" i="1" a="1"/>
  <c r="AU4301" i="1" a="1"/>
  <c r="AU3207" i="1" a="1"/>
  <c r="AU3358" i="1" a="1"/>
  <c r="AU3542" i="1" a="1"/>
  <c r="AU3585" i="1" a="1"/>
  <c r="AU3179" i="1" a="1"/>
  <c r="AU2942" i="1" a="1"/>
  <c r="AU2947" i="1" a="1"/>
  <c r="AU3329" i="1" a="1"/>
  <c r="AU2808" i="1" a="1"/>
  <c r="AU3491" i="1" a="1"/>
  <c r="AU3493" i="1" a="1"/>
  <c r="AU3002" i="1" a="1"/>
  <c r="AU3560" i="1" a="1"/>
  <c r="AU4140" i="1" a="1"/>
  <c r="AU3628" i="1" a="1"/>
  <c r="AU3116" i="1" a="1"/>
  <c r="AU3931" i="1" a="1"/>
  <c r="AU3419" i="1" a="1"/>
  <c r="AU3930" i="1" a="1"/>
  <c r="AU4326" i="1" a="1"/>
  <c r="AU3845" i="1" a="1"/>
  <c r="AU3972" i="1" a="1"/>
  <c r="AU3460" i="1" a="1"/>
  <c r="AU4226" i="1" a="1"/>
  <c r="AU3217" i="1" a="1"/>
  <c r="AU3619" i="1" a="1"/>
  <c r="AU3113" i="1" a="1"/>
  <c r="AU3949" i="1" a="1"/>
  <c r="AU2860" i="1" a="1"/>
  <c r="AU3092" i="1" a="1"/>
  <c r="AU3344" i="1" a="1"/>
  <c r="AU3480" i="1" a="1"/>
  <c r="AU3894" i="1" a="1"/>
  <c r="AU4158" i="1" a="1"/>
  <c r="AU3811" i="1" a="1"/>
  <c r="AU3615" i="1" a="1"/>
  <c r="AU3230" i="1" a="1"/>
  <c r="AU4254" i="1" a="1"/>
  <c r="AU3166" i="1" a="1"/>
  <c r="AU3335" i="1" a="1"/>
  <c r="AU3495" i="1" a="1"/>
  <c r="AU3538" i="1" a="1"/>
  <c r="AU3147" i="1" a="1"/>
  <c r="AU2851" i="1" a="1"/>
  <c r="AU2881" i="1" a="1"/>
  <c r="AU3513" i="1" a="1"/>
  <c r="AU2897" i="1" a="1"/>
  <c r="AU3333" i="1" a="1"/>
  <c r="AU3141" i="1" a="1"/>
  <c r="AU2755" i="1" a="1"/>
  <c r="AU3062" i="1" a="1"/>
  <c r="AU3361" i="1" a="1"/>
  <c r="AU4124" i="1" a="1"/>
  <c r="AU3612" i="1" a="1"/>
  <c r="AU3100" i="1" a="1"/>
  <c r="AU3915" i="1" a="1"/>
  <c r="AU3403" i="1" a="1"/>
  <c r="AU3914" i="1" a="1"/>
  <c r="AU4310" i="1" a="1"/>
  <c r="AU3829" i="1" a="1"/>
  <c r="AU3956" i="1" a="1"/>
  <c r="AU3444" i="1" a="1"/>
  <c r="AU4321" i="1" a="1"/>
  <c r="AU3197" i="1" a="1"/>
  <c r="AU3433" i="1" a="1"/>
  <c r="AU3093" i="1" a="1"/>
  <c r="AU3921" i="1" a="1"/>
  <c r="AU3235" i="1" a="1"/>
  <c r="AU3050" i="1" a="1"/>
  <c r="AU3321" i="1" a="1"/>
  <c r="AU3365" i="1" a="1"/>
  <c r="AU3791" i="1" a="1"/>
  <c r="AU4102" i="1" a="1"/>
  <c r="AU3663" i="1" a="1"/>
  <c r="AU4302" i="1" a="1"/>
  <c r="AU3208" i="1" a="1"/>
  <c r="AU4214" i="1" a="1"/>
  <c r="AU3104" i="1" a="1"/>
  <c r="AU3291" i="1" a="1"/>
  <c r="AU3448" i="1" a="1"/>
  <c r="AU3517" i="1" a="1"/>
  <c r="AU3118" i="1" a="1"/>
  <c r="AU3103" i="1" a="1"/>
  <c r="AU2857" i="1" a="1"/>
  <c r="AU3004" i="1" a="1"/>
  <c r="AU3075" i="1" a="1"/>
  <c r="AU3169" i="1" a="1"/>
  <c r="AU2993" i="1" a="1"/>
  <c r="AU3218" i="1" a="1"/>
  <c r="AU3285" i="1" a="1"/>
  <c r="AU3408" i="1" a="1"/>
  <c r="AU3440" i="1" a="1"/>
  <c r="AU4108" i="1" a="1"/>
  <c r="AU3596" i="1" a="1"/>
  <c r="AU3084" i="1" a="1"/>
  <c r="AU3899" i="1" a="1"/>
  <c r="AU3387" i="1" a="1"/>
  <c r="AU3898" i="1" a="1"/>
  <c r="AU4325" i="1" a="1"/>
  <c r="AU3813" i="1" a="1"/>
  <c r="AU3940" i="1" a="1"/>
  <c r="AU3428" i="1" a="1"/>
  <c r="AU4320" i="1" a="1"/>
  <c r="AU3155" i="1" a="1"/>
  <c r="AU3298" i="1" a="1"/>
  <c r="AU3053" i="1" a="1"/>
  <c r="AU3896" i="1" a="1"/>
  <c r="AU3029" i="1" a="1"/>
  <c r="AU2811" i="1" a="1"/>
  <c r="AU3300" i="1" a="1"/>
  <c r="AU3256" i="1" a="1"/>
  <c r="AU4263" i="1" a="1"/>
  <c r="AU4073" i="1" a="1"/>
  <c r="AU3616" i="1" a="1"/>
  <c r="AU4255" i="1" a="1"/>
  <c r="AU3187" i="1" a="1"/>
  <c r="AU4182" i="1" a="1"/>
  <c r="AU3083" i="1" a="1"/>
  <c r="AU3227" i="1" a="1"/>
  <c r="AU4289" i="1" a="1"/>
  <c r="AU4241" i="1" a="1"/>
  <c r="AU3086" i="1" a="1"/>
  <c r="AU2896" i="1" a="1"/>
  <c r="AU2815" i="1" a="1"/>
  <c r="AU2820" i="1" a="1"/>
  <c r="AU3074" i="1" a="1"/>
  <c r="AU2831" i="1" a="1"/>
  <c r="AU2966" i="1" a="1"/>
  <c r="AU3058" i="1" a="1"/>
  <c r="AU2799" i="1" a="1"/>
  <c r="AU3373" i="1" a="1"/>
  <c r="AU4237" i="1" a="1"/>
  <c r="AU3651" i="1" a="1"/>
  <c r="AU4092" i="1" a="1"/>
  <c r="AU3580" i="1" a="1"/>
  <c r="AU3068" i="1" a="1"/>
  <c r="AU3883" i="1" a="1"/>
  <c r="AU3371" i="1" a="1"/>
  <c r="AU3882" i="1" a="1"/>
  <c r="AU4309" i="1" a="1"/>
  <c r="AU3797" i="1" a="1"/>
  <c r="AU3924" i="1" a="1"/>
  <c r="AU3412" i="1" a="1"/>
  <c r="AU4272" i="1" a="1"/>
  <c r="AU3135" i="1" a="1"/>
  <c r="AU3214" i="1" a="1"/>
  <c r="AU3011" i="1" a="1"/>
  <c r="AU3871" i="1" a="1"/>
  <c r="AU3741" i="1" a="1"/>
  <c r="AU2763" i="1" a="1"/>
  <c r="AU3279" i="1" a="1"/>
  <c r="AU3192" i="1" a="1"/>
  <c r="AU4223" i="1" a="1"/>
  <c r="AU4047" i="1" a="1"/>
  <c r="AU4303" i="1" a="1"/>
  <c r="AU4215" i="1" a="1"/>
  <c r="AU3167" i="1" a="1"/>
  <c r="AU4150" i="1" a="1"/>
  <c r="AU3063" i="1" a="1"/>
  <c r="AU3185" i="1" a="1"/>
  <c r="AU4247" i="1" a="1"/>
  <c r="AU4118" i="1" a="1"/>
  <c r="AU3024" i="1" a="1"/>
  <c r="AU3406" i="1" a="1"/>
  <c r="AU2771" i="1" a="1"/>
  <c r="AU3317" i="1" a="1"/>
  <c r="AU2866" i="1" a="1"/>
  <c r="AU3076" i="1" a="1"/>
  <c r="AU2809" i="1" a="1"/>
  <c r="AU3465" i="1" a="1"/>
  <c r="AU3351" i="1" a="1"/>
  <c r="AU3201" i="1" a="1"/>
  <c r="AU4002" i="1" a="1"/>
  <c r="AU3136" i="1" a="1"/>
  <c r="AU3562" i="1" a="1"/>
  <c r="AU3069" i="1" a="1"/>
  <c r="AU3161" i="1" a="1"/>
  <c r="AU3224" i="1" a="1"/>
  <c r="AU3283" i="1" a="1"/>
  <c r="AU2948" i="1" a="1"/>
  <c r="AU3650" i="1" a="1"/>
  <c r="AU3592" i="1" a="1"/>
  <c r="AU2985" i="1" a="1"/>
  <c r="AU3347" i="1" a="1"/>
  <c r="AU3182" i="1" a="1"/>
  <c r="AU3026" i="1" a="1"/>
  <c r="AU3904" i="1" a="1"/>
  <c r="AU3102" i="1" a="1"/>
  <c r="AU3039" i="1" a="1"/>
  <c r="AU3129" i="1" a="1"/>
  <c r="AU3191" i="1" a="1"/>
  <c r="AU2773" i="1" a="1"/>
  <c r="AU4081" i="1" a="1"/>
  <c r="AU4061" i="1" a="1"/>
  <c r="AU3000" i="1" a="1"/>
  <c r="AU2822" i="1" a="1"/>
  <c r="AU3253" i="1" a="1"/>
  <c r="AU3856" i="1" a="1"/>
  <c r="AU4082" i="1" a="1"/>
  <c r="AU3654" i="1" a="1"/>
  <c r="AU2774" i="1" a="1"/>
  <c r="AU4076" i="1" a="1"/>
  <c r="AU3564" i="1" a="1"/>
  <c r="AU3052" i="1" a="1"/>
  <c r="AU3867" i="1" a="1"/>
  <c r="AU3355" i="1" a="1"/>
  <c r="AU3866" i="1" a="1"/>
  <c r="AU4293" i="1" a="1"/>
  <c r="AU3781" i="1" a="1"/>
  <c r="AU3908" i="1" a="1"/>
  <c r="AU3396" i="1" a="1"/>
  <c r="AU4198" i="1" a="1"/>
  <c r="AU3094" i="1" a="1"/>
  <c r="AU3130" i="1" a="1"/>
  <c r="AU3010" i="1" a="1"/>
  <c r="AU3846" i="1" a="1"/>
  <c r="AU3320" i="1" a="1"/>
  <c r="AU3551" i="1" a="1"/>
  <c r="AU3257" i="1" a="1"/>
  <c r="AU2989" i="1" a="1"/>
  <c r="AU4191" i="1" a="1"/>
  <c r="AU4018" i="1" a="1"/>
  <c r="AU4256" i="1" a="1"/>
  <c r="AU4183" i="1" a="1"/>
  <c r="AU3126" i="1" a="1"/>
  <c r="AU4121" i="1" a="1"/>
  <c r="AU3042" i="1" a="1"/>
  <c r="AU3144" i="1" a="1"/>
  <c r="AU4209" i="1" a="1"/>
  <c r="AU4089" i="1" a="1"/>
  <c r="AU2997" i="1" a="1"/>
  <c r="AU3165" i="1" a="1"/>
  <c r="AU2996" i="1" a="1"/>
  <c r="AU2976" i="1" a="1"/>
  <c r="AU3061" i="1" a="1"/>
  <c r="AU3629" i="1" a="1"/>
  <c r="AU3523" i="1" a="1"/>
  <c r="AU4060" i="1" a="1"/>
  <c r="AU3548" i="1" a="1"/>
  <c r="AU3036" i="1" a="1"/>
  <c r="AU3851" i="1" a="1"/>
  <c r="AU3339" i="1" a="1"/>
  <c r="AU3850" i="1" a="1"/>
  <c r="AU4277" i="1" a="1"/>
  <c r="AU3765" i="1" a="1"/>
  <c r="AU3892" i="1" a="1"/>
  <c r="AU4323" i="1" a="1"/>
  <c r="AU4166" i="1" a="1"/>
  <c r="AU3073" i="1" a="1"/>
  <c r="AU2970" i="1" a="1"/>
  <c r="AU2956" i="1" a="1"/>
  <c r="AU3821" i="1" a="1"/>
  <c r="AU2826" i="1" a="1"/>
  <c r="AU3766" i="1" a="1"/>
  <c r="AU3236" i="1" a="1"/>
  <c r="AU2938" i="1" a="1"/>
  <c r="AU4159" i="1" a="1"/>
  <c r="AU3664" i="1" a="1"/>
  <c r="AU4217" i="1" a="1"/>
  <c r="AU4151" i="1" a="1"/>
  <c r="AU3105" i="1" a="1"/>
  <c r="AU4095" i="1" a="1"/>
  <c r="AU2965" i="1" a="1"/>
  <c r="AU3124" i="1" a="1"/>
  <c r="AU4177" i="1" a="1"/>
  <c r="AU4063" i="1" a="1"/>
  <c r="AU2969" i="1" a="1"/>
  <c r="AU2785" i="1" a="1"/>
  <c r="AU2902" i="1" a="1"/>
  <c r="AU3429" i="1" a="1"/>
  <c r="AU3157" i="1" a="1"/>
  <c r="AU3678" i="1" a="1"/>
  <c r="AU3374" i="1" a="1"/>
  <c r="AU4136" i="1" a="1"/>
  <c r="AU3275" i="1" a="1"/>
  <c r="AU2974" i="1" a="1"/>
  <c r="AU3826" i="1" a="1"/>
  <c r="AU3040" i="1" a="1"/>
  <c r="AU3362" i="1" a="1"/>
  <c r="AU2983" i="1" a="1"/>
  <c r="AU3099" i="1" a="1"/>
  <c r="AU3066" i="1" a="1"/>
  <c r="AU3056" i="1" a="1"/>
  <c r="AU3977" i="1" a="1"/>
  <c r="AU3878" i="1" a="1"/>
  <c r="AU2999" i="1" a="1"/>
  <c r="AU3581" i="1" a="1"/>
  <c r="AU3013" i="1" a="1"/>
  <c r="AU3352" i="1" a="1"/>
  <c r="AU3120" i="1" a="1"/>
  <c r="AU3252" i="1" a="1"/>
  <c r="AU2825" i="1" a="1"/>
  <c r="AU2818" i="1" a="1"/>
  <c r="AU4044" i="1" a="1"/>
  <c r="AU3532" i="1" a="1"/>
  <c r="AU3020" i="1" a="1"/>
  <c r="AU3835" i="1" a="1"/>
  <c r="AU3323" i="1" a="1"/>
  <c r="AU3834" i="1" a="1"/>
  <c r="AU4261" i="1" a="1"/>
  <c r="AU3749" i="1" a="1"/>
  <c r="AU3876" i="1" a="1"/>
  <c r="AU4307" i="1" a="1"/>
  <c r="AU4055" i="1" a="1"/>
  <c r="AU3032" i="1" a="1"/>
  <c r="AU2890" i="1" a="1"/>
  <c r="AU2940" i="1" a="1"/>
  <c r="AU3793" i="1" a="1"/>
  <c r="AU4225" i="1" a="1"/>
  <c r="AU3278" i="1" a="1"/>
  <c r="AU3215" i="1" a="1"/>
  <c r="AU2906" i="1" a="1"/>
  <c r="AU4103" i="1" a="1"/>
  <c r="AU3617" i="1" a="1"/>
  <c r="AU4185" i="1" a="1"/>
  <c r="AU4125" i="1" a="1"/>
  <c r="AU3064" i="1" a="1"/>
  <c r="AU4066" i="1" a="1"/>
  <c r="AU2949" i="1" a="1"/>
  <c r="AU3082" i="1" a="1"/>
  <c r="AU4145" i="1" a="1"/>
  <c r="AU4034" i="1" a="1"/>
  <c r="AU2927" i="1" a="1"/>
  <c r="AU3393" i="1" a="1"/>
  <c r="AU2835" i="1" a="1"/>
  <c r="AU2884" i="1" a="1"/>
  <c r="AU3060" i="1" a="1"/>
  <c r="AU3295" i="1" a="1"/>
  <c r="AU3267" i="1" a="1"/>
  <c r="AU4030" i="1" a="1"/>
  <c r="AU4246" i="1" a="1"/>
  <c r="AU3464" i="1" a="1"/>
  <c r="AU3609" i="1" a="1"/>
  <c r="AU3014" i="1" a="1"/>
  <c r="AU3328" i="1" a="1"/>
  <c r="AU2960" i="1" a="1"/>
  <c r="AU3067" i="1" a="1"/>
  <c r="AU2935" i="1" a="1"/>
  <c r="AU4199" i="1" a="1"/>
  <c r="AU3880" i="1" a="1"/>
  <c r="AU3726" i="1" a="1"/>
  <c r="AU4167" i="1" a="1"/>
  <c r="AU3753" i="1" a="1"/>
  <c r="AU2895" i="1" a="1"/>
  <c r="AU3602" i="1" a="1"/>
  <c r="AU3477" i="1" a="1"/>
  <c r="AU2915" i="1" a="1"/>
  <c r="AU2912" i="1" a="1"/>
  <c r="AU2865" i="1" a="1"/>
  <c r="AU2804" i="1" a="1"/>
  <c r="AU3430" i="1" a="1"/>
  <c r="AU4028" i="1" a="1"/>
  <c r="AU3516" i="1" a="1"/>
  <c r="AU4331" i="1" a="1"/>
  <c r="AU3819" i="1" a="1"/>
  <c r="AU4330" i="1" a="1"/>
  <c r="AU3818" i="1" a="1"/>
  <c r="AU4245" i="1" a="1"/>
  <c r="AU3733" i="1" a="1"/>
  <c r="AU3860" i="1" a="1"/>
  <c r="AU4291" i="1" a="1"/>
  <c r="AU4029" i="1" a="1"/>
  <c r="AU3012" i="1" a="1"/>
  <c r="AU2842" i="1" a="1"/>
  <c r="AU2908" i="1" a="1"/>
  <c r="AU3768" i="1" a="1"/>
  <c r="AU4193" i="1" a="1"/>
  <c r="AU2954" i="1" a="1"/>
  <c r="AU3193" i="1" a="1"/>
  <c r="AU2858" i="1" a="1"/>
  <c r="AU4077" i="1" a="1"/>
  <c r="AU4304" i="1" a="1"/>
  <c r="AU4153" i="1" a="1"/>
  <c r="AU4096" i="1" a="1"/>
  <c r="AU3044" i="1" a="1"/>
  <c r="AU3986" i="1" a="1"/>
  <c r="AU2933" i="1" a="1"/>
  <c r="AU3022" i="1" a="1"/>
  <c r="AU4039" i="1" a="1"/>
  <c r="AU3983" i="1" a="1"/>
  <c r="AU2903" i="1" a="1"/>
  <c r="AU2911" i="1" a="1"/>
  <c r="AU2791" i="1" a="1"/>
  <c r="AU2929" i="1" a="1"/>
  <c r="AU3028" i="1" a="1"/>
  <c r="AU3318" i="1" a="1"/>
  <c r="AU2878" i="1" a="1"/>
  <c r="AU3928" i="1" a="1"/>
  <c r="AU3282" i="1" a="1"/>
  <c r="AU4238" i="1" a="1"/>
  <c r="AU3569" i="1" a="1"/>
  <c r="AU2984" i="1" a="1"/>
  <c r="AU3290" i="1" a="1"/>
  <c r="AU2936" i="1" a="1"/>
  <c r="AU2981" i="1" a="1"/>
  <c r="AU2823" i="1" a="1"/>
  <c r="AU3881" i="1" a="1"/>
  <c r="AU3805" i="1" a="1"/>
  <c r="AU3555" i="1" a="1"/>
  <c r="AU4056" i="1" a="1"/>
  <c r="AU3848" i="1" a="1"/>
  <c r="AU2760" i="1" a="1"/>
  <c r="AU3432" i="1" a="1"/>
  <c r="AU4173" i="1" a="1"/>
  <c r="AU2806" i="1" a="1"/>
  <c r="AU2772" i="1" a="1"/>
  <c r="AU2759" i="1" a="1"/>
  <c r="AU3248" i="1" a="1"/>
  <c r="AU2841" i="1" a="1"/>
  <c r="AU4012" i="1" a="1"/>
  <c r="AU3500" i="1" a="1"/>
  <c r="AU4315" i="1" a="1"/>
  <c r="AU3803" i="1" a="1"/>
  <c r="AU4314" i="1" a="1"/>
  <c r="AU3802" i="1" a="1"/>
  <c r="AU4229" i="1" a="1"/>
  <c r="AU3717" i="1" a="1"/>
  <c r="AU3844" i="1" a="1"/>
  <c r="AU4275" i="1" a="1"/>
  <c r="AU4000" i="1" a="1"/>
  <c r="AU2992" i="1" a="1"/>
  <c r="AU2762" i="1" a="1"/>
  <c r="AU2876" i="1" a="1"/>
  <c r="AU3743" i="1" a="1"/>
  <c r="AU4161" i="1" a="1"/>
  <c r="AU4318" i="1" a="1"/>
  <c r="AU3173" i="1" a="1"/>
  <c r="AU2778" i="1" a="1"/>
  <c r="AU4048" i="1" a="1"/>
  <c r="AU4257" i="1" a="1"/>
  <c r="AU4126" i="1" a="1"/>
  <c r="AU3990" i="1" a="1"/>
  <c r="AU4070" i="1" a="1"/>
  <c r="AU3961" i="1" a="1"/>
  <c r="AU2917" i="1" a="1"/>
  <c r="AU3001" i="1" a="1"/>
  <c r="AU4013" i="1" a="1"/>
  <c r="AU3958" i="1" a="1"/>
  <c r="AU2836" i="1" a="1"/>
  <c r="AU3003" i="1" a="1"/>
  <c r="AU3177" i="1" a="1"/>
  <c r="AU2817" i="1" a="1"/>
  <c r="AU3027" i="1" a="1"/>
  <c r="AU3284" i="1" a="1"/>
  <c r="AU3266" i="1" a="1"/>
  <c r="AU3849" i="1" a="1"/>
  <c r="AU4113" i="1" a="1"/>
  <c r="AU3923" i="1" a="1"/>
  <c r="AU3488" i="1" a="1"/>
  <c r="AU2961" i="1" a="1"/>
  <c r="AU3198" i="1" a="1"/>
  <c r="AU2894" i="1" a="1"/>
  <c r="AU2914" i="1" a="1"/>
  <c r="AU3127" i="1" a="1"/>
  <c r="AU3806" i="1" a="1"/>
  <c r="AU3728" i="1" a="1"/>
  <c r="AU3512" i="1" a="1"/>
  <c r="AU3953" i="1" a="1"/>
  <c r="AU2863" i="1" a="1"/>
  <c r="AU3038" i="1" a="1"/>
  <c r="AU3721" i="1" a="1"/>
  <c r="AU3287" i="1" a="1"/>
  <c r="AU3489" i="1" a="1"/>
  <c r="AU3254" i="1" a="1"/>
  <c r="AU2959" i="1" a="1"/>
  <c r="AU4231" i="1" a="1"/>
  <c r="AU3800" i="1" a="1"/>
  <c r="AU3223" i="1" a="1"/>
  <c r="AU3981" i="1" a="1"/>
  <c r="AU2756" i="1" a="1"/>
  <c r="AU3996" i="1" a="1"/>
  <c r="AU3484" i="1" a="1"/>
  <c r="AU4299" i="1" a="1"/>
  <c r="AU3787" i="1" a="1"/>
  <c r="AU4298" i="1" a="1"/>
  <c r="AU3786" i="1" a="1"/>
  <c r="AU4213" i="1" a="1"/>
  <c r="AU3701" i="1" a="1"/>
  <c r="AU3828" i="1" a="1"/>
  <c r="AU4259" i="1" a="1"/>
  <c r="AU3975" i="1" a="1"/>
  <c r="AU2973" i="1" a="1"/>
  <c r="AU3618" i="1" a="1"/>
  <c r="AU2844" i="1" a="1"/>
  <c r="AU3718" i="1" a="1"/>
  <c r="AU4134" i="1" a="1"/>
  <c r="AU4270" i="1" a="1"/>
  <c r="AU3133" i="1" a="1"/>
  <c r="AU3597" i="1" a="1"/>
  <c r="AU3891" i="1" a="1"/>
  <c r="AU4127" i="1" a="1"/>
  <c r="AU4097" i="1" a="1"/>
  <c r="AU3965" i="1" a="1"/>
  <c r="AU4041" i="1" a="1"/>
  <c r="AU3936" i="1" a="1"/>
  <c r="AU2901" i="1" a="1"/>
  <c r="AU2982" i="1" a="1"/>
  <c r="AU3907" i="1" a="1"/>
  <c r="AU3933" i="1" a="1"/>
  <c r="AU2792" i="1" a="1"/>
  <c r="AU3316" i="1" a="1"/>
  <c r="AU2946" i="1" a="1"/>
  <c r="AU2904" i="1" a="1"/>
  <c r="AU3088" i="1" a="1"/>
  <c r="AU2840" i="1" a="1"/>
  <c r="AU3140" i="1" a="1"/>
  <c r="AU3630" i="1" a="1"/>
  <c r="AU3927" i="1" a="1"/>
  <c r="AU3830" i="1" a="1"/>
  <c r="AU3445" i="1" a="1"/>
  <c r="AU2937" i="1" a="1"/>
  <c r="AU3162" i="1" a="1"/>
  <c r="AU2870" i="1" a="1"/>
  <c r="AU2803" i="1" a="1"/>
  <c r="AU3096" i="1" a="1"/>
  <c r="AU3672" i="1" a="1"/>
  <c r="AU3475" i="1" a="1"/>
  <c r="AU3470" i="1" a="1"/>
  <c r="AU3873" i="1" a="1"/>
  <c r="AU3046" i="1" a="1"/>
  <c r="AU3122" i="1" a="1"/>
  <c r="AU2783" i="1" a="1"/>
  <c r="AU3159" i="1" a="1"/>
  <c r="AU2793" i="1" a="1"/>
  <c r="AU3150" i="1" a="1"/>
  <c r="AU3466" i="1" a="1"/>
  <c r="AU3952" i="1" a="1"/>
  <c r="AU4200" i="1" a="1"/>
  <c r="AU3392" i="1" a="1"/>
  <c r="AU3097" i="1" a="1"/>
  <c r="AU3503" i="1" a="1"/>
  <c r="AU3980" i="1" a="1"/>
  <c r="AU3468" i="1" a="1"/>
  <c r="AU4283" i="1" a="1"/>
  <c r="AU3771" i="1" a="1"/>
  <c r="AU4282" i="1" a="1"/>
  <c r="AU3770" i="1" a="1"/>
  <c r="AU4197" i="1" a="1"/>
  <c r="AU4324" i="1" a="1"/>
  <c r="AU3812" i="1" a="1"/>
  <c r="AU4243" i="1" a="1"/>
  <c r="AU3950" i="1" a="1"/>
  <c r="AU2957" i="1" a="1"/>
  <c r="AU3456" i="1" a="1"/>
  <c r="AU2812" i="1" a="1"/>
  <c r="AU3670" i="1" a="1"/>
  <c r="AU4105" i="1" a="1"/>
  <c r="AU4130" i="1" a="1"/>
  <c r="AU3091" i="1" a="1"/>
  <c r="AU4224" i="1" a="1"/>
  <c r="AU3763" i="1" a="1"/>
  <c r="AU4098" i="1" a="1"/>
  <c r="AU3991" i="1" a="1"/>
  <c r="AU3937" i="1" a="1"/>
  <c r="AU4015" i="1" a="1"/>
  <c r="AU3911" i="1" a="1"/>
  <c r="AU2885" i="1" a="1"/>
  <c r="AU3401" i="1" a="1"/>
  <c r="AU3779" i="1" a="1"/>
  <c r="AU3905" i="1" a="1"/>
  <c r="AU3081" i="1" a="1"/>
  <c r="AU2864" i="1" a="1"/>
  <c r="AU2880" i="1" a="1"/>
  <c r="AU3778" i="1" a="1"/>
  <c r="AU3213" i="1" a="1"/>
  <c r="AU3369" i="1" a="1"/>
  <c r="AU3964" i="1" a="1"/>
  <c r="AU3452" i="1" a="1"/>
  <c r="AU4267" i="1" a="1"/>
  <c r="AU3755" i="1" a="1"/>
  <c r="AU4266" i="1" a="1"/>
  <c r="AU3754" i="1" a="1"/>
  <c r="AU4181" i="1" a="1"/>
  <c r="AU4308" i="1" a="1"/>
  <c r="AU3796" i="1" a="1"/>
  <c r="AU4227" i="1" a="1"/>
  <c r="AU3922" i="1" a="1"/>
  <c r="AU2941" i="1" a="1"/>
  <c r="AU4230" i="1" a="1"/>
  <c r="AU2780" i="1" a="1"/>
  <c r="AU3623" i="1" a="1"/>
  <c r="AU4079" i="1" a="1"/>
  <c r="AU4024" i="1" a="1"/>
  <c r="AU3071" i="1" a="1"/>
  <c r="AU4192" i="1" a="1"/>
  <c r="AU3665" i="1" a="1"/>
  <c r="AU3992" i="1" a="1"/>
  <c r="AU3966" i="1" a="1"/>
  <c r="AU3912" i="1" a="1"/>
  <c r="AU3987" i="1" a="1"/>
  <c r="AU3886" i="1" a="1"/>
  <c r="AU2869" i="1" a="1"/>
  <c r="AU3378" i="1" a="1"/>
  <c r="AU3704" i="1" a="1"/>
  <c r="AU4287" i="1" a="1"/>
  <c r="AU2968" i="1" a="1"/>
  <c r="AU3423" i="1" a="1"/>
  <c r="AU2834" i="1" a="1"/>
  <c r="AU4278" i="1" a="1"/>
  <c r="AU3245" i="1" a="1"/>
  <c r="AU3546" i="1" a="1"/>
  <c r="AU2988" i="1" a="1"/>
  <c r="AU3536" i="1" a="1"/>
  <c r="AU3409" i="1" a="1"/>
  <c r="AU3695" i="1" a="1"/>
  <c r="AU3264" i="1" a="1"/>
  <c r="AU2871" i="1" a="1"/>
  <c r="AU2784" i="1" a="1"/>
  <c r="AU2848" i="1" a="1"/>
  <c r="AU2868" i="1" a="1"/>
  <c r="AU2819" i="1" a="1"/>
  <c r="AU3559" i="1" a="1"/>
  <c r="AU3394" i="1" a="1"/>
  <c r="AU3033" i="1" a="1"/>
  <c r="AU3510" i="1" a="1"/>
  <c r="AU4031" i="1" a="1"/>
  <c r="AU2798" i="1" a="1"/>
  <c r="AU3137" i="1" a="1"/>
  <c r="AU2782" i="1" a="1"/>
  <c r="AU2802" i="1" a="1"/>
  <c r="AU3098" i="1" a="1"/>
  <c r="AU3439" i="1" a="1"/>
  <c r="AU3370" i="1" a="1"/>
  <c r="AU3875" i="1" a="1"/>
  <c r="AU3222" i="1" a="1"/>
  <c r="AU2777" i="1" a="1"/>
  <c r="AU3795" i="1" a="1"/>
  <c r="AU3286" i="1" a="1"/>
  <c r="AU3948" i="1" a="1"/>
  <c r="AU3436" i="1" a="1"/>
  <c r="AU4251" i="1" a="1"/>
  <c r="AU3739" i="1" a="1"/>
  <c r="AU4250" i="1" a="1"/>
  <c r="AU3738" i="1" a="1"/>
  <c r="AU4165" i="1" a="1"/>
  <c r="AU4292" i="1" a="1"/>
  <c r="AU3780" i="1" a="1"/>
  <c r="AU4211" i="1" a="1"/>
  <c r="AU3897" i="1" a="1"/>
  <c r="AU2925" i="1" a="1"/>
  <c r="AU4194" i="1" a="1"/>
  <c r="AU2779" i="1" a="1"/>
  <c r="AU3576" i="1" a="1"/>
  <c r="AU4050" i="1" a="1"/>
  <c r="AU3998" i="1" a="1"/>
  <c r="AU3030" i="1" a="1"/>
  <c r="AU4160" i="1" a="1"/>
  <c r="AU4305" i="1" a="1"/>
  <c r="AU3967" i="1" a="1"/>
  <c r="AU3938" i="1" a="1"/>
  <c r="AU3887" i="1" a="1"/>
  <c r="AU3859" i="1" a="1"/>
  <c r="AU3858" i="1" a="1"/>
  <c r="AU2853" i="1" a="1"/>
  <c r="AU3312" i="1" a="1"/>
  <c r="AU3680" i="1" a="1"/>
  <c r="AU4207" i="1" a="1"/>
  <c r="AU3241" i="1" a="1"/>
  <c r="AU2839" i="1" a="1"/>
  <c r="AU2790" i="1" a="1"/>
  <c r="AU3934" i="1" a="1"/>
  <c r="AU4137" i="1" a="1"/>
  <c r="AU4273" i="1" a="1"/>
  <c r="AU2832" i="1" a="1"/>
  <c r="AU3494" i="1" a="1"/>
  <c r="AU2930" i="1" a="1"/>
  <c r="AU3625" i="1" a="1"/>
  <c r="AU3231" i="1" a="1"/>
  <c r="AU2805" i="1" a="1"/>
  <c r="AU2980" i="1" a="1"/>
  <c r="AU2824" i="1" a="1"/>
  <c r="AU2913" i="1" a="1"/>
  <c r="AU3156" i="1" a="1"/>
  <c r="AU3514" i="1" a="1"/>
  <c r="AU3319" i="1" a="1"/>
  <c r="AU3246" i="1" a="1"/>
  <c r="AU3149" i="1" a="1"/>
  <c r="AU3775" i="1" a="1"/>
  <c r="AU3416" i="1" a="1"/>
  <c r="AU3570" i="1" a="1"/>
  <c r="AU2761" i="1" a="1"/>
  <c r="AU3350" i="1" a="1"/>
  <c r="AU3189" i="1" a="1"/>
  <c r="AU2849" i="1" a="1"/>
  <c r="AU3354" i="1" a="1"/>
  <c r="AU2889" i="1" a="1"/>
  <c r="AU3065" i="1" a="1"/>
  <c r="AU3932" i="1" a="1"/>
  <c r="AU3420" i="1" a="1"/>
  <c r="AU4235" i="1" a="1"/>
  <c r="AU3723" i="1" a="1"/>
  <c r="AU4234" i="1" a="1"/>
  <c r="AU3722" i="1" a="1"/>
  <c r="AU4149" i="1" a="1"/>
  <c r="AU4276" i="1" a="1"/>
  <c r="AU3764" i="1" a="1"/>
  <c r="AU4195" i="1" a="1"/>
  <c r="AU3872" i="1" a="1"/>
  <c r="AU2909" i="1" a="1"/>
  <c r="AU4162" i="1" a="1"/>
  <c r="AU3410" i="1" a="1"/>
  <c r="AU3529" i="1" a="1"/>
  <c r="AU3971" i="1" a="1"/>
  <c r="AU3970" i="1" a="1"/>
  <c r="AU3009" i="1" a="1"/>
  <c r="AU4104" i="1" a="1"/>
  <c r="AU4262" i="1" a="1"/>
  <c r="AU3942" i="1" a="1"/>
  <c r="AU3913" i="1" a="1"/>
  <c r="AU3862" i="1" a="1"/>
  <c r="AU3731" i="1" a="1"/>
  <c r="AU3833" i="1" a="1"/>
  <c r="AU2837" i="1" a="1"/>
  <c r="AU4253" i="1" a="1"/>
  <c r="AU3633" i="1" a="1"/>
  <c r="AU4175" i="1" a="1"/>
  <c r="AU3054" i="1" a="1"/>
  <c r="AU3057" i="1" a="1"/>
  <c r="AU3269" i="1" a="1"/>
  <c r="AU3776" i="1" a="1"/>
  <c r="AU3297" i="1" a="1"/>
  <c r="AU3798" i="1" a="1"/>
  <c r="AU3916" i="1" a="1"/>
  <c r="AU3404" i="1" a="1"/>
  <c r="AU4219" i="1" a="1"/>
  <c r="AU3707" i="1" a="1"/>
  <c r="AU4218" i="1" a="1"/>
  <c r="AU4329" i="1" a="1"/>
  <c r="AU4133" i="1" a="1"/>
  <c r="AU4260" i="1" a="1"/>
  <c r="AU3748" i="1" a="1"/>
  <c r="AU4179" i="1" a="1"/>
  <c r="AU3847" i="1" a="1"/>
  <c r="AU2893" i="1" a="1"/>
  <c r="AU4135" i="1" a="1"/>
  <c r="AU3299" i="1" a="1"/>
  <c r="AU3482" i="1" a="1"/>
  <c r="AU3843" i="1" a="1"/>
  <c r="AU3945" i="1" a="1"/>
  <c r="AU2990" i="1" a="1"/>
  <c r="AU4078" i="1" a="1"/>
  <c r="AU4128" i="1" a="1"/>
  <c r="AU3917" i="1" a="1"/>
  <c r="AU3888" i="1" a="1"/>
  <c r="AU3837" i="1" a="1"/>
  <c r="AU3706" i="1" a="1"/>
  <c r="AU3808" i="1" a="1"/>
  <c r="AU2821" i="1" a="1"/>
  <c r="AU4120" i="1" a="1"/>
  <c r="AU3586" i="1" a="1"/>
  <c r="AU4143" i="1" a="1"/>
  <c r="AU2856" i="1" a="1"/>
  <c r="AU2862" i="1" a="1"/>
  <c r="AU2855" i="1" a="1"/>
  <c r="AU3702" i="1" a="1"/>
  <c r="AU3929" i="1" a="1"/>
  <c r="AU3698" i="1" a="1"/>
  <c r="AU3045" i="1" a="1"/>
  <c r="AU3375" i="1" a="1"/>
  <c r="AU3959" i="1" a="1"/>
  <c r="AU3900" i="1" a="1"/>
  <c r="AU3388" i="1" a="1"/>
  <c r="AU4203" i="1" a="1"/>
  <c r="AU3691" i="1" a="1"/>
  <c r="AU4202" i="1" a="1"/>
  <c r="AU4313" i="1" a="1"/>
  <c r="AU4117" i="1" a="1"/>
  <c r="AU4244" i="1" a="1"/>
  <c r="AU3732" i="1" a="1"/>
  <c r="AU4163" i="1" a="1"/>
  <c r="AU3822" i="1" a="1"/>
  <c r="AU2877" i="1" a="1"/>
  <c r="AU4109" i="1" a="1"/>
  <c r="AU3152" i="1" a="1"/>
  <c r="AU3459" i="1" a="1"/>
  <c r="AU3715" i="1" a="1"/>
  <c r="AU3920" i="1" a="1"/>
  <c r="AU2971" i="1" a="1"/>
  <c r="AU4049" i="1" a="1"/>
  <c r="AU4022" i="1" a="1"/>
  <c r="AU3889" i="1" a="1"/>
  <c r="AU3863" i="1" a="1"/>
  <c r="AU3809" i="1" a="1"/>
  <c r="AU3682" i="1" a="1"/>
  <c r="AU3783" i="1" a="1"/>
  <c r="AU4294" i="1" a="1"/>
  <c r="AU4094" i="1" a="1"/>
  <c r="AU3565" i="1" a="1"/>
  <c r="AU4114" i="1" a="1"/>
  <c r="AU2770" i="1" a="1"/>
  <c r="AU3855" i="1" a="1"/>
  <c r="AU4119" i="1" a="1"/>
  <c r="AU3501" i="1" a="1"/>
  <c r="AU3853" i="1" a="1"/>
  <c r="AU3455" i="1" a="1"/>
  <c r="AU2919" i="1" a="1"/>
  <c r="AU3338" i="1" a="1"/>
  <c r="AU3025" i="1" a="1"/>
  <c r="AU3395" i="1" a="1"/>
  <c r="AU3884" i="1" a="1"/>
  <c r="AU3372" i="1" a="1"/>
  <c r="AU4187" i="1" a="1"/>
  <c r="AU3675" i="1" a="1"/>
  <c r="AU4186" i="1" a="1"/>
  <c r="AU4297" i="1" a="1"/>
  <c r="AU4101" i="1" a="1"/>
  <c r="AU4228" i="1" a="1"/>
  <c r="AU3716" i="1" a="1"/>
  <c r="AU4147" i="1" a="1"/>
  <c r="AU3794" i="1" a="1"/>
  <c r="AU2861" i="1" a="1"/>
  <c r="AU4080" i="1" a="1"/>
  <c r="AU3090" i="1" a="1"/>
  <c r="AU3414" i="1" a="1"/>
  <c r="AU3693" i="1" a="1"/>
  <c r="AU3895" i="1" a="1"/>
  <c r="AU2955" i="1" a="1"/>
  <c r="AU3666" i="1" a="1"/>
  <c r="AU3993" i="1" a="1"/>
  <c r="AU3864" i="1" a="1"/>
  <c r="AU3838" i="1" a="1"/>
  <c r="AU3784" i="1" a="1"/>
  <c r="AU3661" i="1" a="1"/>
  <c r="AU3758" i="1" a="1"/>
  <c r="AU4210" i="1" a="1"/>
  <c r="AU4065" i="1" a="1"/>
  <c r="AU3541" i="1" a="1"/>
  <c r="AU4008" i="1" a="1"/>
  <c r="AU3110" i="1" a="1"/>
  <c r="AU4285" i="1" a="1"/>
  <c r="AU3454" i="1" a="1"/>
  <c r="AU3342" i="1" a="1"/>
  <c r="AU3699" i="1" a="1"/>
  <c r="AU3341" i="1" a="1"/>
  <c r="AU2767" i="1" a="1"/>
  <c r="AU3240" i="1" a="1"/>
  <c r="AU2998" i="1" a="1"/>
  <c r="AU3331" i="1" a="1"/>
  <c r="AU3868" i="1" a="1"/>
  <c r="AU3356" i="1" a="1"/>
  <c r="AU4171" i="1" a="1"/>
  <c r="AU3659" i="1" a="1"/>
  <c r="AU4170" i="1" a="1"/>
  <c r="AU4281" i="1" a="1"/>
  <c r="AU4085" i="1" a="1"/>
  <c r="AU4212" i="1" a="1"/>
  <c r="AU3700" i="1" a="1"/>
  <c r="AU4131" i="1" a="1"/>
  <c r="AU3769" i="1" a="1"/>
  <c r="AU2845" i="1" a="1"/>
  <c r="AU3694" i="1" a="1"/>
  <c r="AU3869" i="1" a="1"/>
  <c r="AU3345" i="1" a="1"/>
  <c r="AU3669" i="1" a="1"/>
  <c r="AU3870" i="1" a="1"/>
  <c r="AU2939" i="1" a="1"/>
  <c r="AU3645" i="1" a="1"/>
  <c r="AU3968" i="1" a="1"/>
  <c r="AU3839" i="1" a="1"/>
  <c r="AU3810" i="1" a="1"/>
  <c r="AU3759" i="1" a="1"/>
  <c r="AU3637" i="1" a="1"/>
  <c r="AU3730" i="1" a="1"/>
  <c r="AU4178" i="1" a="1"/>
  <c r="AU3985" i="1" a="1"/>
  <c r="AU3518" i="1" a="1"/>
  <c r="AU3955" i="1" a="1"/>
  <c r="AU3019" i="1" a="1"/>
  <c r="AU4141" i="1" a="1"/>
  <c r="AU3018" i="1" a="1"/>
  <c r="AU3306" i="1" a="1"/>
  <c r="AU3631" i="1" a="1"/>
  <c r="AU3305" i="1" a="1"/>
  <c r="AU3106" i="1" a="1"/>
  <c r="AU3109" i="1" a="1"/>
  <c r="AU4239" i="1" a="1"/>
  <c r="AU3265" i="1" a="1"/>
  <c r="AU4110" i="1" a="1"/>
  <c r="AU3852" i="1" a="1"/>
  <c r="AU3340" i="1" a="1"/>
  <c r="AU4155" i="1" a="1"/>
  <c r="AU3643" i="1" a="1"/>
  <c r="AU4154" i="1" a="1"/>
  <c r="AU4265" i="1" a="1"/>
  <c r="AU4069" i="1" a="1"/>
  <c r="AU4196" i="1" a="1"/>
  <c r="AU3684" i="1" a="1"/>
  <c r="AU4115" i="1" a="1"/>
  <c r="AU3744" i="1" a="1"/>
  <c r="AU2829" i="1" a="1"/>
  <c r="AU3647" i="1" a="1"/>
  <c r="AU3574" i="1" a="1"/>
  <c r="AU3322" i="1" a="1"/>
  <c r="AU3646" i="1" a="1"/>
  <c r="AU3842" i="1" a="1"/>
  <c r="AU2923" i="1" a="1"/>
  <c r="AU3598" i="1" a="1"/>
  <c r="AU3943" i="1" a="1"/>
  <c r="AU3814" i="1" a="1"/>
  <c r="AU3785" i="1" a="1"/>
  <c r="AU3734" i="1" a="1"/>
  <c r="AU3614" i="1" a="1"/>
  <c r="AU3658" i="1" a="1"/>
  <c r="AU4146" i="1" a="1"/>
  <c r="AU3960" i="1" a="1"/>
  <c r="AU3471" i="1" a="1"/>
  <c r="AU4240" i="1" a="1"/>
  <c r="AU2921" i="1" a="1"/>
  <c r="AU4032" i="1" a="1"/>
  <c r="AU2789" i="1" a="1"/>
  <c r="AU3273" i="1" a="1"/>
  <c r="AU3582" i="1" a="1"/>
  <c r="AU3270" i="1" a="1"/>
  <c r="AU2963" i="1" a="1"/>
  <c r="AU2899" i="1" a="1"/>
  <c r="AU3773" i="1" a="1"/>
  <c r="AU3383" i="1" a="1"/>
  <c r="AU3608" i="1" a="1"/>
  <c r="AU3190" i="1" a="1"/>
  <c r="AU3836" i="1" a="1"/>
  <c r="AU3324" i="1" a="1"/>
  <c r="AU4139" i="1" a="1"/>
  <c r="AU3627" i="1" a="1"/>
  <c r="AU4138" i="1" a="1"/>
  <c r="AU4249" i="1" a="1"/>
  <c r="AU4053" i="1" a="1"/>
  <c r="AU4180" i="1" a="1"/>
  <c r="AU3668" i="1" a="1"/>
  <c r="AU4099" i="1" a="1"/>
  <c r="AU3719" i="1" a="1"/>
  <c r="AU2813" i="1" a="1"/>
  <c r="AU3600" i="1" a="1"/>
  <c r="AU3386" i="1" a="1"/>
  <c r="AU3302" i="1" a="1"/>
  <c r="AU3599" i="1" a="1"/>
  <c r="AU3817" i="1" a="1"/>
  <c r="AU2907" i="1" a="1"/>
  <c r="AU3504" i="1" a="1"/>
  <c r="AU3918" i="1" a="1"/>
  <c r="AU3789" i="1" a="1"/>
  <c r="AU3760" i="1" a="1"/>
  <c r="AU3709" i="1" a="1"/>
  <c r="AU3567" i="1" a="1"/>
  <c r="AU3635" i="1" a="1"/>
  <c r="AU4040" i="1" a="1"/>
  <c r="AU3935" i="1" a="1"/>
  <c r="AU3424" i="1" a="1"/>
  <c r="AU4088" i="1" a="1"/>
  <c r="AU3268" i="1" a="1"/>
  <c r="AU3854" i="1" a="1"/>
  <c r="AU3337" i="1" a="1"/>
  <c r="AU3117" i="1" a="1"/>
  <c r="AU3537" i="1" a="1"/>
  <c r="AU3205" i="1" a="1"/>
  <c r="AU2807" i="1" a="1"/>
  <c r="AU3170" i="1" a="1"/>
  <c r="AU3696" i="1" a="1"/>
  <c r="AU4111" i="1" a="1"/>
  <c r="AU2850" i="1" a="1"/>
  <c r="AU2847" i="1" a="1"/>
  <c r="AU4332" i="1" a="1"/>
  <c r="AU3820" i="1" a="1"/>
  <c r="AU3308" i="1" a="1"/>
  <c r="AU4123" i="1" a="1"/>
  <c r="AU3611" i="1" a="1"/>
  <c r="AU4122" i="1" a="1"/>
  <c r="AU4233" i="1" a="1"/>
  <c r="AU4037" i="1" a="1"/>
  <c r="AU4164" i="1" a="1"/>
  <c r="AU3652" i="1" a="1"/>
  <c r="AU4083" i="1" a="1"/>
  <c r="AU3671" i="1" a="1"/>
  <c r="AU2797" i="1" a="1"/>
  <c r="AU3553" i="1" a="1"/>
  <c r="AU3234" i="1" a="1"/>
  <c r="AU3280" i="1" a="1"/>
  <c r="AU3552" i="1" a="1"/>
  <c r="AU3792" i="1" a="1"/>
  <c r="AU2891" i="1" a="1"/>
  <c r="AU3457" i="1" a="1"/>
  <c r="AU3890" i="1" a="1"/>
  <c r="AU3761" i="1" a="1"/>
  <c r="AU3735" i="1" a="1"/>
  <c r="AU3683" i="1" a="1"/>
  <c r="AU3520" i="1" a="1"/>
  <c r="AU3590" i="1" a="1"/>
  <c r="AU4014" i="1" a="1"/>
  <c r="AU3910" i="1" a="1"/>
  <c r="AU3357" i="1" a="1"/>
  <c r="AU4062" i="1" a="1"/>
  <c r="AU3171" i="1" a="1"/>
  <c r="AU3583" i="1" a="1"/>
  <c r="AU3202" i="1" a="1"/>
  <c r="AU3023" i="1" a="1"/>
  <c r="AU3498" i="1" a="1"/>
  <c r="AU3114" i="1" a="1"/>
  <c r="AU3168" i="1" a="1"/>
  <c r="AU2944" i="1" a="1"/>
  <c r="AU3626" i="1" a="1"/>
  <c r="AU4006" i="1" a="1"/>
  <c r="AU2975" i="1" a="1"/>
  <c r="AU2758" i="1" a="1"/>
  <c r="AU4316" i="1" a="1"/>
  <c r="AU3804" i="1" a="1"/>
  <c r="AU3292" i="1" a="1"/>
  <c r="AU4107" i="1" a="1"/>
  <c r="AU3595" i="1" a="1"/>
  <c r="AU4106" i="1" a="1"/>
  <c r="AU4328" i="1" a="1"/>
  <c r="AU4021" i="1" a="1"/>
  <c r="AU4148" i="1" a="1"/>
  <c r="AU3636" i="1" a="1"/>
  <c r="AU4067" i="1" a="1"/>
  <c r="AU3624" i="1" a="1"/>
  <c r="AU2781" i="1" a="1"/>
  <c r="AU3506" i="1" a="1"/>
  <c r="AU3172" i="1" a="1"/>
  <c r="AU3258" i="1" a="1"/>
  <c r="AU3505" i="1" a="1"/>
  <c r="AU3767" i="1" a="1"/>
  <c r="AU2875" i="1" a="1"/>
  <c r="AU3049" i="1" a="1"/>
  <c r="AU3865" i="1" a="1"/>
  <c r="AU3736" i="1" a="1"/>
  <c r="AU3710" i="1" a="1"/>
  <c r="AU3638" i="1" a="1"/>
  <c r="AU3473" i="1" a="1"/>
  <c r="AU3543" i="1" a="1"/>
  <c r="AU3705" i="1" a="1"/>
  <c r="AU3885" i="1" a="1"/>
  <c r="AU3334" i="1" a="1"/>
  <c r="AU4286" i="1" a="1"/>
  <c r="AU3047" i="1" a="1"/>
  <c r="AU3539" i="1" a="1"/>
  <c r="AU2920" i="1" a="1"/>
  <c r="AU2926" i="1" a="1"/>
  <c r="AU3417" i="1" a="1"/>
  <c r="AU3080" i="1" a="1"/>
  <c r="AU3015" i="1" a="1"/>
  <c r="AU2768" i="1" a="1"/>
  <c r="AU3573" i="1" a="1"/>
  <c r="AU3906" i="1" a="1"/>
  <c r="AU3349" i="1" a="1"/>
  <c r="AU3035" i="1" a="1"/>
  <c r="AU4087" i="1" a="1"/>
  <c r="AU2952" i="1" a="1"/>
  <c r="AU3549" i="1" a="1"/>
  <c r="AU3478" i="1" a="1"/>
  <c r="AU3037" i="1" a="1"/>
  <c r="AU3656" i="1" a="1"/>
  <c r="AU3184" i="1" a="1"/>
  <c r="AU3422" i="1" a="1"/>
  <c r="AU2769" i="1" a="1"/>
  <c r="AU3550" i="1" a="1"/>
  <c r="AU4033" i="1" a="1"/>
  <c r="AU2753" i="1" a="1"/>
  <c r="AU3479" i="1" a="1"/>
  <c r="AU2883" i="1" a="1"/>
  <c r="AU3431" i="1" a="1"/>
  <c r="AU3251" i="1" a="1"/>
  <c r="AU3607" i="1" a="1"/>
  <c r="AU3593" i="1" a="1"/>
  <c r="AU3879" i="1" a="1"/>
  <c r="AU4300" i="1" a="1"/>
  <c r="AU3788" i="1" a="1"/>
  <c r="AU3276" i="1" a="1"/>
  <c r="AU4091" i="1" a="1"/>
  <c r="AU3579" i="1" a="1"/>
  <c r="AU4090" i="1" a="1"/>
  <c r="AU4312" i="1" a="1"/>
  <c r="AU4005" i="1" a="1"/>
  <c r="AU4132" i="1" a="1"/>
  <c r="AU3620" i="1" a="1"/>
  <c r="AU4051" i="1" a="1"/>
  <c r="AU3577" i="1" a="1"/>
  <c r="AU2765" i="1" a="1"/>
  <c r="AU3485" i="1" a="1"/>
  <c r="AU3008" i="1" a="1"/>
  <c r="AU3238" i="1" a="1"/>
  <c r="AU3458" i="1" a="1"/>
  <c r="AU3742" i="1" a="1"/>
  <c r="AU2859" i="1" a="1"/>
  <c r="AU3070" i="1" a="1"/>
  <c r="AU3840" i="1" a="1"/>
  <c r="AU3711" i="1" a="1"/>
  <c r="AU3686" i="1" a="1"/>
  <c r="AU3591" i="1" a="1"/>
  <c r="AU3426" i="1" a="1"/>
  <c r="AU3496" i="1" a="1"/>
  <c r="AU3681" i="1" a="1"/>
  <c r="AU3857" i="1" a="1"/>
  <c r="AU4288" i="1" a="1"/>
  <c r="AU3951" i="1" a="1"/>
  <c r="AU2854" i="1" a="1"/>
  <c r="AU3463" i="1" a="1"/>
  <c r="AU3078" i="1" a="1"/>
  <c r="AU3115" i="1" a="1"/>
  <c r="AU3376" i="1" a="1"/>
  <c r="AU3048" i="1" a="1"/>
  <c r="AU2872" i="1" a="1"/>
  <c r="AU3017" i="1" a="1"/>
  <c r="AU3490" i="1" a="1"/>
  <c r="AU3827" i="1" a="1"/>
  <c r="AU4093" i="1" a="1"/>
  <c r="AU2846" i="1" a="1"/>
  <c r="AU3984" i="1" a="1"/>
  <c r="AU3121" i="1" a="1"/>
  <c r="AU2950" i="1" a="1"/>
  <c r="AU3397" i="1" a="1"/>
  <c r="AU3006" i="1" a="1"/>
  <c r="AU3601" i="1" a="1"/>
  <c r="AU2882" i="1" a="1"/>
  <c r="AU3348" i="1" a="1"/>
  <c r="AU2953" i="1" a="1"/>
  <c r="AU3210" i="1" a="1"/>
  <c r="AU3511" i="1" a="1"/>
  <c r="AU3199" i="1" a="1"/>
  <c r="AU3327" i="1" a="1"/>
  <c r="AU3289" i="1" a="1"/>
  <c r="AU3603" i="1" a="1"/>
  <c r="AC120" i="1" l="1"/>
  <c r="AC275" i="1"/>
  <c r="AC334" i="1"/>
  <c r="AC462" i="1"/>
  <c r="AC590" i="1"/>
  <c r="AC267" i="1"/>
  <c r="AC11" i="1"/>
  <c r="AC27" i="1"/>
  <c r="AC43" i="1"/>
  <c r="AC59" i="1"/>
  <c r="AC75" i="1"/>
  <c r="AC128" i="1"/>
  <c r="AC182" i="1"/>
  <c r="AC221" i="1"/>
  <c r="AC229" i="1"/>
  <c r="AC283" i="1"/>
  <c r="AC374" i="1"/>
  <c r="AC433" i="1"/>
  <c r="AC502" i="1"/>
  <c r="AC561" i="1"/>
  <c r="AC324" i="1"/>
  <c r="AC136" i="1"/>
  <c r="AC291" i="1"/>
  <c r="AC364" i="1"/>
  <c r="AC492" i="1"/>
  <c r="AC6" i="1"/>
  <c r="AC22" i="1"/>
  <c r="AC38" i="1"/>
  <c r="AC54" i="1"/>
  <c r="AC70" i="1"/>
  <c r="AC144" i="1"/>
  <c r="AC198" i="1"/>
  <c r="AC237" i="1"/>
  <c r="AC245" i="1"/>
  <c r="AC299" i="1"/>
  <c r="AC345" i="1"/>
  <c r="AC404" i="1"/>
  <c r="AC473" i="1"/>
  <c r="AC532" i="1"/>
  <c r="AC601" i="1"/>
  <c r="AC393" i="1"/>
  <c r="AC90" i="1"/>
  <c r="AC152" i="1"/>
  <c r="AC307" i="1"/>
  <c r="AC414" i="1"/>
  <c r="AC542" i="1"/>
  <c r="AC17" i="1"/>
  <c r="AC33" i="1"/>
  <c r="AC49" i="1"/>
  <c r="AC65" i="1"/>
  <c r="AC160" i="1"/>
  <c r="AC214" i="1"/>
  <c r="AC253" i="1"/>
  <c r="AC261" i="1"/>
  <c r="AC326" i="1"/>
  <c r="AC385" i="1"/>
  <c r="AC454" i="1"/>
  <c r="AC513" i="1"/>
  <c r="AC582" i="1"/>
  <c r="AC106" i="1"/>
  <c r="AC168" i="1"/>
  <c r="AC316" i="1"/>
  <c r="AC444" i="1"/>
  <c r="AC572" i="1"/>
  <c r="AC12" i="1"/>
  <c r="AC28" i="1"/>
  <c r="AC44" i="1"/>
  <c r="AC60" i="1"/>
  <c r="AC76" i="1"/>
  <c r="AC176" i="1"/>
  <c r="AC230" i="1"/>
  <c r="AC269" i="1"/>
  <c r="AC277" i="1"/>
  <c r="AC356" i="1"/>
  <c r="AC425" i="1"/>
  <c r="AC484" i="1"/>
  <c r="AC553" i="1"/>
  <c r="AC612" i="1"/>
  <c r="AC64" i="1"/>
  <c r="AC580" i="1"/>
  <c r="AC83" i="1"/>
  <c r="AC122" i="1"/>
  <c r="AC184" i="1"/>
  <c r="AC366" i="1"/>
  <c r="AC494" i="1"/>
  <c r="AC7" i="1"/>
  <c r="AC23" i="1"/>
  <c r="AC39" i="1"/>
  <c r="AC55" i="1"/>
  <c r="AC71" i="1"/>
  <c r="AC91" i="1"/>
  <c r="AC192" i="1"/>
  <c r="AC246" i="1"/>
  <c r="AC285" i="1"/>
  <c r="AC293" i="1"/>
  <c r="AC337" i="1"/>
  <c r="AC406" i="1"/>
  <c r="AC465" i="1"/>
  <c r="AC534" i="1"/>
  <c r="AC593" i="1"/>
  <c r="AC99" i="1"/>
  <c r="AC138" i="1"/>
  <c r="AC200" i="1"/>
  <c r="AC396" i="1"/>
  <c r="AC524" i="1"/>
  <c r="AC18" i="1"/>
  <c r="AC34" i="1"/>
  <c r="AC50" i="1"/>
  <c r="AC66" i="1"/>
  <c r="AC107" i="1"/>
  <c r="AC208" i="1"/>
  <c r="AC262" i="1"/>
  <c r="AC301" i="1"/>
  <c r="AC309" i="1"/>
  <c r="AC377" i="1"/>
  <c r="AC436" i="1"/>
  <c r="AC505" i="1"/>
  <c r="AC564" i="1"/>
  <c r="AC115" i="1"/>
  <c r="AC154" i="1"/>
  <c r="AC216" i="1"/>
  <c r="AC318" i="1"/>
  <c r="AC446" i="1"/>
  <c r="AC574" i="1"/>
  <c r="AC13" i="1"/>
  <c r="AC29" i="1"/>
  <c r="AC45" i="1"/>
  <c r="AC61" i="1"/>
  <c r="AC77" i="1"/>
  <c r="AC123" i="1"/>
  <c r="AC224" i="1"/>
  <c r="AC278" i="1"/>
  <c r="AC358" i="1"/>
  <c r="AC417" i="1"/>
  <c r="AC486" i="1"/>
  <c r="AC545" i="1"/>
  <c r="AC614" i="1"/>
  <c r="AC112" i="1"/>
  <c r="AC131" i="1"/>
  <c r="AC170" i="1"/>
  <c r="AC232" i="1"/>
  <c r="AC348" i="1"/>
  <c r="AC476" i="1"/>
  <c r="AC604" i="1"/>
  <c r="AC8" i="1"/>
  <c r="AC24" i="1"/>
  <c r="AC40" i="1"/>
  <c r="AC56" i="1"/>
  <c r="AC72" i="1"/>
  <c r="AC85" i="1"/>
  <c r="AC139" i="1"/>
  <c r="AC240" i="1"/>
  <c r="AC294" i="1"/>
  <c r="AC329" i="1"/>
  <c r="AC388" i="1"/>
  <c r="AC457" i="1"/>
  <c r="AC516" i="1"/>
  <c r="AC585" i="1"/>
  <c r="AC205" i="1"/>
  <c r="AC147" i="1"/>
  <c r="AC186" i="1"/>
  <c r="AC248" i="1"/>
  <c r="AC398" i="1"/>
  <c r="AC526" i="1"/>
  <c r="AC3" i="1"/>
  <c r="AC19" i="1"/>
  <c r="AC35" i="1"/>
  <c r="AC51" i="1"/>
  <c r="AC67" i="1"/>
  <c r="AC93" i="1"/>
  <c r="AC101" i="1"/>
  <c r="AC155" i="1"/>
  <c r="AC256" i="1"/>
  <c r="AC310" i="1"/>
  <c r="AC369" i="1"/>
  <c r="AC438" i="1"/>
  <c r="AC497" i="1"/>
  <c r="AC566" i="1"/>
  <c r="AC16" i="1"/>
  <c r="AC213" i="1"/>
  <c r="AC163" i="1"/>
  <c r="AC202" i="1"/>
  <c r="AC264" i="1"/>
  <c r="AC428" i="1"/>
  <c r="AC556" i="1"/>
  <c r="AC48" i="1"/>
  <c r="AC14" i="1"/>
  <c r="AC30" i="1"/>
  <c r="AC46" i="1"/>
  <c r="AC62" i="1"/>
  <c r="AC78" i="1"/>
  <c r="AC109" i="1"/>
  <c r="AC117" i="1"/>
  <c r="AC171" i="1"/>
  <c r="AC272" i="1"/>
  <c r="AC340" i="1"/>
  <c r="AC409" i="1"/>
  <c r="AC468" i="1"/>
  <c r="AC537" i="1"/>
  <c r="AC596" i="1"/>
  <c r="AC32" i="1"/>
  <c r="AC179" i="1"/>
  <c r="AC218" i="1"/>
  <c r="AC280" i="1"/>
  <c r="AC350" i="1"/>
  <c r="AC478" i="1"/>
  <c r="AC606" i="1"/>
  <c r="AC9" i="1"/>
  <c r="AC25" i="1"/>
  <c r="AC41" i="1"/>
  <c r="AC57" i="1"/>
  <c r="AC73" i="1"/>
  <c r="AC86" i="1"/>
  <c r="AC125" i="1"/>
  <c r="AC133" i="1"/>
  <c r="AC187" i="1"/>
  <c r="AC288" i="1"/>
  <c r="AC321" i="1"/>
  <c r="AC390" i="1"/>
  <c r="AC449" i="1"/>
  <c r="AC518" i="1"/>
  <c r="AC577" i="1"/>
  <c r="AC521" i="1"/>
  <c r="AC195" i="1"/>
  <c r="AC234" i="1"/>
  <c r="AC296" i="1"/>
  <c r="AC380" i="1"/>
  <c r="AC508" i="1"/>
  <c r="AC166" i="1"/>
  <c r="AC452" i="1"/>
  <c r="AC4" i="1"/>
  <c r="AC20" i="1"/>
  <c r="AC36" i="1"/>
  <c r="AC52" i="1"/>
  <c r="AC68" i="1"/>
  <c r="AC102" i="1"/>
  <c r="AC141" i="1"/>
  <c r="AC149" i="1"/>
  <c r="AC203" i="1"/>
  <c r="AC304" i="1"/>
  <c r="AC361" i="1"/>
  <c r="AC420" i="1"/>
  <c r="AC489" i="1"/>
  <c r="AC548" i="1"/>
  <c r="AC211" i="1"/>
  <c r="AC250" i="1"/>
  <c r="AC430" i="1"/>
  <c r="AC558" i="1"/>
  <c r="AC15" i="1"/>
  <c r="AC31" i="1"/>
  <c r="AC47" i="1"/>
  <c r="AC63" i="1"/>
  <c r="AC118" i="1"/>
  <c r="AC157" i="1"/>
  <c r="AC165" i="1"/>
  <c r="AC219" i="1"/>
  <c r="AC342" i="1"/>
  <c r="AC401" i="1"/>
  <c r="AC470" i="1"/>
  <c r="AC529" i="1"/>
  <c r="AC598" i="1"/>
  <c r="AC227" i="1"/>
  <c r="AC266" i="1"/>
  <c r="AC332" i="1"/>
  <c r="AC460" i="1"/>
  <c r="AC588" i="1"/>
  <c r="AC10" i="1"/>
  <c r="AC26" i="1"/>
  <c r="AC42" i="1"/>
  <c r="AC58" i="1"/>
  <c r="AC74" i="1"/>
  <c r="AC80" i="1"/>
  <c r="AC134" i="1"/>
  <c r="AC173" i="1"/>
  <c r="AC181" i="1"/>
  <c r="AC235" i="1"/>
  <c r="AC313" i="1"/>
  <c r="AC372" i="1"/>
  <c r="AC441" i="1"/>
  <c r="AC500" i="1"/>
  <c r="AC569" i="1"/>
  <c r="AC88" i="1"/>
  <c r="AC243" i="1"/>
  <c r="AC282" i="1"/>
  <c r="AC382" i="1"/>
  <c r="AC510" i="1"/>
  <c r="AC5" i="1"/>
  <c r="AC21" i="1"/>
  <c r="AC37" i="1"/>
  <c r="AC53" i="1"/>
  <c r="AC69" i="1"/>
  <c r="AC96" i="1"/>
  <c r="AC150" i="1"/>
  <c r="AC189" i="1"/>
  <c r="AC197" i="1"/>
  <c r="AC251" i="1"/>
  <c r="AC353" i="1"/>
  <c r="AC422" i="1"/>
  <c r="AC481" i="1"/>
  <c r="AC550" i="1"/>
  <c r="AC609" i="1"/>
  <c r="AC104" i="1"/>
  <c r="AC259" i="1"/>
  <c r="AC298" i="1"/>
  <c r="AC412" i="1"/>
  <c r="AC540" i="1"/>
  <c r="AC81" i="1"/>
  <c r="AC97" i="1"/>
  <c r="AC113" i="1"/>
  <c r="AC129" i="1"/>
  <c r="AC145" i="1"/>
  <c r="AC161" i="1"/>
  <c r="AC177" i="1"/>
  <c r="AC193" i="1"/>
  <c r="AC209" i="1"/>
  <c r="AC225" i="1"/>
  <c r="AC241" i="1"/>
  <c r="AC257" i="1"/>
  <c r="AC273" i="1"/>
  <c r="AC289" i="1"/>
  <c r="AC305" i="1"/>
  <c r="AC92" i="1"/>
  <c r="AC108" i="1"/>
  <c r="AC124" i="1"/>
  <c r="AC140" i="1"/>
  <c r="AC156" i="1"/>
  <c r="AC172" i="1"/>
  <c r="AC188" i="1"/>
  <c r="AC204" i="1"/>
  <c r="AC220" i="1"/>
  <c r="AC236" i="1"/>
  <c r="AC252" i="1"/>
  <c r="AC268" i="1"/>
  <c r="AC284" i="1"/>
  <c r="AC300" i="1"/>
  <c r="AC87" i="1"/>
  <c r="AC103" i="1"/>
  <c r="AC119" i="1"/>
  <c r="AC135" i="1"/>
  <c r="AC151" i="1"/>
  <c r="AC167" i="1"/>
  <c r="AC183" i="1"/>
  <c r="AC199" i="1"/>
  <c r="AC215" i="1"/>
  <c r="AC231" i="1"/>
  <c r="AC247" i="1"/>
  <c r="AC263" i="1"/>
  <c r="AC279" i="1"/>
  <c r="AC295" i="1"/>
  <c r="AC82" i="1"/>
  <c r="AC98" i="1"/>
  <c r="AC114" i="1"/>
  <c r="AC130" i="1"/>
  <c r="AC146" i="1"/>
  <c r="AC162" i="1"/>
  <c r="AC178" i="1"/>
  <c r="AC194" i="1"/>
  <c r="AC210" i="1"/>
  <c r="AC226" i="1"/>
  <c r="AC242" i="1"/>
  <c r="AC258" i="1"/>
  <c r="AC274" i="1"/>
  <c r="AC290" i="1"/>
  <c r="AC306" i="1"/>
  <c r="AC312" i="1"/>
  <c r="AC328" i="1"/>
  <c r="AC344" i="1"/>
  <c r="AC360" i="1"/>
  <c r="AC376" i="1"/>
  <c r="AC392" i="1"/>
  <c r="AC408" i="1"/>
  <c r="AC424" i="1"/>
  <c r="AC440" i="1"/>
  <c r="AC456" i="1"/>
  <c r="AC472" i="1"/>
  <c r="AC488" i="1"/>
  <c r="AC504" i="1"/>
  <c r="AC520" i="1"/>
  <c r="AC536" i="1"/>
  <c r="AC552" i="1"/>
  <c r="AC568" i="1"/>
  <c r="AC584" i="1"/>
  <c r="AC600" i="1"/>
  <c r="AC616" i="1"/>
  <c r="AC94" i="1"/>
  <c r="AC110" i="1"/>
  <c r="AC126" i="1"/>
  <c r="AC142" i="1"/>
  <c r="AC158" i="1"/>
  <c r="AC174" i="1"/>
  <c r="AC190" i="1"/>
  <c r="AC206" i="1"/>
  <c r="AC222" i="1"/>
  <c r="AC238" i="1"/>
  <c r="AC254" i="1"/>
  <c r="AC270" i="1"/>
  <c r="AC286" i="1"/>
  <c r="AC302" i="1"/>
  <c r="AC89" i="1"/>
  <c r="AC105" i="1"/>
  <c r="AC121" i="1"/>
  <c r="AC137" i="1"/>
  <c r="AC153" i="1"/>
  <c r="AC169" i="1"/>
  <c r="AC185" i="1"/>
  <c r="AC201" i="1"/>
  <c r="AC217" i="1"/>
  <c r="AC233" i="1"/>
  <c r="AC249" i="1"/>
  <c r="AC265" i="1"/>
  <c r="AC281" i="1"/>
  <c r="AC297" i="1"/>
  <c r="AC84" i="1"/>
  <c r="AC100" i="1"/>
  <c r="AC116" i="1"/>
  <c r="AC132" i="1"/>
  <c r="AC148" i="1"/>
  <c r="AC164" i="1"/>
  <c r="AC180" i="1"/>
  <c r="AC196" i="1"/>
  <c r="AC212" i="1"/>
  <c r="AC228" i="1"/>
  <c r="AC244" i="1"/>
  <c r="AC260" i="1"/>
  <c r="AC276" i="1"/>
  <c r="AC292" i="1"/>
  <c r="AC308" i="1"/>
  <c r="AC323" i="1"/>
  <c r="AC339" i="1"/>
  <c r="AC355" i="1"/>
  <c r="AC371" i="1"/>
  <c r="AC387" i="1"/>
  <c r="AC403" i="1"/>
  <c r="AC419" i="1"/>
  <c r="AC435" i="1"/>
  <c r="AC451" i="1"/>
  <c r="AC467" i="1"/>
  <c r="AC483" i="1"/>
  <c r="AC499" i="1"/>
  <c r="AC515" i="1"/>
  <c r="AC531" i="1"/>
  <c r="AC547" i="1"/>
  <c r="AC563" i="1"/>
  <c r="AC579" i="1"/>
  <c r="AC595" i="1"/>
  <c r="AC611" i="1"/>
  <c r="AC315" i="1"/>
  <c r="AC331" i="1"/>
  <c r="AC347" i="1"/>
  <c r="AC363" i="1"/>
  <c r="AC379" i="1"/>
  <c r="AC395" i="1"/>
  <c r="AC411" i="1"/>
  <c r="AC427" i="1"/>
  <c r="AC443" i="1"/>
  <c r="AC459" i="1"/>
  <c r="AC475" i="1"/>
  <c r="AC491" i="1"/>
  <c r="AC507" i="1"/>
  <c r="AC523" i="1"/>
  <c r="AC539" i="1"/>
  <c r="AC555" i="1"/>
  <c r="AC571" i="1"/>
  <c r="AC587" i="1"/>
  <c r="AC603" i="1"/>
  <c r="AC79" i="1"/>
  <c r="AC95" i="1"/>
  <c r="AC111" i="1"/>
  <c r="AC127" i="1"/>
  <c r="AC143" i="1"/>
  <c r="AC159" i="1"/>
  <c r="AC175" i="1"/>
  <c r="AC191" i="1"/>
  <c r="AC207" i="1"/>
  <c r="AC223" i="1"/>
  <c r="AC239" i="1"/>
  <c r="AC255" i="1"/>
  <c r="AC271" i="1"/>
  <c r="AC287" i="1"/>
  <c r="AC303" i="1"/>
  <c r="AC617" i="1"/>
  <c r="AC914" i="1"/>
  <c r="AC624" i="1"/>
  <c r="AC632" i="1"/>
  <c r="AC640" i="1"/>
  <c r="AC648" i="1"/>
  <c r="AC656" i="1"/>
  <c r="AC664" i="1"/>
  <c r="AC672" i="1"/>
  <c r="AC680" i="1"/>
  <c r="AC688" i="1"/>
  <c r="AC696" i="1"/>
  <c r="AC704" i="1"/>
  <c r="AC712" i="1"/>
  <c r="AC720" i="1"/>
  <c r="AC728" i="1"/>
  <c r="AC736" i="1"/>
  <c r="AC744" i="1"/>
  <c r="AC752" i="1"/>
  <c r="AC760" i="1"/>
  <c r="AC768" i="1"/>
  <c r="AC776" i="1"/>
  <c r="AC784" i="1"/>
  <c r="AC792" i="1"/>
  <c r="AC800" i="1"/>
  <c r="AC808" i="1"/>
  <c r="AC816" i="1"/>
  <c r="AC824" i="1"/>
  <c r="AC832" i="1"/>
  <c r="AC840" i="1"/>
  <c r="AC848" i="1"/>
  <c r="AC856" i="1"/>
  <c r="AC864" i="1"/>
  <c r="AC872" i="1"/>
  <c r="AC880" i="1"/>
  <c r="AC888" i="1"/>
  <c r="AC896" i="1"/>
  <c r="AC904" i="1"/>
  <c r="AC319" i="1"/>
  <c r="AC335" i="1"/>
  <c r="AC351" i="1"/>
  <c r="AC367" i="1"/>
  <c r="AC383" i="1"/>
  <c r="AC399" i="1"/>
  <c r="AC415" i="1"/>
  <c r="AC431" i="1"/>
  <c r="AC447" i="1"/>
  <c r="AC463" i="1"/>
  <c r="AC479" i="1"/>
  <c r="AC495" i="1"/>
  <c r="AC511" i="1"/>
  <c r="AC527" i="1"/>
  <c r="AC543" i="1"/>
  <c r="AC559" i="1"/>
  <c r="AC575" i="1"/>
  <c r="AC591" i="1"/>
  <c r="AC607" i="1"/>
  <c r="AC314" i="1"/>
  <c r="AC330" i="1"/>
  <c r="AC346" i="1"/>
  <c r="AC362" i="1"/>
  <c r="AC378" i="1"/>
  <c r="AC394" i="1"/>
  <c r="AC410" i="1"/>
  <c r="AC426" i="1"/>
  <c r="AC442" i="1"/>
  <c r="AC458" i="1"/>
  <c r="AC474" i="1"/>
  <c r="AC490" i="1"/>
  <c r="AC506" i="1"/>
  <c r="AC522" i="1"/>
  <c r="AC538" i="1"/>
  <c r="AC554" i="1"/>
  <c r="AC570" i="1"/>
  <c r="AC586" i="1"/>
  <c r="AC602" i="1"/>
  <c r="AC618" i="1"/>
  <c r="AC325" i="1"/>
  <c r="AC341" i="1"/>
  <c r="AC357" i="1"/>
  <c r="AC373" i="1"/>
  <c r="AC389" i="1"/>
  <c r="AC405" i="1"/>
  <c r="AC421" i="1"/>
  <c r="AC437" i="1"/>
  <c r="AC453" i="1"/>
  <c r="AC469" i="1"/>
  <c r="AC485" i="1"/>
  <c r="AC501" i="1"/>
  <c r="AC517" i="1"/>
  <c r="AC533" i="1"/>
  <c r="AC549" i="1"/>
  <c r="AC565" i="1"/>
  <c r="AC581" i="1"/>
  <c r="AC597" i="1"/>
  <c r="AC613" i="1"/>
  <c r="AC927" i="1"/>
  <c r="AC320" i="1"/>
  <c r="AC336" i="1"/>
  <c r="AC352" i="1"/>
  <c r="AC368" i="1"/>
  <c r="AC384" i="1"/>
  <c r="AC400" i="1"/>
  <c r="AC416" i="1"/>
  <c r="AC432" i="1"/>
  <c r="AC448" i="1"/>
  <c r="AC464" i="1"/>
  <c r="AC480" i="1"/>
  <c r="AC496" i="1"/>
  <c r="AC512" i="1"/>
  <c r="AC528" i="1"/>
  <c r="AC544" i="1"/>
  <c r="AC560" i="1"/>
  <c r="AC576" i="1"/>
  <c r="AC592" i="1"/>
  <c r="AC60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C754" i="1"/>
  <c r="AC762" i="1"/>
  <c r="AC770" i="1"/>
  <c r="AC778" i="1"/>
  <c r="AC786" i="1"/>
  <c r="AC794" i="1"/>
  <c r="AC802" i="1"/>
  <c r="AC810" i="1"/>
  <c r="AC818" i="1"/>
  <c r="AC826" i="1"/>
  <c r="AC834" i="1"/>
  <c r="AC842" i="1"/>
  <c r="AC850" i="1"/>
  <c r="AC858" i="1"/>
  <c r="AC866" i="1"/>
  <c r="AC874" i="1"/>
  <c r="AC882" i="1"/>
  <c r="AC890" i="1"/>
  <c r="AC898" i="1"/>
  <c r="AC906" i="1"/>
  <c r="AC619" i="1"/>
  <c r="AC919" i="1"/>
  <c r="AC627" i="1"/>
  <c r="AC643" i="1"/>
  <c r="AC659" i="1"/>
  <c r="AC675" i="1"/>
  <c r="AC691" i="1"/>
  <c r="AC707" i="1"/>
  <c r="AC723" i="1"/>
  <c r="AC739" i="1"/>
  <c r="AC755" i="1"/>
  <c r="AC771" i="1"/>
  <c r="AC787" i="1"/>
  <c r="AC803" i="1"/>
  <c r="AC819" i="1"/>
  <c r="AC835" i="1"/>
  <c r="AC851" i="1"/>
  <c r="AC867" i="1"/>
  <c r="AC883" i="1"/>
  <c r="AC899" i="1"/>
  <c r="AC620" i="1"/>
  <c r="AC636" i="1"/>
  <c r="AC652" i="1"/>
  <c r="AC668" i="1"/>
  <c r="AC684" i="1"/>
  <c r="AC700" i="1"/>
  <c r="AC716" i="1"/>
  <c r="AC732" i="1"/>
  <c r="AC748" i="1"/>
  <c r="AC764" i="1"/>
  <c r="AC780" i="1"/>
  <c r="AC796" i="1"/>
  <c r="AC812" i="1"/>
  <c r="AC828" i="1"/>
  <c r="AC844" i="1"/>
  <c r="AC860" i="1"/>
  <c r="AC876" i="1"/>
  <c r="AC892" i="1"/>
  <c r="AC311" i="1"/>
  <c r="AC327" i="1"/>
  <c r="AC343" i="1"/>
  <c r="AC359" i="1"/>
  <c r="AC375" i="1"/>
  <c r="AC391" i="1"/>
  <c r="AC407" i="1"/>
  <c r="AC423" i="1"/>
  <c r="AC439" i="1"/>
  <c r="AC455" i="1"/>
  <c r="AC471" i="1"/>
  <c r="AC487" i="1"/>
  <c r="AC503" i="1"/>
  <c r="AC519" i="1"/>
  <c r="AC535" i="1"/>
  <c r="AC551" i="1"/>
  <c r="AC567" i="1"/>
  <c r="AC583" i="1"/>
  <c r="AC599" i="1"/>
  <c r="AC615" i="1"/>
  <c r="AC322" i="1"/>
  <c r="AC338" i="1"/>
  <c r="AC354" i="1"/>
  <c r="AC370" i="1"/>
  <c r="AC386" i="1"/>
  <c r="AC402" i="1"/>
  <c r="AC418" i="1"/>
  <c r="AC434" i="1"/>
  <c r="AC450" i="1"/>
  <c r="AC466" i="1"/>
  <c r="AC482" i="1"/>
  <c r="AC498" i="1"/>
  <c r="AC514" i="1"/>
  <c r="AC530" i="1"/>
  <c r="AC546" i="1"/>
  <c r="AC562" i="1"/>
  <c r="AC578" i="1"/>
  <c r="AC594" i="1"/>
  <c r="AC610" i="1"/>
  <c r="AC621" i="1"/>
  <c r="AC629" i="1"/>
  <c r="AC637" i="1"/>
  <c r="AC645" i="1"/>
  <c r="AC653" i="1"/>
  <c r="AC661" i="1"/>
  <c r="AC669" i="1"/>
  <c r="AC677" i="1"/>
  <c r="AC685" i="1"/>
  <c r="AC693" i="1"/>
  <c r="AC701" i="1"/>
  <c r="AC709" i="1"/>
  <c r="AC717" i="1"/>
  <c r="AC725" i="1"/>
  <c r="AC733" i="1"/>
  <c r="AC741" i="1"/>
  <c r="AC749" i="1"/>
  <c r="AC757" i="1"/>
  <c r="AC765" i="1"/>
  <c r="AC773" i="1"/>
  <c r="AC781" i="1"/>
  <c r="AC789" i="1"/>
  <c r="AC797" i="1"/>
  <c r="AC805" i="1"/>
  <c r="AC813" i="1"/>
  <c r="AC821" i="1"/>
  <c r="AC829" i="1"/>
  <c r="AC837" i="1"/>
  <c r="AC845" i="1"/>
  <c r="AC853" i="1"/>
  <c r="AC861" i="1"/>
  <c r="AC869" i="1"/>
  <c r="AC877" i="1"/>
  <c r="AC885" i="1"/>
  <c r="AC893" i="1"/>
  <c r="AC901" i="1"/>
  <c r="AC317" i="1"/>
  <c r="AC333" i="1"/>
  <c r="AC349" i="1"/>
  <c r="AC365" i="1"/>
  <c r="AC381" i="1"/>
  <c r="AC397" i="1"/>
  <c r="AC413" i="1"/>
  <c r="AC429" i="1"/>
  <c r="AC445" i="1"/>
  <c r="AC461" i="1"/>
  <c r="AC477" i="1"/>
  <c r="AC493" i="1"/>
  <c r="AC509" i="1"/>
  <c r="AC525" i="1"/>
  <c r="AC541" i="1"/>
  <c r="AC557" i="1"/>
  <c r="AC573" i="1"/>
  <c r="AC589" i="1"/>
  <c r="AC605" i="1"/>
  <c r="AC911" i="1"/>
  <c r="AC922" i="1"/>
  <c r="AC917" i="1"/>
  <c r="AC933" i="1"/>
  <c r="AC949" i="1"/>
  <c r="AC965" i="1"/>
  <c r="AC981" i="1"/>
  <c r="AC997" i="1"/>
  <c r="AC1013" i="1"/>
  <c r="AC1029" i="1"/>
  <c r="AC1045" i="1"/>
  <c r="AC1061" i="1"/>
  <c r="AC1077" i="1"/>
  <c r="AC1369" i="1"/>
  <c r="AC631" i="1"/>
  <c r="AC647" i="1"/>
  <c r="AC663" i="1"/>
  <c r="AC679" i="1"/>
  <c r="AC695" i="1"/>
  <c r="AC711" i="1"/>
  <c r="AC727" i="1"/>
  <c r="AC743" i="1"/>
  <c r="AC759" i="1"/>
  <c r="AC775" i="1"/>
  <c r="AC791" i="1"/>
  <c r="AC807" i="1"/>
  <c r="AC823" i="1"/>
  <c r="AC839" i="1"/>
  <c r="AC855" i="1"/>
  <c r="AC871" i="1"/>
  <c r="AC887" i="1"/>
  <c r="AC903" i="1"/>
  <c r="AC909" i="1"/>
  <c r="AC925" i="1"/>
  <c r="AC941" i="1"/>
  <c r="AC957" i="1"/>
  <c r="AC973" i="1"/>
  <c r="AC989" i="1"/>
  <c r="AC1005" i="1"/>
  <c r="AC1021" i="1"/>
  <c r="AC1037" i="1"/>
  <c r="AC1053" i="1"/>
  <c r="AC1069" i="1"/>
  <c r="AC1539" i="1"/>
  <c r="AC1744" i="1"/>
  <c r="AC1385" i="1"/>
  <c r="AC1098" i="1"/>
  <c r="AC1130" i="1"/>
  <c r="AC1162" i="1"/>
  <c r="AC1194" i="1"/>
  <c r="AC1226" i="1"/>
  <c r="AC1258" i="1"/>
  <c r="AC1290" i="1"/>
  <c r="AC1322" i="1"/>
  <c r="AC1401" i="1"/>
  <c r="AC935" i="1"/>
  <c r="AC951" i="1"/>
  <c r="AC967" i="1"/>
  <c r="AC983" i="1"/>
  <c r="AC999" i="1"/>
  <c r="AC1015" i="1"/>
  <c r="AC1031" i="1"/>
  <c r="AC1047" i="1"/>
  <c r="AC1063" i="1"/>
  <c r="AC1079" i="1"/>
  <c r="AC1089" i="1"/>
  <c r="AC1121" i="1"/>
  <c r="AC1153" i="1"/>
  <c r="AC1185" i="1"/>
  <c r="AC1217" i="1"/>
  <c r="AC1249" i="1"/>
  <c r="AC1281" i="1"/>
  <c r="AC1313" i="1"/>
  <c r="AC1345" i="1"/>
  <c r="AC1417" i="1"/>
  <c r="AC943" i="1"/>
  <c r="AC959" i="1"/>
  <c r="AC975" i="1"/>
  <c r="AC991" i="1"/>
  <c r="AC1007" i="1"/>
  <c r="AC1023" i="1"/>
  <c r="AC1039" i="1"/>
  <c r="AC1055" i="1"/>
  <c r="AC1071" i="1"/>
  <c r="AC1433" i="1"/>
  <c r="AC1111" i="1"/>
  <c r="AC1143" i="1"/>
  <c r="AC1175" i="1"/>
  <c r="AC1207" i="1"/>
  <c r="AC1239" i="1"/>
  <c r="AC1271" i="1"/>
  <c r="AC1303" i="1"/>
  <c r="AC1335" i="1"/>
  <c r="AC1449" i="1"/>
  <c r="AC622" i="1"/>
  <c r="AC638" i="1"/>
  <c r="AC654" i="1"/>
  <c r="AC670" i="1"/>
  <c r="AC686" i="1"/>
  <c r="AC702" i="1"/>
  <c r="AC718" i="1"/>
  <c r="AC734" i="1"/>
  <c r="AC750" i="1"/>
  <c r="AC766" i="1"/>
  <c r="AC782" i="1"/>
  <c r="AC798" i="1"/>
  <c r="AC814" i="1"/>
  <c r="AC830" i="1"/>
  <c r="AC846" i="1"/>
  <c r="AC862" i="1"/>
  <c r="AC878" i="1"/>
  <c r="AC894" i="1"/>
  <c r="AC1090" i="1"/>
  <c r="AC1122" i="1"/>
  <c r="AC1154" i="1"/>
  <c r="AC1186" i="1"/>
  <c r="AC1218" i="1"/>
  <c r="AC1250" i="1"/>
  <c r="AC1282" i="1"/>
  <c r="AC1314" i="1"/>
  <c r="AC1346" i="1"/>
  <c r="AC633" i="1"/>
  <c r="AC649" i="1"/>
  <c r="AC665" i="1"/>
  <c r="AC681" i="1"/>
  <c r="AC697" i="1"/>
  <c r="AC713" i="1"/>
  <c r="AC729" i="1"/>
  <c r="AC745" i="1"/>
  <c r="AC761" i="1"/>
  <c r="AC777" i="1"/>
  <c r="AC793" i="1"/>
  <c r="AC809" i="1"/>
  <c r="AC825" i="1"/>
  <c r="AC841" i="1"/>
  <c r="AC857" i="1"/>
  <c r="AC873" i="1"/>
  <c r="AC889" i="1"/>
  <c r="AC905" i="1"/>
  <c r="AC921" i="1"/>
  <c r="AC937" i="1"/>
  <c r="AC953" i="1"/>
  <c r="AC969" i="1"/>
  <c r="AC985" i="1"/>
  <c r="AC1001" i="1"/>
  <c r="AC1017" i="1"/>
  <c r="AC1033" i="1"/>
  <c r="AC1049" i="1"/>
  <c r="AC1065" i="1"/>
  <c r="AC1081" i="1"/>
  <c r="AC1113" i="1"/>
  <c r="AC1145" i="1"/>
  <c r="AC1177" i="1"/>
  <c r="AC1209" i="1"/>
  <c r="AC1241" i="1"/>
  <c r="AC1273" i="1"/>
  <c r="AC1305" i="1"/>
  <c r="AC1337" i="1"/>
  <c r="AC628" i="1"/>
  <c r="AC644" i="1"/>
  <c r="AC660" i="1"/>
  <c r="AC676" i="1"/>
  <c r="AC692" i="1"/>
  <c r="AC708" i="1"/>
  <c r="AC724" i="1"/>
  <c r="AC740" i="1"/>
  <c r="AC756" i="1"/>
  <c r="AC772" i="1"/>
  <c r="AC788" i="1"/>
  <c r="AC804" i="1"/>
  <c r="AC820" i="1"/>
  <c r="AC836" i="1"/>
  <c r="AC852" i="1"/>
  <c r="AC868" i="1"/>
  <c r="AC884" i="1"/>
  <c r="AC900" i="1"/>
  <c r="AC1361" i="1"/>
  <c r="AC623" i="1"/>
  <c r="AC639" i="1"/>
  <c r="AC655" i="1"/>
  <c r="AC671" i="1"/>
  <c r="AC687" i="1"/>
  <c r="AC703" i="1"/>
  <c r="AC719" i="1"/>
  <c r="AC735" i="1"/>
  <c r="AC751" i="1"/>
  <c r="AC767" i="1"/>
  <c r="AC783" i="1"/>
  <c r="AC799" i="1"/>
  <c r="AC815" i="1"/>
  <c r="AC831" i="1"/>
  <c r="AC847" i="1"/>
  <c r="AC863" i="1"/>
  <c r="AC879" i="1"/>
  <c r="AC895" i="1"/>
  <c r="AC1377" i="1"/>
  <c r="AC930" i="1"/>
  <c r="AC938" i="1"/>
  <c r="AC946" i="1"/>
  <c r="AC954" i="1"/>
  <c r="AC962" i="1"/>
  <c r="AC970" i="1"/>
  <c r="AC978" i="1"/>
  <c r="AC986" i="1"/>
  <c r="AC994" i="1"/>
  <c r="AC1002" i="1"/>
  <c r="AC1010" i="1"/>
  <c r="AC1018" i="1"/>
  <c r="AC1026" i="1"/>
  <c r="AC1034" i="1"/>
  <c r="AC1042" i="1"/>
  <c r="AC1050" i="1"/>
  <c r="AC1058" i="1"/>
  <c r="AC1066" i="1"/>
  <c r="AC1074" i="1"/>
  <c r="AC1082" i="1"/>
  <c r="AC1114" i="1"/>
  <c r="AC1146" i="1"/>
  <c r="AC1178" i="1"/>
  <c r="AC1210" i="1"/>
  <c r="AC1242" i="1"/>
  <c r="AC1274" i="1"/>
  <c r="AC1306" i="1"/>
  <c r="AC1338" i="1"/>
  <c r="AC1393" i="1"/>
  <c r="AC1409" i="1"/>
  <c r="AC1105" i="1"/>
  <c r="AC1137" i="1"/>
  <c r="AC1169" i="1"/>
  <c r="AC1201" i="1"/>
  <c r="AC1233" i="1"/>
  <c r="AC1265" i="1"/>
  <c r="AC1297" i="1"/>
  <c r="AC1329" i="1"/>
  <c r="AC1425" i="1"/>
  <c r="AC635" i="1"/>
  <c r="AC651" i="1"/>
  <c r="AC667" i="1"/>
  <c r="AC683" i="1"/>
  <c r="AC699" i="1"/>
  <c r="AC715" i="1"/>
  <c r="AC731" i="1"/>
  <c r="AC747" i="1"/>
  <c r="AC763" i="1"/>
  <c r="AC779" i="1"/>
  <c r="AC795" i="1"/>
  <c r="AC811" i="1"/>
  <c r="AC827" i="1"/>
  <c r="AC843" i="1"/>
  <c r="AC859" i="1"/>
  <c r="AC875" i="1"/>
  <c r="AC891" i="1"/>
  <c r="AC1095" i="1"/>
  <c r="AC1127" i="1"/>
  <c r="AC1159" i="1"/>
  <c r="AC1191" i="1"/>
  <c r="AC1223" i="1"/>
  <c r="AC1255" i="1"/>
  <c r="AC1287" i="1"/>
  <c r="AC1319" i="1"/>
  <c r="AC1351" i="1"/>
  <c r="AC1441" i="1"/>
  <c r="AC916" i="1"/>
  <c r="AC932" i="1"/>
  <c r="AC948" i="1"/>
  <c r="AC964" i="1"/>
  <c r="AC980" i="1"/>
  <c r="AC996" i="1"/>
  <c r="AC1012" i="1"/>
  <c r="AC1028" i="1"/>
  <c r="AC1044" i="1"/>
  <c r="AC1060" i="1"/>
  <c r="AC1076" i="1"/>
  <c r="AC630" i="1"/>
  <c r="AC646" i="1"/>
  <c r="AC662" i="1"/>
  <c r="AC678" i="1"/>
  <c r="AC694" i="1"/>
  <c r="AC710" i="1"/>
  <c r="AC726" i="1"/>
  <c r="AC742" i="1"/>
  <c r="AC758" i="1"/>
  <c r="AC774" i="1"/>
  <c r="AC790" i="1"/>
  <c r="AC806" i="1"/>
  <c r="AC822" i="1"/>
  <c r="AC838" i="1"/>
  <c r="AC854" i="1"/>
  <c r="AC870" i="1"/>
  <c r="AC886" i="1"/>
  <c r="AC902" i="1"/>
  <c r="AC908" i="1"/>
  <c r="AC924" i="1"/>
  <c r="AC940" i="1"/>
  <c r="AC956" i="1"/>
  <c r="AC972" i="1"/>
  <c r="AC988" i="1"/>
  <c r="AC1004" i="1"/>
  <c r="AC1020" i="1"/>
  <c r="AC1036" i="1"/>
  <c r="AC1052" i="1"/>
  <c r="AC1068" i="1"/>
  <c r="AC1106" i="1"/>
  <c r="AC1138" i="1"/>
  <c r="AC1170" i="1"/>
  <c r="AC1202" i="1"/>
  <c r="AC1234" i="1"/>
  <c r="AC1266" i="1"/>
  <c r="AC1298" i="1"/>
  <c r="AC1330" i="1"/>
  <c r="AC1457" i="1"/>
  <c r="AC625" i="1"/>
  <c r="AC641" i="1"/>
  <c r="AC657" i="1"/>
  <c r="AC673" i="1"/>
  <c r="AC689" i="1"/>
  <c r="AC705" i="1"/>
  <c r="AC721" i="1"/>
  <c r="AC737" i="1"/>
  <c r="AC753" i="1"/>
  <c r="AC769" i="1"/>
  <c r="AC785" i="1"/>
  <c r="AC801" i="1"/>
  <c r="AC817" i="1"/>
  <c r="AC833" i="1"/>
  <c r="AC849" i="1"/>
  <c r="AC865" i="1"/>
  <c r="AC881" i="1"/>
  <c r="AC897" i="1"/>
  <c r="AC1097" i="1"/>
  <c r="AC1129" i="1"/>
  <c r="AC1161" i="1"/>
  <c r="AC1193" i="1"/>
  <c r="AC1225" i="1"/>
  <c r="AC1257" i="1"/>
  <c r="AC1289" i="1"/>
  <c r="AC1321" i="1"/>
  <c r="AC1353" i="1"/>
  <c r="AC1477" i="1"/>
  <c r="AC1550" i="1"/>
  <c r="AC1560" i="1"/>
  <c r="AC1466" i="1"/>
  <c r="AC1602" i="1"/>
  <c r="AC1675" i="1"/>
  <c r="AC1488" i="1"/>
  <c r="AC1498" i="1"/>
  <c r="AC1551" i="1"/>
  <c r="AC1571" i="1"/>
  <c r="AE1571" i="1" s="1"/>
  <c r="AC1656" i="1"/>
  <c r="AC1509" i="1"/>
  <c r="AC1707" i="1"/>
  <c r="AC1354" i="1"/>
  <c r="AC1362" i="1"/>
  <c r="AC1370" i="1"/>
  <c r="AC1378" i="1"/>
  <c r="AC1386" i="1"/>
  <c r="AC1394" i="1"/>
  <c r="AC1402" i="1"/>
  <c r="AC1410" i="1"/>
  <c r="AC1418" i="1"/>
  <c r="AC1426" i="1"/>
  <c r="AC1434" i="1"/>
  <c r="AC1442" i="1"/>
  <c r="AC1450" i="1"/>
  <c r="AC1458" i="1"/>
  <c r="AC1582" i="1"/>
  <c r="AC1520" i="1"/>
  <c r="AC1794" i="1"/>
  <c r="AC1531" i="1"/>
  <c r="AC1698" i="1"/>
  <c r="AC1583" i="1"/>
  <c r="AC1667" i="1"/>
  <c r="AC912" i="1"/>
  <c r="AC928" i="1"/>
  <c r="AC944" i="1"/>
  <c r="AC960" i="1"/>
  <c r="AC976" i="1"/>
  <c r="AC992" i="1"/>
  <c r="AC1008" i="1"/>
  <c r="AC1024" i="1"/>
  <c r="AC1040" i="1"/>
  <c r="AC1056" i="1"/>
  <c r="AC1072" i="1"/>
  <c r="AC1594" i="1"/>
  <c r="AC1626" i="1"/>
  <c r="AC1563" i="1"/>
  <c r="AC1637" i="1"/>
  <c r="AC1648" i="1"/>
  <c r="AC907" i="1"/>
  <c r="AC923" i="1"/>
  <c r="AC939" i="1"/>
  <c r="AC955" i="1"/>
  <c r="AC971" i="1"/>
  <c r="AC987" i="1"/>
  <c r="AC1003" i="1"/>
  <c r="AC1019" i="1"/>
  <c r="AC1035" i="1"/>
  <c r="AC1051" i="1"/>
  <c r="AC1067" i="1"/>
  <c r="AC1084" i="1"/>
  <c r="AC1100" i="1"/>
  <c r="AC1116" i="1"/>
  <c r="AC1132" i="1"/>
  <c r="AC1148" i="1"/>
  <c r="AC1164" i="1"/>
  <c r="AC1180" i="1"/>
  <c r="AC1196" i="1"/>
  <c r="AC1212" i="1"/>
  <c r="AC1228" i="1"/>
  <c r="AC1244" i="1"/>
  <c r="AC1260" i="1"/>
  <c r="AC1276" i="1"/>
  <c r="AC1292" i="1"/>
  <c r="AC1308" i="1"/>
  <c r="AC1324" i="1"/>
  <c r="AC1340" i="1"/>
  <c r="AC1356" i="1"/>
  <c r="AC1372" i="1"/>
  <c r="AC1388" i="1"/>
  <c r="AE1388" i="1" s="1"/>
  <c r="AC1404" i="1"/>
  <c r="AC1420" i="1"/>
  <c r="AC1436" i="1"/>
  <c r="AC1452" i="1"/>
  <c r="AC1688" i="1"/>
  <c r="AC1092" i="1"/>
  <c r="AE1092" i="1" s="1"/>
  <c r="AC1108" i="1"/>
  <c r="AC1124" i="1"/>
  <c r="AC1140" i="1"/>
  <c r="AC1156" i="1"/>
  <c r="AC1172" i="1"/>
  <c r="AC1188" i="1"/>
  <c r="AC1204" i="1"/>
  <c r="AC1220" i="1"/>
  <c r="AC1236" i="1"/>
  <c r="AC1252" i="1"/>
  <c r="AC1268" i="1"/>
  <c r="AC1284" i="1"/>
  <c r="AC1300" i="1"/>
  <c r="AC1316" i="1"/>
  <c r="AC1332" i="1"/>
  <c r="AC1348" i="1"/>
  <c r="AC1364" i="1"/>
  <c r="AC1380" i="1"/>
  <c r="AC1396" i="1"/>
  <c r="AC1412" i="1"/>
  <c r="AC1428" i="1"/>
  <c r="AC1444" i="1"/>
  <c r="AC1460" i="1"/>
  <c r="AC1605" i="1"/>
  <c r="AC1679" i="1"/>
  <c r="AC1699" i="1"/>
  <c r="AC1710" i="1"/>
  <c r="AC918" i="1"/>
  <c r="AC934" i="1"/>
  <c r="AC950" i="1"/>
  <c r="AC966" i="1"/>
  <c r="AC982" i="1"/>
  <c r="AC998" i="1"/>
  <c r="AC1014" i="1"/>
  <c r="AC1030" i="1"/>
  <c r="AC1046" i="1"/>
  <c r="AC1062" i="1"/>
  <c r="AC1078" i="1"/>
  <c r="AC1470" i="1"/>
  <c r="AC1512" i="1"/>
  <c r="AC1659" i="1"/>
  <c r="AC913" i="1"/>
  <c r="AC929" i="1"/>
  <c r="AC945" i="1"/>
  <c r="AC961" i="1"/>
  <c r="AC977" i="1"/>
  <c r="AC993" i="1"/>
  <c r="AC1009" i="1"/>
  <c r="AC1025" i="1"/>
  <c r="AC1041" i="1"/>
  <c r="AC1057" i="1"/>
  <c r="AC1073" i="1"/>
  <c r="AC1544" i="1"/>
  <c r="AC1711" i="1"/>
  <c r="AC1471" i="1"/>
  <c r="AC1482" i="1"/>
  <c r="AC1555" i="1"/>
  <c r="AC1586" i="1"/>
  <c r="AC1618" i="1"/>
  <c r="AC1680" i="1"/>
  <c r="AC1493" i="1"/>
  <c r="AC1566" i="1"/>
  <c r="AC1640" i="1"/>
  <c r="AC1504" i="1"/>
  <c r="AC1567" i="1"/>
  <c r="AC1587" i="1"/>
  <c r="AC1691" i="1"/>
  <c r="AC1525" i="1"/>
  <c r="AC1536" i="1"/>
  <c r="AC1630" i="1"/>
  <c r="AC1367" i="1"/>
  <c r="AC1383" i="1"/>
  <c r="AC1399" i="1"/>
  <c r="AC1415" i="1"/>
  <c r="AC1431" i="1"/>
  <c r="AC1447" i="1"/>
  <c r="AC1463" i="1"/>
  <c r="AC1578" i="1"/>
  <c r="AC1598" i="1"/>
  <c r="AC1672" i="1"/>
  <c r="AC1682" i="1"/>
  <c r="AC1087" i="1"/>
  <c r="AC1103" i="1"/>
  <c r="AC1119" i="1"/>
  <c r="AC1135" i="1"/>
  <c r="AC1151" i="1"/>
  <c r="AC1167" i="1"/>
  <c r="AC1183" i="1"/>
  <c r="AC1199" i="1"/>
  <c r="AC1215" i="1"/>
  <c r="AC1231" i="1"/>
  <c r="AC1247" i="1"/>
  <c r="AC1263" i="1"/>
  <c r="AC1279" i="1"/>
  <c r="AC1295" i="1"/>
  <c r="AC1311" i="1"/>
  <c r="AC1327" i="1"/>
  <c r="AC1343" i="1"/>
  <c r="AC1359" i="1"/>
  <c r="AC1375" i="1"/>
  <c r="AC1391" i="1"/>
  <c r="AC1407" i="1"/>
  <c r="AC1423" i="1"/>
  <c r="AC1439" i="1"/>
  <c r="AC1455" i="1"/>
  <c r="AC1474" i="1"/>
  <c r="AC1547" i="1"/>
  <c r="AC1714" i="1"/>
  <c r="AC920" i="1"/>
  <c r="AC936" i="1"/>
  <c r="AC952" i="1"/>
  <c r="AC968" i="1"/>
  <c r="AC984" i="1"/>
  <c r="AC1000" i="1"/>
  <c r="AC1016" i="1"/>
  <c r="AC1032" i="1"/>
  <c r="AC1048" i="1"/>
  <c r="AC1064" i="1"/>
  <c r="AC1080" i="1"/>
  <c r="AC1568" i="1"/>
  <c r="AC1599" i="1"/>
  <c r="AC1610" i="1"/>
  <c r="AC1621" i="1"/>
  <c r="AC915" i="1"/>
  <c r="AC931" i="1"/>
  <c r="AC947" i="1"/>
  <c r="AC963" i="1"/>
  <c r="AC979" i="1"/>
  <c r="AC995" i="1"/>
  <c r="AC1011" i="1"/>
  <c r="AC1027" i="1"/>
  <c r="AC1043" i="1"/>
  <c r="AC1059" i="1"/>
  <c r="AC1075" i="1"/>
  <c r="AC1653" i="1"/>
  <c r="AC1683" i="1"/>
  <c r="AC1506" i="1"/>
  <c r="AC910" i="1"/>
  <c r="AC926" i="1"/>
  <c r="AC942" i="1"/>
  <c r="AC958" i="1"/>
  <c r="AC974" i="1"/>
  <c r="AC990" i="1"/>
  <c r="AC1006" i="1"/>
  <c r="AC1022" i="1"/>
  <c r="AC1038" i="1"/>
  <c r="AC1054" i="1"/>
  <c r="AC1070" i="1"/>
  <c r="AC1579" i="1"/>
  <c r="AC1664" i="1"/>
  <c r="AC1715" i="1"/>
  <c r="AC1486" i="1"/>
  <c r="AC1528" i="1"/>
  <c r="AC1695" i="1"/>
  <c r="AC1706" i="1"/>
  <c r="AC1086" i="1"/>
  <c r="AC1102" i="1"/>
  <c r="AC1118" i="1"/>
  <c r="AC1134" i="1"/>
  <c r="AC1150" i="1"/>
  <c r="AC1166" i="1"/>
  <c r="AC1182" i="1"/>
  <c r="AC1198" i="1"/>
  <c r="AC1214" i="1"/>
  <c r="AC1230" i="1"/>
  <c r="AC1246" i="1"/>
  <c r="AC1262" i="1"/>
  <c r="AC1278" i="1"/>
  <c r="AC1294" i="1"/>
  <c r="AC1310" i="1"/>
  <c r="AC1326" i="1"/>
  <c r="AC1342" i="1"/>
  <c r="AC1358" i="1"/>
  <c r="AC1374" i="1"/>
  <c r="AC1390" i="1"/>
  <c r="AC1406" i="1"/>
  <c r="AC1422" i="1"/>
  <c r="AC1438" i="1"/>
  <c r="AC1454" i="1"/>
  <c r="AC1496" i="1"/>
  <c r="AC1535" i="1"/>
  <c r="AC1589" i="1"/>
  <c r="AC1643" i="1"/>
  <c r="AC1651" i="1"/>
  <c r="AC1690" i="1"/>
  <c r="AC1752" i="1"/>
  <c r="AC1760" i="1"/>
  <c r="AC1768" i="1"/>
  <c r="AC2448" i="1"/>
  <c r="AC1776" i="1"/>
  <c r="AC1722" i="1"/>
  <c r="AC1730" i="1"/>
  <c r="AC1738" i="1"/>
  <c r="AC1786" i="1"/>
  <c r="AC1796" i="1"/>
  <c r="AC1490" i="1"/>
  <c r="AC1552" i="1"/>
  <c r="AC1614" i="1"/>
  <c r="AC1746" i="1"/>
  <c r="AC1754" i="1"/>
  <c r="AC1762" i="1"/>
  <c r="AC2293" i="1"/>
  <c r="AC1093" i="1"/>
  <c r="AC1109" i="1"/>
  <c r="AC1125" i="1"/>
  <c r="AC1141" i="1"/>
  <c r="AC1157" i="1"/>
  <c r="AC1173" i="1"/>
  <c r="AC1189" i="1"/>
  <c r="AC1205" i="1"/>
  <c r="AC1221" i="1"/>
  <c r="AC1237" i="1"/>
  <c r="AC1253" i="1"/>
  <c r="AC1269" i="1"/>
  <c r="AC1285" i="1"/>
  <c r="AC1301" i="1"/>
  <c r="AC1317" i="1"/>
  <c r="AC1333" i="1"/>
  <c r="AC1349" i="1"/>
  <c r="AC1365" i="1"/>
  <c r="AC1381" i="1"/>
  <c r="AC1397" i="1"/>
  <c r="AC1413" i="1"/>
  <c r="AC1429" i="1"/>
  <c r="AC1445" i="1"/>
  <c r="AC1461" i="1"/>
  <c r="AC1467" i="1"/>
  <c r="AC1475" i="1"/>
  <c r="AC1514" i="1"/>
  <c r="AC1576" i="1"/>
  <c r="AC1615" i="1"/>
  <c r="AC1669" i="1"/>
  <c r="AC1723" i="1"/>
  <c r="AC1731" i="1"/>
  <c r="AC1770" i="1"/>
  <c r="AC1522" i="1"/>
  <c r="AC1584" i="1"/>
  <c r="AC1646" i="1"/>
  <c r="AC1778" i="1"/>
  <c r="AC1797" i="1"/>
  <c r="AC1088" i="1"/>
  <c r="AC1104" i="1"/>
  <c r="AC1120" i="1"/>
  <c r="AC1136" i="1"/>
  <c r="AC1152" i="1"/>
  <c r="AC1168" i="1"/>
  <c r="AC1184" i="1"/>
  <c r="AC1200" i="1"/>
  <c r="AC1216" i="1"/>
  <c r="AC1232" i="1"/>
  <c r="AC1248" i="1"/>
  <c r="AC1264" i="1"/>
  <c r="AC1280" i="1"/>
  <c r="AC1296" i="1"/>
  <c r="AC1312" i="1"/>
  <c r="AC1328" i="1"/>
  <c r="AC1344" i="1"/>
  <c r="AC1360" i="1"/>
  <c r="AC1376" i="1"/>
  <c r="AC1392" i="1"/>
  <c r="AC1408" i="1"/>
  <c r="AC1424" i="1"/>
  <c r="AC1440" i="1"/>
  <c r="AC1456" i="1"/>
  <c r="AC1483" i="1"/>
  <c r="AC1491" i="1"/>
  <c r="AC1530" i="1"/>
  <c r="AC1592" i="1"/>
  <c r="AC1631" i="1"/>
  <c r="AC1685" i="1"/>
  <c r="AC1739" i="1"/>
  <c r="AC1747" i="1"/>
  <c r="AC1858" i="1"/>
  <c r="AC2013" i="1"/>
  <c r="AC1538" i="1"/>
  <c r="AC1600" i="1"/>
  <c r="AC1662" i="1"/>
  <c r="AC1083" i="1"/>
  <c r="AE1083" i="1" s="1"/>
  <c r="AC1099" i="1"/>
  <c r="AC1115" i="1"/>
  <c r="AC1131" i="1"/>
  <c r="AC1147" i="1"/>
  <c r="AE1147" i="1" s="1"/>
  <c r="AC1163" i="1"/>
  <c r="AC1179" i="1"/>
  <c r="AC1195" i="1"/>
  <c r="AC1211" i="1"/>
  <c r="AC1227" i="1"/>
  <c r="AC1243" i="1"/>
  <c r="AC1259" i="1"/>
  <c r="AC1275" i="1"/>
  <c r="AC1291" i="1"/>
  <c r="AC1307" i="1"/>
  <c r="AC1323" i="1"/>
  <c r="AC1339" i="1"/>
  <c r="AC1355" i="1"/>
  <c r="AC1371" i="1"/>
  <c r="AC1387" i="1"/>
  <c r="AC1403" i="1"/>
  <c r="AC1419" i="1"/>
  <c r="AC1435" i="1"/>
  <c r="AC1451" i="1"/>
  <c r="AC1499" i="1"/>
  <c r="AC1507" i="1"/>
  <c r="AC1546" i="1"/>
  <c r="AC1608" i="1"/>
  <c r="AC1647" i="1"/>
  <c r="AC1701" i="1"/>
  <c r="AC1755" i="1"/>
  <c r="AC1763" i="1"/>
  <c r="AC2060" i="1"/>
  <c r="AC1554" i="1"/>
  <c r="AC1616" i="1"/>
  <c r="AC1678" i="1"/>
  <c r="AC1094" i="1"/>
  <c r="AC1110" i="1"/>
  <c r="AC1126" i="1"/>
  <c r="AC1142" i="1"/>
  <c r="AC1158" i="1"/>
  <c r="AC1174" i="1"/>
  <c r="AC1190" i="1"/>
  <c r="AC1206" i="1"/>
  <c r="AC1222" i="1"/>
  <c r="AC1238" i="1"/>
  <c r="AC1254" i="1"/>
  <c r="AC1270" i="1"/>
  <c r="AC1286" i="1"/>
  <c r="AC1302" i="1"/>
  <c r="AC1318" i="1"/>
  <c r="AC1334" i="1"/>
  <c r="AC1350" i="1"/>
  <c r="AC1366" i="1"/>
  <c r="AC1382" i="1"/>
  <c r="AC1398" i="1"/>
  <c r="AC1414" i="1"/>
  <c r="AC1430" i="1"/>
  <c r="AC1446" i="1"/>
  <c r="AC1462" i="1"/>
  <c r="AC1515" i="1"/>
  <c r="AC1523" i="1"/>
  <c r="AC1562" i="1"/>
  <c r="AC1624" i="1"/>
  <c r="AC1663" i="1"/>
  <c r="AC1717" i="1"/>
  <c r="AC1771" i="1"/>
  <c r="AC1779" i="1"/>
  <c r="AC1789" i="1"/>
  <c r="AC1570" i="1"/>
  <c r="AC1632" i="1"/>
  <c r="AC1694" i="1"/>
  <c r="AC1733" i="1"/>
  <c r="AC1749" i="1"/>
  <c r="AC1726" i="1"/>
  <c r="AC1765" i="1"/>
  <c r="AC1742" i="1"/>
  <c r="AC1727" i="1"/>
  <c r="AC1781" i="1"/>
  <c r="AC1502" i="1"/>
  <c r="AC1634" i="1"/>
  <c r="AC1696" i="1"/>
  <c r="AC1758" i="1"/>
  <c r="AC1085" i="1"/>
  <c r="AC1101" i="1"/>
  <c r="AC1117" i="1"/>
  <c r="AC1133" i="1"/>
  <c r="AC1149" i="1"/>
  <c r="AC1165" i="1"/>
  <c r="AC1181" i="1"/>
  <c r="AC1197" i="1"/>
  <c r="AC1213" i="1"/>
  <c r="AC1229" i="1"/>
  <c r="AC1245" i="1"/>
  <c r="AC1261" i="1"/>
  <c r="AC1277" i="1"/>
  <c r="AC1293" i="1"/>
  <c r="AC1309" i="1"/>
  <c r="AC1325" i="1"/>
  <c r="AC1341" i="1"/>
  <c r="AC1357" i="1"/>
  <c r="AC1373" i="1"/>
  <c r="AC1389" i="1"/>
  <c r="AC1405" i="1"/>
  <c r="AC1421" i="1"/>
  <c r="AC1437" i="1"/>
  <c r="AC1453" i="1"/>
  <c r="AC1487" i="1"/>
  <c r="AC1541" i="1"/>
  <c r="AC1595" i="1"/>
  <c r="AE1595" i="1" s="1"/>
  <c r="AC1603" i="1"/>
  <c r="AC1642" i="1"/>
  <c r="AC1704" i="1"/>
  <c r="AC1743" i="1"/>
  <c r="AC1518" i="1"/>
  <c r="AC1650" i="1"/>
  <c r="AC1712" i="1"/>
  <c r="AC1774" i="1"/>
  <c r="AC2005" i="1"/>
  <c r="AC1096" i="1"/>
  <c r="AC1112" i="1"/>
  <c r="AC1128" i="1"/>
  <c r="AC1144" i="1"/>
  <c r="AC1160" i="1"/>
  <c r="AC1176" i="1"/>
  <c r="AC1192" i="1"/>
  <c r="AC1208" i="1"/>
  <c r="AC1224" i="1"/>
  <c r="AC1240" i="1"/>
  <c r="AC1256" i="1"/>
  <c r="AC1272" i="1"/>
  <c r="AC1288" i="1"/>
  <c r="AC1304" i="1"/>
  <c r="AC1320" i="1"/>
  <c r="AC1336" i="1"/>
  <c r="AC1352" i="1"/>
  <c r="AC1368" i="1"/>
  <c r="AC1384" i="1"/>
  <c r="AC1400" i="1"/>
  <c r="AC1416" i="1"/>
  <c r="AC1432" i="1"/>
  <c r="AC1448" i="1"/>
  <c r="AC1464" i="1"/>
  <c r="AC1503" i="1"/>
  <c r="AC1557" i="1"/>
  <c r="AC1611" i="1"/>
  <c r="AC1619" i="1"/>
  <c r="AC1658" i="1"/>
  <c r="AC1720" i="1"/>
  <c r="AC1759" i="1"/>
  <c r="AC1472" i="1"/>
  <c r="AC1534" i="1"/>
  <c r="AC1666" i="1"/>
  <c r="AC1728" i="1"/>
  <c r="AC1804" i="1"/>
  <c r="AC1959" i="1"/>
  <c r="AC2052" i="1"/>
  <c r="AC2114" i="1"/>
  <c r="AC1091" i="1"/>
  <c r="AC1107" i="1"/>
  <c r="AC1123" i="1"/>
  <c r="AC1139" i="1"/>
  <c r="AC1155" i="1"/>
  <c r="AC1171" i="1"/>
  <c r="AC1187" i="1"/>
  <c r="AC1203" i="1"/>
  <c r="AC1219" i="1"/>
  <c r="AC1235" i="1"/>
  <c r="AC1251" i="1"/>
  <c r="AC1267" i="1"/>
  <c r="AC1283" i="1"/>
  <c r="AC1299" i="1"/>
  <c r="AC1315" i="1"/>
  <c r="AC1331" i="1"/>
  <c r="AC1347" i="1"/>
  <c r="AC1363" i="1"/>
  <c r="AC1379" i="1"/>
  <c r="AC1395" i="1"/>
  <c r="AC1411" i="1"/>
  <c r="AC1427" i="1"/>
  <c r="AC1443" i="1"/>
  <c r="AC1459" i="1"/>
  <c r="AC1480" i="1"/>
  <c r="AC1519" i="1"/>
  <c r="AC1573" i="1"/>
  <c r="AC1627" i="1"/>
  <c r="AC1635" i="1"/>
  <c r="AC1674" i="1"/>
  <c r="AC1736" i="1"/>
  <c r="AC1775" i="1"/>
  <c r="AC1866" i="1"/>
  <c r="AC1967" i="1"/>
  <c r="AC2122" i="1"/>
  <c r="AC1812" i="1"/>
  <c r="AC1820" i="1"/>
  <c r="AC1874" i="1"/>
  <c r="AC1975" i="1"/>
  <c r="AC2021" i="1"/>
  <c r="AC2029" i="1"/>
  <c r="AC2068" i="1"/>
  <c r="AC2076" i="1"/>
  <c r="AC2130" i="1"/>
  <c r="AC2163" i="1"/>
  <c r="AC1882" i="1"/>
  <c r="AC1983" i="1"/>
  <c r="AC2138" i="1"/>
  <c r="AC2154" i="1"/>
  <c r="AC1828" i="1"/>
  <c r="AC1836" i="1"/>
  <c r="AC1890" i="1"/>
  <c r="AC1991" i="1"/>
  <c r="AC2037" i="1"/>
  <c r="AC2045" i="1"/>
  <c r="AC2084" i="1"/>
  <c r="AC2092" i="1"/>
  <c r="AC2146" i="1"/>
  <c r="AC1898" i="1"/>
  <c r="AC1999" i="1"/>
  <c r="AC1805" i="1"/>
  <c r="AC1844" i="1"/>
  <c r="AC1852" i="1"/>
  <c r="AC1906" i="1"/>
  <c r="AC2007" i="1"/>
  <c r="AC2053" i="1"/>
  <c r="AC2061" i="1"/>
  <c r="AC2100" i="1"/>
  <c r="AC2108" i="1"/>
  <c r="AC1914" i="1"/>
  <c r="AC2015" i="1"/>
  <c r="AC1813" i="1"/>
  <c r="AC1821" i="1"/>
  <c r="AC1860" i="1"/>
  <c r="AC1868" i="1"/>
  <c r="AC1922" i="1"/>
  <c r="AC2023" i="1"/>
  <c r="AC2069" i="1"/>
  <c r="AC2077" i="1"/>
  <c r="AC2116" i="1"/>
  <c r="AC2124" i="1"/>
  <c r="AC1930" i="1"/>
  <c r="AC2031" i="1"/>
  <c r="AC2155" i="1"/>
  <c r="AE2155" i="1" s="1"/>
  <c r="AC1478" i="1"/>
  <c r="AC1494" i="1"/>
  <c r="AC1510" i="1"/>
  <c r="AC1526" i="1"/>
  <c r="AC1542" i="1"/>
  <c r="AC1558" i="1"/>
  <c r="AC1574" i="1"/>
  <c r="AC1590" i="1"/>
  <c r="AC1606" i="1"/>
  <c r="AC1622" i="1"/>
  <c r="AC1638" i="1"/>
  <c r="AC1654" i="1"/>
  <c r="AC1670" i="1"/>
  <c r="AC1686" i="1"/>
  <c r="AC1702" i="1"/>
  <c r="AC1718" i="1"/>
  <c r="AC1734" i="1"/>
  <c r="AC1750" i="1"/>
  <c r="AC1766" i="1"/>
  <c r="AE1766" i="1" s="1"/>
  <c r="AC1783" i="1"/>
  <c r="AC1829" i="1"/>
  <c r="AC1837" i="1"/>
  <c r="AC1876" i="1"/>
  <c r="AC1884" i="1"/>
  <c r="AC1938" i="1"/>
  <c r="AC2039" i="1"/>
  <c r="AC2085" i="1"/>
  <c r="AC2093" i="1"/>
  <c r="AC2132" i="1"/>
  <c r="AC2140" i="1"/>
  <c r="AC1791" i="1"/>
  <c r="AC1946" i="1"/>
  <c r="AC2047" i="1"/>
  <c r="AC1473" i="1"/>
  <c r="AC1489" i="1"/>
  <c r="AC1505" i="1"/>
  <c r="AC1521" i="1"/>
  <c r="AC1537" i="1"/>
  <c r="AC1553" i="1"/>
  <c r="AC1569" i="1"/>
  <c r="AC1585" i="1"/>
  <c r="AC1601" i="1"/>
  <c r="AC1617" i="1"/>
  <c r="AC1633" i="1"/>
  <c r="AC1649" i="1"/>
  <c r="AC1665" i="1"/>
  <c r="AC1681" i="1"/>
  <c r="AC1697" i="1"/>
  <c r="AC1713" i="1"/>
  <c r="AC1729" i="1"/>
  <c r="AC1745" i="1"/>
  <c r="AC1761" i="1"/>
  <c r="AC1777" i="1"/>
  <c r="AC1799" i="1"/>
  <c r="AC1845" i="1"/>
  <c r="AC1853" i="1"/>
  <c r="AC1892" i="1"/>
  <c r="AC1900" i="1"/>
  <c r="AC1954" i="1"/>
  <c r="AC2055" i="1"/>
  <c r="AC2101" i="1"/>
  <c r="AC2109" i="1"/>
  <c r="AC2148" i="1"/>
  <c r="AC1807" i="1"/>
  <c r="AC1962" i="1"/>
  <c r="AC2063" i="1"/>
  <c r="AC1468" i="1"/>
  <c r="AC1484" i="1"/>
  <c r="AC1500" i="1"/>
  <c r="AC1516" i="1"/>
  <c r="AC1532" i="1"/>
  <c r="AC1548" i="1"/>
  <c r="AC1564" i="1"/>
  <c r="AC1580" i="1"/>
  <c r="AC1596" i="1"/>
  <c r="AC1612" i="1"/>
  <c r="AC1628" i="1"/>
  <c r="AC1644" i="1"/>
  <c r="AC1660" i="1"/>
  <c r="AC1676" i="1"/>
  <c r="AC1692" i="1"/>
  <c r="AC1708" i="1"/>
  <c r="AC1724" i="1"/>
  <c r="AC1740" i="1"/>
  <c r="AC1756" i="1"/>
  <c r="AC1772" i="1"/>
  <c r="AC1815" i="1"/>
  <c r="AC1861" i="1"/>
  <c r="AC1869" i="1"/>
  <c r="AC1908" i="1"/>
  <c r="AC1916" i="1"/>
  <c r="AC1970" i="1"/>
  <c r="AC2071" i="1"/>
  <c r="AC2117" i="1"/>
  <c r="AC2125" i="1"/>
  <c r="AC1823" i="1"/>
  <c r="AC1978" i="1"/>
  <c r="AC2079" i="1"/>
  <c r="AC2178" i="1"/>
  <c r="AC2192" i="1"/>
  <c r="AC1479" i="1"/>
  <c r="AC1495" i="1"/>
  <c r="AC1511" i="1"/>
  <c r="AC1527" i="1"/>
  <c r="AC1543" i="1"/>
  <c r="AC1559" i="1"/>
  <c r="AC1575" i="1"/>
  <c r="AC1591" i="1"/>
  <c r="AC1607" i="1"/>
  <c r="AC1623" i="1"/>
  <c r="AC1639" i="1"/>
  <c r="AC1655" i="1"/>
  <c r="AC1671" i="1"/>
  <c r="AC1687" i="1"/>
  <c r="AC1703" i="1"/>
  <c r="AC1719" i="1"/>
  <c r="AC1735" i="1"/>
  <c r="AC1751" i="1"/>
  <c r="AC1767" i="1"/>
  <c r="AC1831" i="1"/>
  <c r="AC1877" i="1"/>
  <c r="AC1885" i="1"/>
  <c r="AC1924" i="1"/>
  <c r="AC1932" i="1"/>
  <c r="AC1986" i="1"/>
  <c r="AC2087" i="1"/>
  <c r="AC2133" i="1"/>
  <c r="AC2141" i="1"/>
  <c r="AC1839" i="1"/>
  <c r="AC1994" i="1"/>
  <c r="AC2095" i="1"/>
  <c r="AC1847" i="1"/>
  <c r="AC1893" i="1"/>
  <c r="AC1901" i="1"/>
  <c r="AC1940" i="1"/>
  <c r="AC1948" i="1"/>
  <c r="AC2002" i="1"/>
  <c r="AC2103" i="1"/>
  <c r="AC2149" i="1"/>
  <c r="AC1855" i="1"/>
  <c r="AC2010" i="1"/>
  <c r="AC2111" i="1"/>
  <c r="AC1469" i="1"/>
  <c r="AC1485" i="1"/>
  <c r="AC1501" i="1"/>
  <c r="AC1517" i="1"/>
  <c r="AC1533" i="1"/>
  <c r="AC1549" i="1"/>
  <c r="AC1565" i="1"/>
  <c r="AC1581" i="1"/>
  <c r="AC1597" i="1"/>
  <c r="AC1613" i="1"/>
  <c r="AC1629" i="1"/>
  <c r="AC1645" i="1"/>
  <c r="AC1661" i="1"/>
  <c r="AC1677" i="1"/>
  <c r="AC1693" i="1"/>
  <c r="AC1709" i="1"/>
  <c r="AC1725" i="1"/>
  <c r="AC1741" i="1"/>
  <c r="AC1757" i="1"/>
  <c r="AC1773" i="1"/>
  <c r="AC1863" i="1"/>
  <c r="AC1909" i="1"/>
  <c r="AC1917" i="1"/>
  <c r="AC1956" i="1"/>
  <c r="AC1964" i="1"/>
  <c r="AC2018" i="1"/>
  <c r="AC2119" i="1"/>
  <c r="AC1871" i="1"/>
  <c r="AC2026" i="1"/>
  <c r="AC2127" i="1"/>
  <c r="AC1879" i="1"/>
  <c r="AC1925" i="1"/>
  <c r="AC1933" i="1"/>
  <c r="AC1972" i="1"/>
  <c r="AC1980" i="1"/>
  <c r="AC2034" i="1"/>
  <c r="AC2135" i="1"/>
  <c r="AC2170" i="1"/>
  <c r="AC1887" i="1"/>
  <c r="AC2042" i="1"/>
  <c r="AC2143" i="1"/>
  <c r="AC1895" i="1"/>
  <c r="AC1941" i="1"/>
  <c r="AC1949" i="1"/>
  <c r="AC1988" i="1"/>
  <c r="AC1996" i="1"/>
  <c r="AC2050" i="1"/>
  <c r="AC2151" i="1"/>
  <c r="AC1802" i="1"/>
  <c r="AC1903" i="1"/>
  <c r="AC2058" i="1"/>
  <c r="AC1810" i="1"/>
  <c r="AC1911" i="1"/>
  <c r="AC1957" i="1"/>
  <c r="AC1965" i="1"/>
  <c r="AC2004" i="1"/>
  <c r="AC2012" i="1"/>
  <c r="AC2066" i="1"/>
  <c r="AC1818" i="1"/>
  <c r="AC1919" i="1"/>
  <c r="AC2074" i="1"/>
  <c r="AC1465" i="1"/>
  <c r="AC1481" i="1"/>
  <c r="AC1497" i="1"/>
  <c r="AC1513" i="1"/>
  <c r="AC1529" i="1"/>
  <c r="AC1545" i="1"/>
  <c r="AC1561" i="1"/>
  <c r="AC1577" i="1"/>
  <c r="AC1593" i="1"/>
  <c r="AC1609" i="1"/>
  <c r="AC1625" i="1"/>
  <c r="AC1641" i="1"/>
  <c r="AC1657" i="1"/>
  <c r="AC1673" i="1"/>
  <c r="AC1689" i="1"/>
  <c r="AC1705" i="1"/>
  <c r="AE1705" i="1" s="1"/>
  <c r="AC1721" i="1"/>
  <c r="AC1737" i="1"/>
  <c r="AC1753" i="1"/>
  <c r="AC1769" i="1"/>
  <c r="AC1826" i="1"/>
  <c r="AC1927" i="1"/>
  <c r="AC1973" i="1"/>
  <c r="AC1981" i="1"/>
  <c r="AC2020" i="1"/>
  <c r="AC2028" i="1"/>
  <c r="AC2082" i="1"/>
  <c r="AC2162" i="1"/>
  <c r="AC1834" i="1"/>
  <c r="AC1935" i="1"/>
  <c r="AC2090" i="1"/>
  <c r="AC1476" i="1"/>
  <c r="AC1492" i="1"/>
  <c r="AC1508" i="1"/>
  <c r="AC1524" i="1"/>
  <c r="AC1540" i="1"/>
  <c r="AC1556" i="1"/>
  <c r="AC1572" i="1"/>
  <c r="AC1588" i="1"/>
  <c r="AC1604" i="1"/>
  <c r="AC1620" i="1"/>
  <c r="AC1636" i="1"/>
  <c r="AC1652" i="1"/>
  <c r="AC1668" i="1"/>
  <c r="AC1684" i="1"/>
  <c r="AC1700" i="1"/>
  <c r="AC1716" i="1"/>
  <c r="AC1732" i="1"/>
  <c r="AC1748" i="1"/>
  <c r="AC1764" i="1"/>
  <c r="AC1780" i="1"/>
  <c r="AC1788" i="1"/>
  <c r="AC1842" i="1"/>
  <c r="AC1943" i="1"/>
  <c r="AC1989" i="1"/>
  <c r="AC1997" i="1"/>
  <c r="AC2036" i="1"/>
  <c r="AC2044" i="1"/>
  <c r="AC2098" i="1"/>
  <c r="AC1850" i="1"/>
  <c r="AC1951" i="1"/>
  <c r="AC2106" i="1"/>
  <c r="AC1785" i="1"/>
  <c r="AC1801" i="1"/>
  <c r="AC1817" i="1"/>
  <c r="AC1833" i="1"/>
  <c r="AC1849" i="1"/>
  <c r="AC1865" i="1"/>
  <c r="AC1881" i="1"/>
  <c r="AC1897" i="1"/>
  <c r="AC1913" i="1"/>
  <c r="AC1929" i="1"/>
  <c r="AC1945" i="1"/>
  <c r="AC1961" i="1"/>
  <c r="AC1977" i="1"/>
  <c r="AC1993" i="1"/>
  <c r="AC2009" i="1"/>
  <c r="AC2025" i="1"/>
  <c r="AC2041" i="1"/>
  <c r="AC2057" i="1"/>
  <c r="AC2073" i="1"/>
  <c r="AC2089" i="1"/>
  <c r="AC2105" i="1"/>
  <c r="AC2121" i="1"/>
  <c r="AC2137" i="1"/>
  <c r="AC2200" i="1"/>
  <c r="AC2301" i="1"/>
  <c r="AC2347" i="1"/>
  <c r="AC2355" i="1"/>
  <c r="AC2394" i="1"/>
  <c r="AC2402" i="1"/>
  <c r="AC2458" i="1"/>
  <c r="AC2488" i="1"/>
  <c r="AC2584" i="1"/>
  <c r="AC2208" i="1"/>
  <c r="AC2309" i="1"/>
  <c r="AC2509" i="1"/>
  <c r="AE2509" i="1" s="1"/>
  <c r="AC2216" i="1"/>
  <c r="AC2317" i="1"/>
  <c r="AC2363" i="1"/>
  <c r="AC2371" i="1"/>
  <c r="AC2410" i="1"/>
  <c r="AC2418" i="1"/>
  <c r="AC2631" i="1"/>
  <c r="AC2693" i="1"/>
  <c r="AC2224" i="1"/>
  <c r="AC2325" i="1"/>
  <c r="AC2551" i="1"/>
  <c r="AC2232" i="1"/>
  <c r="AC2333" i="1"/>
  <c r="AC2379" i="1"/>
  <c r="AC2387" i="1"/>
  <c r="AC2426" i="1"/>
  <c r="AC2434" i="1"/>
  <c r="AC2469" i="1"/>
  <c r="AC2520" i="1"/>
  <c r="AC2240" i="1"/>
  <c r="AC2341" i="1"/>
  <c r="AC2186" i="1"/>
  <c r="AC2194" i="1"/>
  <c r="AC2248" i="1"/>
  <c r="AC2349" i="1"/>
  <c r="AC2395" i="1"/>
  <c r="AC2403" i="1"/>
  <c r="AC2442" i="1"/>
  <c r="AC2450" i="1"/>
  <c r="AC2562" i="1"/>
  <c r="AC2256" i="1"/>
  <c r="AC2357" i="1"/>
  <c r="AC2480" i="1"/>
  <c r="AC2202" i="1"/>
  <c r="AC2210" i="1"/>
  <c r="AC2264" i="1"/>
  <c r="AC2365" i="1"/>
  <c r="AC2411" i="1"/>
  <c r="AC2419" i="1"/>
  <c r="AC2501" i="1"/>
  <c r="AC2272" i="1"/>
  <c r="AC2373" i="1"/>
  <c r="AC1792" i="1"/>
  <c r="AC1808" i="1"/>
  <c r="AC1824" i="1"/>
  <c r="AC1840" i="1"/>
  <c r="AC1856" i="1"/>
  <c r="AC1872" i="1"/>
  <c r="AC1888" i="1"/>
  <c r="AC1904" i="1"/>
  <c r="AC1920" i="1"/>
  <c r="AC1936" i="1"/>
  <c r="AC1952" i="1"/>
  <c r="AC1968" i="1"/>
  <c r="AC1984" i="1"/>
  <c r="AC2000" i="1"/>
  <c r="AC2016" i="1"/>
  <c r="AC2032" i="1"/>
  <c r="AC2048" i="1"/>
  <c r="AC2064" i="1"/>
  <c r="AC2080" i="1"/>
  <c r="AC2096" i="1"/>
  <c r="AC2112" i="1"/>
  <c r="AC2128" i="1"/>
  <c r="AC2144" i="1"/>
  <c r="AC2171" i="1"/>
  <c r="AC2179" i="1"/>
  <c r="AC2218" i="1"/>
  <c r="AC2226" i="1"/>
  <c r="AC2280" i="1"/>
  <c r="AC2381" i="1"/>
  <c r="AC2427" i="1"/>
  <c r="AC2435" i="1"/>
  <c r="AC2512" i="1"/>
  <c r="AC2543" i="1"/>
  <c r="AC2288" i="1"/>
  <c r="AC2389" i="1"/>
  <c r="AC2461" i="1"/>
  <c r="AC1787" i="1"/>
  <c r="AC1803" i="1"/>
  <c r="AC1819" i="1"/>
  <c r="AC1835" i="1"/>
  <c r="AC1851" i="1"/>
  <c r="AC1867" i="1"/>
  <c r="AC1883" i="1"/>
  <c r="AC1899" i="1"/>
  <c r="AC1915" i="1"/>
  <c r="AC1931" i="1"/>
  <c r="AC1947" i="1"/>
  <c r="AC1963" i="1"/>
  <c r="AC1979" i="1"/>
  <c r="AC1995" i="1"/>
  <c r="AC2011" i="1"/>
  <c r="AC2027" i="1"/>
  <c r="AC2043" i="1"/>
  <c r="AC2059" i="1"/>
  <c r="AC2075" i="1"/>
  <c r="AC2091" i="1"/>
  <c r="AC2107" i="1"/>
  <c r="AC2123" i="1"/>
  <c r="AC2139" i="1"/>
  <c r="AC2187" i="1"/>
  <c r="AC2195" i="1"/>
  <c r="AC2234" i="1"/>
  <c r="AC2242" i="1"/>
  <c r="AC2296" i="1"/>
  <c r="AC2397" i="1"/>
  <c r="AC2443" i="1"/>
  <c r="AC2451" i="1"/>
  <c r="AC2304" i="1"/>
  <c r="AC2405" i="1"/>
  <c r="AC2554" i="1"/>
  <c r="AC1782" i="1"/>
  <c r="AC1798" i="1"/>
  <c r="AC1814" i="1"/>
  <c r="AC1830" i="1"/>
  <c r="AC1846" i="1"/>
  <c r="AC1862" i="1"/>
  <c r="AC1878" i="1"/>
  <c r="AC1894" i="1"/>
  <c r="AC1910" i="1"/>
  <c r="AC1926" i="1"/>
  <c r="AC1942" i="1"/>
  <c r="AC1958" i="1"/>
  <c r="AC1974" i="1"/>
  <c r="AC1990" i="1"/>
  <c r="AC2006" i="1"/>
  <c r="AC2022" i="1"/>
  <c r="AC2038" i="1"/>
  <c r="AC2054" i="1"/>
  <c r="AC2070" i="1"/>
  <c r="AC2086" i="1"/>
  <c r="AC2102" i="1"/>
  <c r="AC2118" i="1"/>
  <c r="AC2134" i="1"/>
  <c r="AC2150" i="1"/>
  <c r="AC2157" i="1"/>
  <c r="AC2203" i="1"/>
  <c r="AC2211" i="1"/>
  <c r="AC2250" i="1"/>
  <c r="AC2258" i="1"/>
  <c r="AC2312" i="1"/>
  <c r="AC2413" i="1"/>
  <c r="AC2472" i="1"/>
  <c r="AC2482" i="1"/>
  <c r="AC2165" i="1"/>
  <c r="AC2320" i="1"/>
  <c r="AC2421" i="1"/>
  <c r="AC2493" i="1"/>
  <c r="AC1793" i="1"/>
  <c r="AC1809" i="1"/>
  <c r="AC1825" i="1"/>
  <c r="AC1841" i="1"/>
  <c r="AC1857" i="1"/>
  <c r="AC1873" i="1"/>
  <c r="AC1889" i="1"/>
  <c r="AC1905" i="1"/>
  <c r="AC1921" i="1"/>
  <c r="AC1937" i="1"/>
  <c r="AC1953" i="1"/>
  <c r="AC1969" i="1"/>
  <c r="AC1985" i="1"/>
  <c r="AC2001" i="1"/>
  <c r="AC2017" i="1"/>
  <c r="AC2033" i="1"/>
  <c r="AC2049" i="1"/>
  <c r="AC2065" i="1"/>
  <c r="AC2081" i="1"/>
  <c r="AC2097" i="1"/>
  <c r="AC2113" i="1"/>
  <c r="AC2129" i="1"/>
  <c r="AC2145" i="1"/>
  <c r="AC2173" i="1"/>
  <c r="AC2219" i="1"/>
  <c r="AC2227" i="1"/>
  <c r="AC2266" i="1"/>
  <c r="AC2274" i="1"/>
  <c r="AC2328" i="1"/>
  <c r="AC2429" i="1"/>
  <c r="AC2181" i="1"/>
  <c r="AC2336" i="1"/>
  <c r="AC2437" i="1"/>
  <c r="AC2453" i="1"/>
  <c r="AC2535" i="1"/>
  <c r="AC2592" i="1"/>
  <c r="AC2189" i="1"/>
  <c r="AC2235" i="1"/>
  <c r="AC2243" i="1"/>
  <c r="AC2282" i="1"/>
  <c r="AC2290" i="1"/>
  <c r="AC2344" i="1"/>
  <c r="AC2445" i="1"/>
  <c r="AC2504" i="1"/>
  <c r="AC2197" i="1"/>
  <c r="AC2352" i="1"/>
  <c r="AC2639" i="1"/>
  <c r="AC2794" i="1"/>
  <c r="AC2205" i="1"/>
  <c r="AC2251" i="1"/>
  <c r="AC2259" i="1"/>
  <c r="AC2298" i="1"/>
  <c r="AC2306" i="1"/>
  <c r="AC2360" i="1"/>
  <c r="AC2474" i="1"/>
  <c r="AC2213" i="1"/>
  <c r="AC2368" i="1"/>
  <c r="AC2221" i="1"/>
  <c r="AC2267" i="1"/>
  <c r="AC2275" i="1"/>
  <c r="AC2314" i="1"/>
  <c r="AC2322" i="1"/>
  <c r="AC2376" i="1"/>
  <c r="AC2567" i="1"/>
  <c r="AC2229" i="1"/>
  <c r="AC2384" i="1"/>
  <c r="AC2485" i="1"/>
  <c r="AC2527" i="1"/>
  <c r="AC2237" i="1"/>
  <c r="AC2283" i="1"/>
  <c r="AC2291" i="1"/>
  <c r="AC2330" i="1"/>
  <c r="AC2338" i="1"/>
  <c r="AC2392" i="1"/>
  <c r="AC2496" i="1"/>
  <c r="AC2245" i="1"/>
  <c r="AC2400" i="1"/>
  <c r="AC1784" i="1"/>
  <c r="AC1800" i="1"/>
  <c r="AC1816" i="1"/>
  <c r="AC1832" i="1"/>
  <c r="AC1848" i="1"/>
  <c r="AC1864" i="1"/>
  <c r="AC1880" i="1"/>
  <c r="AC1896" i="1"/>
  <c r="AC1912" i="1"/>
  <c r="AC1928" i="1"/>
  <c r="AC1944" i="1"/>
  <c r="AC1960" i="1"/>
  <c r="AC1976" i="1"/>
  <c r="AC1992" i="1"/>
  <c r="AC2008" i="1"/>
  <c r="AC2024" i="1"/>
  <c r="AC2040" i="1"/>
  <c r="AC2056" i="1"/>
  <c r="AC2072" i="1"/>
  <c r="AC2088" i="1"/>
  <c r="AC2104" i="1"/>
  <c r="AC2120" i="1"/>
  <c r="AC2136" i="1"/>
  <c r="AC2152" i="1"/>
  <c r="AC2253" i="1"/>
  <c r="AC2299" i="1"/>
  <c r="AC2307" i="1"/>
  <c r="AC2346" i="1"/>
  <c r="AC2354" i="1"/>
  <c r="AC2408" i="1"/>
  <c r="AC2466" i="1"/>
  <c r="AC2160" i="1"/>
  <c r="AC2261" i="1"/>
  <c r="AC2416" i="1"/>
  <c r="AC2538" i="1"/>
  <c r="AC2559" i="1"/>
  <c r="AC1795" i="1"/>
  <c r="AC1811" i="1"/>
  <c r="AC1827" i="1"/>
  <c r="AC1843" i="1"/>
  <c r="AC1859" i="1"/>
  <c r="AC1875" i="1"/>
  <c r="AC1891" i="1"/>
  <c r="AC1907" i="1"/>
  <c r="AC1923" i="1"/>
  <c r="AC1939" i="1"/>
  <c r="AC1955" i="1"/>
  <c r="AC1971" i="1"/>
  <c r="AC1987" i="1"/>
  <c r="AC2003" i="1"/>
  <c r="AC2019" i="1"/>
  <c r="AC2035" i="1"/>
  <c r="AC2051" i="1"/>
  <c r="AC2067" i="1"/>
  <c r="AC2083" i="1"/>
  <c r="AC2099" i="1"/>
  <c r="AC2115" i="1"/>
  <c r="AC2131" i="1"/>
  <c r="AC2147" i="1"/>
  <c r="AC2168" i="1"/>
  <c r="AC2269" i="1"/>
  <c r="AC2315" i="1"/>
  <c r="AC2323" i="1"/>
  <c r="AC2362" i="1"/>
  <c r="AC2370" i="1"/>
  <c r="AC2424" i="1"/>
  <c r="AC2176" i="1"/>
  <c r="AC2277" i="1"/>
  <c r="AC2432" i="1"/>
  <c r="AC2528" i="1"/>
  <c r="AC1790" i="1"/>
  <c r="AC1806" i="1"/>
  <c r="AC1822" i="1"/>
  <c r="AC1838" i="1"/>
  <c r="AC1854" i="1"/>
  <c r="AC1870" i="1"/>
  <c r="AC1886" i="1"/>
  <c r="AC1902" i="1"/>
  <c r="AC1918" i="1"/>
  <c r="AC1934" i="1"/>
  <c r="AC1950" i="1"/>
  <c r="AC1966" i="1"/>
  <c r="AC1982" i="1"/>
  <c r="AC1998" i="1"/>
  <c r="AC2014" i="1"/>
  <c r="AC2030" i="1"/>
  <c r="AC2046" i="1"/>
  <c r="AC2062" i="1"/>
  <c r="AC2078" i="1"/>
  <c r="AC2094" i="1"/>
  <c r="AC2110" i="1"/>
  <c r="AC2126" i="1"/>
  <c r="AC2142" i="1"/>
  <c r="AC2184" i="1"/>
  <c r="AC2285" i="1"/>
  <c r="AC2331" i="1"/>
  <c r="AC2339" i="1"/>
  <c r="AC2378" i="1"/>
  <c r="AC2386" i="1"/>
  <c r="AC2440" i="1"/>
  <c r="AC2477" i="1"/>
  <c r="AC2519" i="1"/>
  <c r="AC2570" i="1"/>
  <c r="AC2159" i="1"/>
  <c r="AC2175" i="1"/>
  <c r="AC2191" i="1"/>
  <c r="AC2207" i="1"/>
  <c r="AC2223" i="1"/>
  <c r="AC2239" i="1"/>
  <c r="AC2255" i="1"/>
  <c r="AC2271" i="1"/>
  <c r="AC2287" i="1"/>
  <c r="AC2303" i="1"/>
  <c r="AC2319" i="1"/>
  <c r="AC2335" i="1"/>
  <c r="AC2351" i="1"/>
  <c r="AC2367" i="1"/>
  <c r="AC2383" i="1"/>
  <c r="AC2399" i="1"/>
  <c r="AC2415" i="1"/>
  <c r="AC2431" i="1"/>
  <c r="AC2447" i="1"/>
  <c r="AC2546" i="1"/>
  <c r="AC2701" i="1"/>
  <c r="AC2802" i="1"/>
  <c r="AC2934" i="1"/>
  <c r="AC2600" i="1"/>
  <c r="AC2608" i="1"/>
  <c r="AC2647" i="1"/>
  <c r="AC2655" i="1"/>
  <c r="AC2709" i="1"/>
  <c r="AC2810" i="1"/>
  <c r="AC2883" i="1"/>
  <c r="AC2903" i="1"/>
  <c r="AC2717" i="1"/>
  <c r="AC2818" i="1"/>
  <c r="AC2894" i="1"/>
  <c r="AC2945" i="1"/>
  <c r="AC2616" i="1"/>
  <c r="AC2624" i="1"/>
  <c r="AC2663" i="1"/>
  <c r="AC2671" i="1"/>
  <c r="AC2725" i="1"/>
  <c r="AC2826" i="1"/>
  <c r="AC2863" i="1"/>
  <c r="AC2578" i="1"/>
  <c r="AC2733" i="1"/>
  <c r="AC2834" i="1"/>
  <c r="AC2915" i="1"/>
  <c r="AC2586" i="1"/>
  <c r="AC2632" i="1"/>
  <c r="AC2640" i="1"/>
  <c r="AC2679" i="1"/>
  <c r="AC2687" i="1"/>
  <c r="AC2741" i="1"/>
  <c r="AC2844" i="1"/>
  <c r="AC2956" i="1"/>
  <c r="AC2594" i="1"/>
  <c r="AC2749" i="1"/>
  <c r="AC2884" i="1"/>
  <c r="AC2926" i="1"/>
  <c r="AC2602" i="1"/>
  <c r="AC2648" i="1"/>
  <c r="AC2656" i="1"/>
  <c r="AC2695" i="1"/>
  <c r="AC2703" i="1"/>
  <c r="AC2757" i="1"/>
  <c r="AC2610" i="1"/>
  <c r="AC2765" i="1"/>
  <c r="AC2895" i="1"/>
  <c r="AC2455" i="1"/>
  <c r="AC2463" i="1"/>
  <c r="AC2517" i="1"/>
  <c r="AC2618" i="1"/>
  <c r="AC2664" i="1"/>
  <c r="AC2672" i="1"/>
  <c r="AC2711" i="1"/>
  <c r="AC2719" i="1"/>
  <c r="AC2773" i="1"/>
  <c r="AC2855" i="1"/>
  <c r="AC2937" i="1"/>
  <c r="AC2166" i="1"/>
  <c r="AC2182" i="1"/>
  <c r="AC2198" i="1"/>
  <c r="AC2214" i="1"/>
  <c r="AC2230" i="1"/>
  <c r="AC2246" i="1"/>
  <c r="AC2262" i="1"/>
  <c r="AC2278" i="1"/>
  <c r="AC2294" i="1"/>
  <c r="AC2310" i="1"/>
  <c r="AC2326" i="1"/>
  <c r="AC2342" i="1"/>
  <c r="AC2358" i="1"/>
  <c r="AC2374" i="1"/>
  <c r="AC2390" i="1"/>
  <c r="AC2406" i="1"/>
  <c r="AC2422" i="1"/>
  <c r="AC2438" i="1"/>
  <c r="AC2525" i="1"/>
  <c r="AC2626" i="1"/>
  <c r="AC2781" i="1"/>
  <c r="AC2471" i="1"/>
  <c r="AC2479" i="1"/>
  <c r="AC2533" i="1"/>
  <c r="AC2634" i="1"/>
  <c r="AC2680" i="1"/>
  <c r="AC2688" i="1"/>
  <c r="AC2727" i="1"/>
  <c r="AC2735" i="1"/>
  <c r="AC2789" i="1"/>
  <c r="AC2161" i="1"/>
  <c r="AC2177" i="1"/>
  <c r="AC2193" i="1"/>
  <c r="AC2209" i="1"/>
  <c r="AC2225" i="1"/>
  <c r="AC2241" i="1"/>
  <c r="AC2257" i="1"/>
  <c r="AC2273" i="1"/>
  <c r="AC2289" i="1"/>
  <c r="AC2305" i="1"/>
  <c r="AC2321" i="1"/>
  <c r="AC2337" i="1"/>
  <c r="AC2353" i="1"/>
  <c r="AC2369" i="1"/>
  <c r="AC2385" i="1"/>
  <c r="AC2401" i="1"/>
  <c r="AC2417" i="1"/>
  <c r="AC2433" i="1"/>
  <c r="AC2449" i="1"/>
  <c r="AC2541" i="1"/>
  <c r="AC2642" i="1"/>
  <c r="AC2797" i="1"/>
  <c r="AC2876" i="1"/>
  <c r="AC3033" i="1"/>
  <c r="AC2487" i="1"/>
  <c r="AC2495" i="1"/>
  <c r="AC2549" i="1"/>
  <c r="AC2650" i="1"/>
  <c r="AC2696" i="1"/>
  <c r="AC2704" i="1"/>
  <c r="AC2743" i="1"/>
  <c r="AC2751" i="1"/>
  <c r="AC2805" i="1"/>
  <c r="AC2867" i="1"/>
  <c r="AC2918" i="1"/>
  <c r="AC2156" i="1"/>
  <c r="AC2172" i="1"/>
  <c r="AC2188" i="1"/>
  <c r="AC2204" i="1"/>
  <c r="AC2220" i="1"/>
  <c r="AC2236" i="1"/>
  <c r="AC2252" i="1"/>
  <c r="AC2268" i="1"/>
  <c r="AC2284" i="1"/>
  <c r="AC2300" i="1"/>
  <c r="AC2316" i="1"/>
  <c r="AC2332" i="1"/>
  <c r="AC2348" i="1"/>
  <c r="AC2364" i="1"/>
  <c r="AC2380" i="1"/>
  <c r="AC2396" i="1"/>
  <c r="AC2412" i="1"/>
  <c r="AC2428" i="1"/>
  <c r="AC2444" i="1"/>
  <c r="AC2557" i="1"/>
  <c r="AC2658" i="1"/>
  <c r="AC2813" i="1"/>
  <c r="AC2456" i="1"/>
  <c r="AC2464" i="1"/>
  <c r="AC2503" i="1"/>
  <c r="AC2511" i="1"/>
  <c r="AC2565" i="1"/>
  <c r="AC2666" i="1"/>
  <c r="AC2712" i="1"/>
  <c r="AC2720" i="1"/>
  <c r="AC2759" i="1"/>
  <c r="AC2767" i="1"/>
  <c r="AC2821" i="1"/>
  <c r="AC2847" i="1"/>
  <c r="AC2167" i="1"/>
  <c r="AC2183" i="1"/>
  <c r="AC2199" i="1"/>
  <c r="AC2215" i="1"/>
  <c r="AC2231" i="1"/>
  <c r="AC2247" i="1"/>
  <c r="AC2263" i="1"/>
  <c r="AC2279" i="1"/>
  <c r="AC2295" i="1"/>
  <c r="AC2311" i="1"/>
  <c r="AC2327" i="1"/>
  <c r="AC2343" i="1"/>
  <c r="AC2359" i="1"/>
  <c r="AC2375" i="1"/>
  <c r="AC2391" i="1"/>
  <c r="AC2407" i="1"/>
  <c r="AC2423" i="1"/>
  <c r="AC2439" i="1"/>
  <c r="AC2573" i="1"/>
  <c r="AC2674" i="1"/>
  <c r="AC2829" i="1"/>
  <c r="AC2887" i="1"/>
  <c r="AC2929" i="1"/>
  <c r="AC2581" i="1"/>
  <c r="AC2682" i="1"/>
  <c r="AC2728" i="1"/>
  <c r="AC2736" i="1"/>
  <c r="AC2775" i="1"/>
  <c r="AC2783" i="1"/>
  <c r="AC2837" i="1"/>
  <c r="AC2589" i="1"/>
  <c r="AC2690" i="1"/>
  <c r="AC2868" i="1"/>
  <c r="AC2878" i="1"/>
  <c r="AC2899" i="1"/>
  <c r="AC3240" i="1"/>
  <c r="AC2597" i="1"/>
  <c r="AC2698" i="1"/>
  <c r="AC2744" i="1"/>
  <c r="AC2752" i="1"/>
  <c r="AC2791" i="1"/>
  <c r="AC2799" i="1"/>
  <c r="AC2940" i="1"/>
  <c r="AC2950" i="1"/>
  <c r="AC2961" i="1"/>
  <c r="AC2605" i="1"/>
  <c r="AC2706" i="1"/>
  <c r="AC2910" i="1"/>
  <c r="AC2613" i="1"/>
  <c r="AC2714" i="1"/>
  <c r="AC2760" i="1"/>
  <c r="AC2768" i="1"/>
  <c r="AC2807" i="1"/>
  <c r="AC2815" i="1"/>
  <c r="AC2849" i="1"/>
  <c r="AC2621" i="1"/>
  <c r="AC2722" i="1"/>
  <c r="AC2575" i="1"/>
  <c r="AC2629" i="1"/>
  <c r="AC2730" i="1"/>
  <c r="AC2776" i="1"/>
  <c r="AC2784" i="1"/>
  <c r="AC2823" i="1"/>
  <c r="AC2831" i="1"/>
  <c r="AC2879" i="1"/>
  <c r="AC2921" i="1"/>
  <c r="AC2637" i="1"/>
  <c r="AC2738" i="1"/>
  <c r="AC2860" i="1"/>
  <c r="AC2490" i="1"/>
  <c r="AC2536" i="1"/>
  <c r="AC2544" i="1"/>
  <c r="AC2583" i="1"/>
  <c r="AC2591" i="1"/>
  <c r="AC2645" i="1"/>
  <c r="AC2746" i="1"/>
  <c r="AC2792" i="1"/>
  <c r="AC2800" i="1"/>
  <c r="AC2158" i="1"/>
  <c r="AC2174" i="1"/>
  <c r="AC2190" i="1"/>
  <c r="AC2206" i="1"/>
  <c r="AC2222" i="1"/>
  <c r="AC2238" i="1"/>
  <c r="AC2254" i="1"/>
  <c r="AC2270" i="1"/>
  <c r="AC2286" i="1"/>
  <c r="AC2302" i="1"/>
  <c r="AC2318" i="1"/>
  <c r="AC2334" i="1"/>
  <c r="AC2350" i="1"/>
  <c r="AC2366" i="1"/>
  <c r="AC2382" i="1"/>
  <c r="AC2398" i="1"/>
  <c r="AC2414" i="1"/>
  <c r="AC2430" i="1"/>
  <c r="AC2446" i="1"/>
  <c r="AC2498" i="1"/>
  <c r="AC2653" i="1"/>
  <c r="AC2754" i="1"/>
  <c r="AC2942" i="1"/>
  <c r="AC2506" i="1"/>
  <c r="AE2506" i="1" s="1"/>
  <c r="AC2552" i="1"/>
  <c r="AC2560" i="1"/>
  <c r="AC2599" i="1"/>
  <c r="AC2607" i="1"/>
  <c r="AC2661" i="1"/>
  <c r="AC2762" i="1"/>
  <c r="AC2808" i="1"/>
  <c r="AC2816" i="1"/>
  <c r="AC2902" i="1"/>
  <c r="AC2953" i="1"/>
  <c r="AC3087" i="1"/>
  <c r="AC2153" i="1"/>
  <c r="AC2169" i="1"/>
  <c r="AC2185" i="1"/>
  <c r="AC2201" i="1"/>
  <c r="AC2217" i="1"/>
  <c r="AC2233" i="1"/>
  <c r="AC2249" i="1"/>
  <c r="AC2265" i="1"/>
  <c r="AC2281" i="1"/>
  <c r="AC2297" i="1"/>
  <c r="AC2313" i="1"/>
  <c r="AC2329" i="1"/>
  <c r="AC2345" i="1"/>
  <c r="AC2361" i="1"/>
  <c r="AC2377" i="1"/>
  <c r="AC2393" i="1"/>
  <c r="AC2409" i="1"/>
  <c r="AC2425" i="1"/>
  <c r="AC2441" i="1"/>
  <c r="AC2514" i="1"/>
  <c r="AC2669" i="1"/>
  <c r="AC2770" i="1"/>
  <c r="AC2522" i="1"/>
  <c r="AC2568" i="1"/>
  <c r="AC2576" i="1"/>
  <c r="AC2615" i="1"/>
  <c r="AC2623" i="1"/>
  <c r="AC2677" i="1"/>
  <c r="AC2778" i="1"/>
  <c r="AC2824" i="1"/>
  <c r="AC2832" i="1"/>
  <c r="AC2841" i="1"/>
  <c r="AC2871" i="1"/>
  <c r="AC2979" i="1"/>
  <c r="AC3041" i="1"/>
  <c r="AC3134" i="1"/>
  <c r="AC2164" i="1"/>
  <c r="AC2180" i="1"/>
  <c r="AC2196" i="1"/>
  <c r="AC2212" i="1"/>
  <c r="AC2228" i="1"/>
  <c r="AC2244" i="1"/>
  <c r="AC2260" i="1"/>
  <c r="AC2276" i="1"/>
  <c r="AC2292" i="1"/>
  <c r="AC2308" i="1"/>
  <c r="AC2324" i="1"/>
  <c r="AC2340" i="1"/>
  <c r="AC2356" i="1"/>
  <c r="AC2372" i="1"/>
  <c r="AC2388" i="1"/>
  <c r="AC2404" i="1"/>
  <c r="AC2420" i="1"/>
  <c r="AC2436" i="1"/>
  <c r="AC2530" i="1"/>
  <c r="AC2685" i="1"/>
  <c r="AC2786" i="1"/>
  <c r="AC2852" i="1"/>
  <c r="AC2460" i="1"/>
  <c r="AC2476" i="1"/>
  <c r="AC2492" i="1"/>
  <c r="AC2508" i="1"/>
  <c r="AC2524" i="1"/>
  <c r="AC2540" i="1"/>
  <c r="AC2556" i="1"/>
  <c r="AC2572" i="1"/>
  <c r="AC2588" i="1"/>
  <c r="AC2604" i="1"/>
  <c r="AC2620" i="1"/>
  <c r="AC2636" i="1"/>
  <c r="AC2652" i="1"/>
  <c r="AC2668" i="1"/>
  <c r="AC2684" i="1"/>
  <c r="AC2700" i="1"/>
  <c r="AC2716" i="1"/>
  <c r="AC2732" i="1"/>
  <c r="AC2748" i="1"/>
  <c r="AC2764" i="1"/>
  <c r="AC2780" i="1"/>
  <c r="AC2796" i="1"/>
  <c r="AC2812" i="1"/>
  <c r="AC2828" i="1"/>
  <c r="AC2839" i="1"/>
  <c r="AC2886" i="1"/>
  <c r="AC2948" i="1"/>
  <c r="AC3095" i="1"/>
  <c r="AC3142" i="1"/>
  <c r="AC2995" i="1"/>
  <c r="AC3049" i="1"/>
  <c r="AC3057" i="1"/>
  <c r="AC3103" i="1"/>
  <c r="AC2964" i="1"/>
  <c r="AC3111" i="1"/>
  <c r="AC3153" i="1"/>
  <c r="AC2972" i="1"/>
  <c r="AC3011" i="1"/>
  <c r="AC3065" i="1"/>
  <c r="AC3073" i="1"/>
  <c r="AC3119" i="1"/>
  <c r="AC2980" i="1"/>
  <c r="AC3127" i="1"/>
  <c r="AC3443" i="1"/>
  <c r="AC2988" i="1"/>
  <c r="AC3027" i="1"/>
  <c r="AC3081" i="1"/>
  <c r="AC3089" i="1"/>
  <c r="AC3135" i="1"/>
  <c r="AC2996" i="1"/>
  <c r="AC3143" i="1"/>
  <c r="AC3169" i="1"/>
  <c r="AC3004" i="1"/>
  <c r="AC3043" i="1"/>
  <c r="AC3097" i="1"/>
  <c r="AC3105" i="1"/>
  <c r="AC3155" i="1"/>
  <c r="AC3398" i="1"/>
  <c r="AC3012" i="1"/>
  <c r="AC2857" i="1"/>
  <c r="AC2865" i="1"/>
  <c r="AC2911" i="1"/>
  <c r="AC2958" i="1"/>
  <c r="AC3020" i="1"/>
  <c r="AC3059" i="1"/>
  <c r="AC3113" i="1"/>
  <c r="AC3121" i="1"/>
  <c r="AC3368" i="1"/>
  <c r="AC2467" i="1"/>
  <c r="AC2483" i="1"/>
  <c r="AC2499" i="1"/>
  <c r="AC2515" i="1"/>
  <c r="AC2531" i="1"/>
  <c r="AC2547" i="1"/>
  <c r="AC2563" i="1"/>
  <c r="AC2579" i="1"/>
  <c r="AC2595" i="1"/>
  <c r="AC2611" i="1"/>
  <c r="AC2627" i="1"/>
  <c r="AC2643" i="1"/>
  <c r="AC2659" i="1"/>
  <c r="AC2675" i="1"/>
  <c r="AC2691" i="1"/>
  <c r="AC2707" i="1"/>
  <c r="AC2723" i="1"/>
  <c r="AC2739" i="1"/>
  <c r="AC2755" i="1"/>
  <c r="AC2771" i="1"/>
  <c r="AC2787" i="1"/>
  <c r="AC2803" i="1"/>
  <c r="AC2819" i="1"/>
  <c r="AC2835" i="1"/>
  <c r="AC2919" i="1"/>
  <c r="AC2966" i="1"/>
  <c r="AC3028" i="1"/>
  <c r="AC3185" i="1"/>
  <c r="AC2873" i="1"/>
  <c r="AC2881" i="1"/>
  <c r="AC2927" i="1"/>
  <c r="AC2974" i="1"/>
  <c r="AC3036" i="1"/>
  <c r="AC3075" i="1"/>
  <c r="AC3129" i="1"/>
  <c r="AC3137" i="1"/>
  <c r="AC3171" i="1"/>
  <c r="AC3323" i="1"/>
  <c r="AC2462" i="1"/>
  <c r="AC2478" i="1"/>
  <c r="AC2494" i="1"/>
  <c r="AC2510" i="1"/>
  <c r="AC2526" i="1"/>
  <c r="AC2542" i="1"/>
  <c r="AC2558" i="1"/>
  <c r="AC2574" i="1"/>
  <c r="AE2574" i="1" s="1"/>
  <c r="AC2590" i="1"/>
  <c r="AC2606" i="1"/>
  <c r="AC2622" i="1"/>
  <c r="AC2638" i="1"/>
  <c r="AC2654" i="1"/>
  <c r="AC2670" i="1"/>
  <c r="AC2686" i="1"/>
  <c r="AC2702" i="1"/>
  <c r="AC2718" i="1"/>
  <c r="AC2734" i="1"/>
  <c r="AC2750" i="1"/>
  <c r="AC2766" i="1"/>
  <c r="AC2782" i="1"/>
  <c r="AC2798" i="1"/>
  <c r="AC2814" i="1"/>
  <c r="AC2830" i="1"/>
  <c r="AC2935" i="1"/>
  <c r="AC2982" i="1"/>
  <c r="AC3044" i="1"/>
  <c r="AC2889" i="1"/>
  <c r="AC2897" i="1"/>
  <c r="AC2943" i="1"/>
  <c r="AC2990" i="1"/>
  <c r="AC3052" i="1"/>
  <c r="AC3091" i="1"/>
  <c r="AC3145" i="1"/>
  <c r="AC3293" i="1"/>
  <c r="AC2457" i="1"/>
  <c r="AC2473" i="1"/>
  <c r="AC2489" i="1"/>
  <c r="AC2505" i="1"/>
  <c r="AC2521" i="1"/>
  <c r="AC2537" i="1"/>
  <c r="AC2553" i="1"/>
  <c r="AC2569" i="1"/>
  <c r="AC2585" i="1"/>
  <c r="AC2601" i="1"/>
  <c r="AC2617" i="1"/>
  <c r="AC2633" i="1"/>
  <c r="AC2649" i="1"/>
  <c r="AC2665" i="1"/>
  <c r="AC2681" i="1"/>
  <c r="AC2697" i="1"/>
  <c r="AC2713" i="1"/>
  <c r="AC2729" i="1"/>
  <c r="AC2745" i="1"/>
  <c r="AC2761" i="1"/>
  <c r="AC2777" i="1"/>
  <c r="AC2793" i="1"/>
  <c r="AC2809" i="1"/>
  <c r="AC2825" i="1"/>
  <c r="AC2951" i="1"/>
  <c r="AC2998" i="1"/>
  <c r="AC3060" i="1"/>
  <c r="AC2851" i="1"/>
  <c r="AC2905" i="1"/>
  <c r="AC2913" i="1"/>
  <c r="AC2959" i="1"/>
  <c r="AC3006" i="1"/>
  <c r="AC3068" i="1"/>
  <c r="AC3107" i="1"/>
  <c r="AC3187" i="1"/>
  <c r="AC2452" i="1"/>
  <c r="AC2468" i="1"/>
  <c r="AC2484" i="1"/>
  <c r="AC2500" i="1"/>
  <c r="AC2516" i="1"/>
  <c r="AC2532" i="1"/>
  <c r="AC2548" i="1"/>
  <c r="AC2564" i="1"/>
  <c r="AC2580" i="1"/>
  <c r="AC2596" i="1"/>
  <c r="AC2612" i="1"/>
  <c r="AC2628" i="1"/>
  <c r="AC2644" i="1"/>
  <c r="AC2660" i="1"/>
  <c r="AC2676" i="1"/>
  <c r="AC2692" i="1"/>
  <c r="AC2708" i="1"/>
  <c r="AC2724" i="1"/>
  <c r="AC2740" i="1"/>
  <c r="AC2756" i="1"/>
  <c r="AC2772" i="1"/>
  <c r="AC2788" i="1"/>
  <c r="AC2804" i="1"/>
  <c r="AC2820" i="1"/>
  <c r="AC2836" i="1"/>
  <c r="AC2967" i="1"/>
  <c r="AC3014" i="1"/>
  <c r="AC3076" i="1"/>
  <c r="AC2975" i="1"/>
  <c r="AC3022" i="1"/>
  <c r="AC3084" i="1"/>
  <c r="AC3123" i="1"/>
  <c r="AC3203" i="1"/>
  <c r="AC2983" i="1"/>
  <c r="AC3030" i="1"/>
  <c r="AC3092" i="1"/>
  <c r="AC2991" i="1"/>
  <c r="AC3038" i="1"/>
  <c r="AC3100" i="1"/>
  <c r="AC3139" i="1"/>
  <c r="AC3219" i="1"/>
  <c r="AC2999" i="1"/>
  <c r="AC3046" i="1"/>
  <c r="AC3108" i="1"/>
  <c r="AC3007" i="1"/>
  <c r="AC3054" i="1"/>
  <c r="AC3116" i="1"/>
  <c r="AC3451" i="1"/>
  <c r="AC3015" i="1"/>
  <c r="AC3062" i="1"/>
  <c r="AC3124" i="1"/>
  <c r="AC2969" i="1"/>
  <c r="AC2977" i="1"/>
  <c r="AC3023" i="1"/>
  <c r="AC3070" i="1"/>
  <c r="AC3132" i="1"/>
  <c r="AC3421" i="1"/>
  <c r="AC3031" i="1"/>
  <c r="AC3078" i="1"/>
  <c r="AC3140" i="1"/>
  <c r="AC2892" i="1"/>
  <c r="AC2931" i="1"/>
  <c r="AC2985" i="1"/>
  <c r="AC2993" i="1"/>
  <c r="AC3039" i="1"/>
  <c r="AC3086" i="1"/>
  <c r="AC3345" i="1"/>
  <c r="AC2459" i="1"/>
  <c r="AC2475" i="1"/>
  <c r="AC2491" i="1"/>
  <c r="AC2507" i="1"/>
  <c r="AC2523" i="1"/>
  <c r="AC2539" i="1"/>
  <c r="AC2555" i="1"/>
  <c r="AC2571" i="1"/>
  <c r="AC2587" i="1"/>
  <c r="AC2603" i="1"/>
  <c r="AC2619" i="1"/>
  <c r="AC2635" i="1"/>
  <c r="AC2651" i="1"/>
  <c r="AC2667" i="1"/>
  <c r="AC2683" i="1"/>
  <c r="AC2699" i="1"/>
  <c r="AC2715" i="1"/>
  <c r="AC2731" i="1"/>
  <c r="AC2747" i="1"/>
  <c r="AC2763" i="1"/>
  <c r="AC2779" i="1"/>
  <c r="AC2795" i="1"/>
  <c r="AC2811" i="1"/>
  <c r="AC2827" i="1"/>
  <c r="AC2838" i="1"/>
  <c r="AC2900" i="1"/>
  <c r="AC3047" i="1"/>
  <c r="AE3047" i="1" s="1"/>
  <c r="AC3094" i="1"/>
  <c r="AC3315" i="1"/>
  <c r="AC2846" i="1"/>
  <c r="AC2908" i="1"/>
  <c r="AC2947" i="1"/>
  <c r="AC3001" i="1"/>
  <c r="AC3009" i="1"/>
  <c r="AC3055" i="1"/>
  <c r="AC3102" i="1"/>
  <c r="AC3485" i="1"/>
  <c r="AC2454" i="1"/>
  <c r="AC2470" i="1"/>
  <c r="AC2486" i="1"/>
  <c r="AC2502" i="1"/>
  <c r="AC2518" i="1"/>
  <c r="AC2534" i="1"/>
  <c r="AC2550" i="1"/>
  <c r="AC2566" i="1"/>
  <c r="AC2582" i="1"/>
  <c r="AC2598" i="1"/>
  <c r="AC2614" i="1"/>
  <c r="AC2630" i="1"/>
  <c r="AC2646" i="1"/>
  <c r="AC2662" i="1"/>
  <c r="AC2678" i="1"/>
  <c r="AC2694" i="1"/>
  <c r="AC2710" i="1"/>
  <c r="AC2726" i="1"/>
  <c r="AC2742" i="1"/>
  <c r="AC2758" i="1"/>
  <c r="AC2774" i="1"/>
  <c r="AC2790" i="1"/>
  <c r="AC2806" i="1"/>
  <c r="AC2822" i="1"/>
  <c r="AC2854" i="1"/>
  <c r="AC2916" i="1"/>
  <c r="AC3063" i="1"/>
  <c r="AC3110" i="1"/>
  <c r="AC2862" i="1"/>
  <c r="AC2924" i="1"/>
  <c r="AC2963" i="1"/>
  <c r="AC3017" i="1"/>
  <c r="AC3025" i="1"/>
  <c r="AC3071" i="1"/>
  <c r="AC3118" i="1"/>
  <c r="AC3270" i="1"/>
  <c r="AC2465" i="1"/>
  <c r="AC2481" i="1"/>
  <c r="AC2497" i="1"/>
  <c r="AC2513" i="1"/>
  <c r="AC2529" i="1"/>
  <c r="AC2545" i="1"/>
  <c r="AC2561" i="1"/>
  <c r="AC2577" i="1"/>
  <c r="AC2593" i="1"/>
  <c r="AC2609" i="1"/>
  <c r="AC2625" i="1"/>
  <c r="AC2641" i="1"/>
  <c r="AC2657" i="1"/>
  <c r="AC2673" i="1"/>
  <c r="AC2689" i="1"/>
  <c r="AC2705" i="1"/>
  <c r="AC2721" i="1"/>
  <c r="AC2737" i="1"/>
  <c r="AC2753" i="1"/>
  <c r="AC2769" i="1"/>
  <c r="AC2785" i="1"/>
  <c r="AC2801" i="1"/>
  <c r="AC2817" i="1"/>
  <c r="AC2833" i="1"/>
  <c r="AC2870" i="1"/>
  <c r="AC2932" i="1"/>
  <c r="AC3079" i="1"/>
  <c r="AC3126" i="1"/>
  <c r="AC3150" i="1"/>
  <c r="AC3166" i="1"/>
  <c r="AC3182" i="1"/>
  <c r="AC3198" i="1"/>
  <c r="AC3214" i="1"/>
  <c r="AC3225" i="1"/>
  <c r="AC3248" i="1"/>
  <c r="AC3278" i="1"/>
  <c r="AC3353" i="1"/>
  <c r="AC3376" i="1"/>
  <c r="AC3406" i="1"/>
  <c r="AC3501" i="1"/>
  <c r="AC3459" i="1"/>
  <c r="AC3467" i="1"/>
  <c r="AC3546" i="1"/>
  <c r="AC3161" i="1"/>
  <c r="AC3177" i="1"/>
  <c r="AC3193" i="1"/>
  <c r="AC3209" i="1"/>
  <c r="AC3233" i="1"/>
  <c r="AC3256" i="1"/>
  <c r="AE3256" i="1" s="1"/>
  <c r="AC3286" i="1"/>
  <c r="AC3309" i="1"/>
  <c r="AC3331" i="1"/>
  <c r="AC3339" i="1"/>
  <c r="AC3361" i="1"/>
  <c r="AC3384" i="1"/>
  <c r="AC3414" i="1"/>
  <c r="AC3437" i="1"/>
  <c r="AC3517" i="1"/>
  <c r="AC3475" i="1"/>
  <c r="AC3156" i="1"/>
  <c r="AC3172" i="1"/>
  <c r="AC3188" i="1"/>
  <c r="AC3204" i="1"/>
  <c r="AC3220" i="1"/>
  <c r="AC3241" i="1"/>
  <c r="AC3264" i="1"/>
  <c r="AC3294" i="1"/>
  <c r="AC3369" i="1"/>
  <c r="AC3392" i="1"/>
  <c r="AC3422" i="1"/>
  <c r="AC3151" i="1"/>
  <c r="AC3167" i="1"/>
  <c r="AC3183" i="1"/>
  <c r="AC3199" i="1"/>
  <c r="AC3215" i="1"/>
  <c r="AC3227" i="1"/>
  <c r="AC3249" i="1"/>
  <c r="AC3272" i="1"/>
  <c r="AC3302" i="1"/>
  <c r="AC3325" i="1"/>
  <c r="AC3347" i="1"/>
  <c r="AC3355" i="1"/>
  <c r="AC3377" i="1"/>
  <c r="AE3377" i="1" s="1"/>
  <c r="AC3400" i="1"/>
  <c r="AC3430" i="1"/>
  <c r="AC3453" i="1"/>
  <c r="AC3534" i="1"/>
  <c r="AC3610" i="1"/>
  <c r="AC2842" i="1"/>
  <c r="AC2858" i="1"/>
  <c r="AC2874" i="1"/>
  <c r="AC2890" i="1"/>
  <c r="AC2906" i="1"/>
  <c r="AC2922" i="1"/>
  <c r="AC2938" i="1"/>
  <c r="AC2954" i="1"/>
  <c r="AC2970" i="1"/>
  <c r="AC2986" i="1"/>
  <c r="AC3002" i="1"/>
  <c r="AC3018" i="1"/>
  <c r="AC3034" i="1"/>
  <c r="AE3034" i="1" s="1"/>
  <c r="AC3050" i="1"/>
  <c r="AC3066" i="1"/>
  <c r="AC3082" i="1"/>
  <c r="AC3098" i="1"/>
  <c r="AC3114" i="1"/>
  <c r="AC3130" i="1"/>
  <c r="AC3146" i="1"/>
  <c r="AC3162" i="1"/>
  <c r="AC3178" i="1"/>
  <c r="AC3194" i="1"/>
  <c r="AC3210" i="1"/>
  <c r="AC3257" i="1"/>
  <c r="AC3280" i="1"/>
  <c r="AC3310" i="1"/>
  <c r="AC3385" i="1"/>
  <c r="AC3408" i="1"/>
  <c r="AC3438" i="1"/>
  <c r="AC3565" i="1"/>
  <c r="AC3687" i="1"/>
  <c r="AC3469" i="1"/>
  <c r="AC2853" i="1"/>
  <c r="AC2869" i="1"/>
  <c r="AC2885" i="1"/>
  <c r="AC2901" i="1"/>
  <c r="AC2917" i="1"/>
  <c r="AC2933" i="1"/>
  <c r="AC2949" i="1"/>
  <c r="AC2965" i="1"/>
  <c r="AC2981" i="1"/>
  <c r="AE2981" i="1" s="1"/>
  <c r="AC2997" i="1"/>
  <c r="AC3013" i="1"/>
  <c r="AC3029" i="1"/>
  <c r="AC3045" i="1"/>
  <c r="AC3061" i="1"/>
  <c r="AC3077" i="1"/>
  <c r="AC3093" i="1"/>
  <c r="AC3109" i="1"/>
  <c r="AC3125" i="1"/>
  <c r="AC3141" i="1"/>
  <c r="AC3157" i="1"/>
  <c r="AC3173" i="1"/>
  <c r="AC3189" i="1"/>
  <c r="AC3205" i="1"/>
  <c r="AE3205" i="1" s="1"/>
  <c r="AC3221" i="1"/>
  <c r="AC3235" i="1"/>
  <c r="AC3243" i="1"/>
  <c r="AC3265" i="1"/>
  <c r="AC3288" i="1"/>
  <c r="AE3288" i="1" s="1"/>
  <c r="AC3318" i="1"/>
  <c r="AC3341" i="1"/>
  <c r="AC3363" i="1"/>
  <c r="AC3371" i="1"/>
  <c r="AC3393" i="1"/>
  <c r="AC3416" i="1"/>
  <c r="AC3446" i="1"/>
  <c r="AC4005" i="1"/>
  <c r="AC3597" i="1"/>
  <c r="AC2848" i="1"/>
  <c r="AE2848" i="1" s="1"/>
  <c r="AC2864" i="1"/>
  <c r="AC2880" i="1"/>
  <c r="AC2896" i="1"/>
  <c r="AC2912" i="1"/>
  <c r="AC2928" i="1"/>
  <c r="AC2944" i="1"/>
  <c r="AE2944" i="1" s="1"/>
  <c r="AC2960" i="1"/>
  <c r="AC2976" i="1"/>
  <c r="AC2992" i="1"/>
  <c r="AC3008" i="1"/>
  <c r="AC3024" i="1"/>
  <c r="AC3040" i="1"/>
  <c r="AC3056" i="1"/>
  <c r="AC3072" i="1"/>
  <c r="AC3088" i="1"/>
  <c r="AC3104" i="1"/>
  <c r="AC3120" i="1"/>
  <c r="AC3136" i="1"/>
  <c r="AC3152" i="1"/>
  <c r="AC3168" i="1"/>
  <c r="AC3184" i="1"/>
  <c r="AC3200" i="1"/>
  <c r="AC3216" i="1"/>
  <c r="AC3273" i="1"/>
  <c r="AC3296" i="1"/>
  <c r="AC3326" i="1"/>
  <c r="AC3401" i="1"/>
  <c r="AC3424" i="1"/>
  <c r="AC3454" i="1"/>
  <c r="AC3462" i="1"/>
  <c r="AC2843" i="1"/>
  <c r="AC2859" i="1"/>
  <c r="AC2875" i="1"/>
  <c r="AC2891" i="1"/>
  <c r="AC2907" i="1"/>
  <c r="AC2923" i="1"/>
  <c r="AC2939" i="1"/>
  <c r="AC2955" i="1"/>
  <c r="AC2971" i="1"/>
  <c r="AC2987" i="1"/>
  <c r="AC3003" i="1"/>
  <c r="AC3019" i="1"/>
  <c r="AC3035" i="1"/>
  <c r="AC3051" i="1"/>
  <c r="AC3067" i="1"/>
  <c r="AC3083" i="1"/>
  <c r="AC3099" i="1"/>
  <c r="AC3115" i="1"/>
  <c r="AC3131" i="1"/>
  <c r="AC3147" i="1"/>
  <c r="AC3163" i="1"/>
  <c r="AC3179" i="1"/>
  <c r="AC3195" i="1"/>
  <c r="AC3211" i="1"/>
  <c r="AC3229" i="1"/>
  <c r="AC3251" i="1"/>
  <c r="AC3259" i="1"/>
  <c r="AC3281" i="1"/>
  <c r="AC3304" i="1"/>
  <c r="AC3334" i="1"/>
  <c r="AC3357" i="1"/>
  <c r="AC3379" i="1"/>
  <c r="AC3387" i="1"/>
  <c r="AC3409" i="1"/>
  <c r="AC3432" i="1"/>
  <c r="AC3470" i="1"/>
  <c r="AC3478" i="1"/>
  <c r="AC3158" i="1"/>
  <c r="AC3174" i="1"/>
  <c r="AC3190" i="1"/>
  <c r="AC3206" i="1"/>
  <c r="AC3222" i="1"/>
  <c r="AC3289" i="1"/>
  <c r="AC3312" i="1"/>
  <c r="AC3342" i="1"/>
  <c r="AC3417" i="1"/>
  <c r="AC3440" i="1"/>
  <c r="AC3201" i="1"/>
  <c r="AC3217" i="1"/>
  <c r="AC3245" i="1"/>
  <c r="AC3267" i="1"/>
  <c r="AC3275" i="1"/>
  <c r="AC3297" i="1"/>
  <c r="AC3320" i="1"/>
  <c r="AC3350" i="1"/>
  <c r="AC3373" i="1"/>
  <c r="AC3395" i="1"/>
  <c r="AC3403" i="1"/>
  <c r="AC3425" i="1"/>
  <c r="AC3448" i="1"/>
  <c r="AC3148" i="1"/>
  <c r="AC3164" i="1"/>
  <c r="AC3180" i="1"/>
  <c r="AC3196" i="1"/>
  <c r="AC3212" i="1"/>
  <c r="AC3230" i="1"/>
  <c r="AC3305" i="1"/>
  <c r="AC3328" i="1"/>
  <c r="AC3358" i="1"/>
  <c r="AC3433" i="1"/>
  <c r="AC3456" i="1"/>
  <c r="AC3540" i="1"/>
  <c r="AC3464" i="1"/>
  <c r="AC3159" i="1"/>
  <c r="AC3175" i="1"/>
  <c r="AC3191" i="1"/>
  <c r="AC3207" i="1"/>
  <c r="AC3223" i="1"/>
  <c r="AC3238" i="1"/>
  <c r="AC3261" i="1"/>
  <c r="AC3283" i="1"/>
  <c r="AC3291" i="1"/>
  <c r="AC3313" i="1"/>
  <c r="AC3336" i="1"/>
  <c r="AC3366" i="1"/>
  <c r="AC3389" i="1"/>
  <c r="AC3411" i="1"/>
  <c r="AC3419" i="1"/>
  <c r="AC3441" i="1"/>
  <c r="AE3441" i="1" s="1"/>
  <c r="AC3472" i="1"/>
  <c r="AC3710" i="1"/>
  <c r="AC2850" i="1"/>
  <c r="AC2866" i="1"/>
  <c r="AC2882" i="1"/>
  <c r="AC2898" i="1"/>
  <c r="AC2914" i="1"/>
  <c r="AC2930" i="1"/>
  <c r="AC2946" i="1"/>
  <c r="AC2962" i="1"/>
  <c r="AC2978" i="1"/>
  <c r="AC2994" i="1"/>
  <c r="AC3010" i="1"/>
  <c r="AC3026" i="1"/>
  <c r="AC3042" i="1"/>
  <c r="AE3042" i="1" s="1"/>
  <c r="AC3058" i="1"/>
  <c r="AC3074" i="1"/>
  <c r="AC3090" i="1"/>
  <c r="AC3106" i="1"/>
  <c r="AC3122" i="1"/>
  <c r="AC3138" i="1"/>
  <c r="AC3154" i="1"/>
  <c r="AC3170" i="1"/>
  <c r="AC3186" i="1"/>
  <c r="AC3202" i="1"/>
  <c r="AC3218" i="1"/>
  <c r="AC3246" i="1"/>
  <c r="AC3321" i="1"/>
  <c r="AC3344" i="1"/>
  <c r="AC3374" i="1"/>
  <c r="AC3449" i="1"/>
  <c r="AC3774" i="1"/>
  <c r="AC2845" i="1"/>
  <c r="AC2861" i="1"/>
  <c r="AC2877" i="1"/>
  <c r="AC2893" i="1"/>
  <c r="AC2909" i="1"/>
  <c r="AC2925" i="1"/>
  <c r="AC2941" i="1"/>
  <c r="AC2957" i="1"/>
  <c r="AC2973" i="1"/>
  <c r="AE2973" i="1" s="1"/>
  <c r="AC2989" i="1"/>
  <c r="AE2989" i="1" s="1"/>
  <c r="AC3005" i="1"/>
  <c r="AE3005" i="1" s="1"/>
  <c r="AC3021" i="1"/>
  <c r="AE3021" i="1" s="1"/>
  <c r="AC3037" i="1"/>
  <c r="AE3037" i="1" s="1"/>
  <c r="AC3053" i="1"/>
  <c r="AC3069" i="1"/>
  <c r="AE3069" i="1" s="1"/>
  <c r="AC3085" i="1"/>
  <c r="AC3101" i="1"/>
  <c r="AC3117" i="1"/>
  <c r="AC3133" i="1"/>
  <c r="AC3149" i="1"/>
  <c r="AC3165" i="1"/>
  <c r="AC3181" i="1"/>
  <c r="AC3197" i="1"/>
  <c r="AC3213" i="1"/>
  <c r="AC3224" i="1"/>
  <c r="AE3224" i="1" s="1"/>
  <c r="AC3254" i="1"/>
  <c r="AC3277" i="1"/>
  <c r="AC3299" i="1"/>
  <c r="AC3307" i="1"/>
  <c r="AC3329" i="1"/>
  <c r="AC3352" i="1"/>
  <c r="AC3382" i="1"/>
  <c r="AC3405" i="1"/>
  <c r="AC3427" i="1"/>
  <c r="AC3435" i="1"/>
  <c r="AC3457" i="1"/>
  <c r="AC3528" i="1"/>
  <c r="AC3465" i="1"/>
  <c r="AC2840" i="1"/>
  <c r="AC2856" i="1"/>
  <c r="AC2872" i="1"/>
  <c r="AC2888" i="1"/>
  <c r="AC2904" i="1"/>
  <c r="AC2920" i="1"/>
  <c r="AC2936" i="1"/>
  <c r="AC2952" i="1"/>
  <c r="AC2968" i="1"/>
  <c r="AC2984" i="1"/>
  <c r="AC3000" i="1"/>
  <c r="AC3016" i="1"/>
  <c r="AC3032" i="1"/>
  <c r="AC3048" i="1"/>
  <c r="AC3064" i="1"/>
  <c r="AC3080" i="1"/>
  <c r="AC3096" i="1"/>
  <c r="AC3112" i="1"/>
  <c r="AC3128" i="1"/>
  <c r="AC3144" i="1"/>
  <c r="AC3160" i="1"/>
  <c r="AC3176" i="1"/>
  <c r="AC3192" i="1"/>
  <c r="AC3208" i="1"/>
  <c r="AC3232" i="1"/>
  <c r="AC3262" i="1"/>
  <c r="AC3337" i="1"/>
  <c r="AC3360" i="1"/>
  <c r="AC3390" i="1"/>
  <c r="AC3473" i="1"/>
  <c r="AC3553" i="1"/>
  <c r="AC3559" i="1"/>
  <c r="AC3617" i="1"/>
  <c r="AC3644" i="1"/>
  <c r="AC3702" i="1"/>
  <c r="AC3750" i="1"/>
  <c r="AC3783" i="1"/>
  <c r="AC3792" i="1"/>
  <c r="AC3848" i="1"/>
  <c r="AC3868" i="1"/>
  <c r="AC3957" i="1"/>
  <c r="AC4069" i="1"/>
  <c r="AC3480" i="1"/>
  <c r="AC3496" i="1"/>
  <c r="AC3512" i="1"/>
  <c r="AC3578" i="1"/>
  <c r="AC3591" i="1"/>
  <c r="AC3665" i="1"/>
  <c r="AC3672" i="1"/>
  <c r="AC3695" i="1"/>
  <c r="AC3726" i="1"/>
  <c r="AC3743" i="1"/>
  <c r="AC3759" i="1"/>
  <c r="AC3819" i="1"/>
  <c r="AC3912" i="1"/>
  <c r="AE3912" i="1" s="1"/>
  <c r="AC3924" i="1"/>
  <c r="AC3585" i="1"/>
  <c r="AC3604" i="1"/>
  <c r="AC3711" i="1"/>
  <c r="AC3719" i="1"/>
  <c r="AC3767" i="1"/>
  <c r="AC3775" i="1"/>
  <c r="AC3858" i="1"/>
  <c r="AC3970" i="1"/>
  <c r="AC3491" i="1"/>
  <c r="AC3507" i="1"/>
  <c r="AC3523" i="1"/>
  <c r="AC3572" i="1"/>
  <c r="AC3735" i="1"/>
  <c r="AC3811" i="1"/>
  <c r="AC4258" i="1"/>
  <c r="AC3566" i="1"/>
  <c r="AC3598" i="1"/>
  <c r="AC3631" i="1"/>
  <c r="AC3638" i="1"/>
  <c r="AC3658" i="1"/>
  <c r="AC3802" i="1"/>
  <c r="AC3892" i="1"/>
  <c r="AC3486" i="1"/>
  <c r="AC3502" i="1"/>
  <c r="AC3518" i="1"/>
  <c r="AC3529" i="1"/>
  <c r="AC3535" i="1"/>
  <c r="AC3830" i="1"/>
  <c r="AE3830" i="1" s="1"/>
  <c r="AC3869" i="1"/>
  <c r="AC3880" i="1"/>
  <c r="AC4006" i="1"/>
  <c r="AC4084" i="1"/>
  <c r="AC4244" i="1"/>
  <c r="AC3554" i="1"/>
  <c r="AC3560" i="1"/>
  <c r="AC3618" i="1"/>
  <c r="AC3625" i="1"/>
  <c r="AC3645" i="1"/>
  <c r="AC3666" i="1"/>
  <c r="AC3681" i="1"/>
  <c r="AC3728" i="1"/>
  <c r="AC3752" i="1"/>
  <c r="AC3793" i="1"/>
  <c r="AC4020" i="1"/>
  <c r="AC3481" i="1"/>
  <c r="AE3481" i="1" s="1"/>
  <c r="AC3497" i="1"/>
  <c r="AC3513" i="1"/>
  <c r="AC3542" i="1"/>
  <c r="AC3548" i="1"/>
  <c r="AC3592" i="1"/>
  <c r="AC3612" i="1"/>
  <c r="AC3696" i="1"/>
  <c r="AC3704" i="1"/>
  <c r="AC3744" i="1"/>
  <c r="AC3812" i="1"/>
  <c r="AC3821" i="1"/>
  <c r="AC3925" i="1"/>
  <c r="AC4098" i="1"/>
  <c r="AC3586" i="1"/>
  <c r="AC3652" i="1"/>
  <c r="AC3720" i="1"/>
  <c r="AC3768" i="1"/>
  <c r="AE3768" i="1" s="1"/>
  <c r="AC3984" i="1"/>
  <c r="AC3236" i="1"/>
  <c r="AC3252" i="1"/>
  <c r="AC3268" i="1"/>
  <c r="AC3284" i="1"/>
  <c r="AC3300" i="1"/>
  <c r="AC3316" i="1"/>
  <c r="AC3332" i="1"/>
  <c r="AC3348" i="1"/>
  <c r="AC3364" i="1"/>
  <c r="AC3380" i="1"/>
  <c r="AC3396" i="1"/>
  <c r="AC3412" i="1"/>
  <c r="AC3428" i="1"/>
  <c r="AC3444" i="1"/>
  <c r="AC3460" i="1"/>
  <c r="AC3476" i="1"/>
  <c r="AC3492" i="1"/>
  <c r="AC3508" i="1"/>
  <c r="AC3524" i="1"/>
  <c r="AE3524" i="1" s="1"/>
  <c r="AC3580" i="1"/>
  <c r="AC3761" i="1"/>
  <c r="AC3777" i="1"/>
  <c r="AC3831" i="1"/>
  <c r="AC3850" i="1"/>
  <c r="AC3861" i="1"/>
  <c r="AC3567" i="1"/>
  <c r="AC3599" i="1"/>
  <c r="AC3606" i="1"/>
  <c r="AC3639" i="1"/>
  <c r="AC3646" i="1"/>
  <c r="AC3713" i="1"/>
  <c r="AC3786" i="1"/>
  <c r="AC3893" i="1"/>
  <c r="AC4034" i="1"/>
  <c r="AC3231" i="1"/>
  <c r="AC3247" i="1"/>
  <c r="AC3263" i="1"/>
  <c r="AC3279" i="1"/>
  <c r="AC3295" i="1"/>
  <c r="AC3311" i="1"/>
  <c r="AC3327" i="1"/>
  <c r="AC3343" i="1"/>
  <c r="AC3359" i="1"/>
  <c r="AC3375" i="1"/>
  <c r="AC3391" i="1"/>
  <c r="AC3407" i="1"/>
  <c r="AC3423" i="1"/>
  <c r="AC3439" i="1"/>
  <c r="AC3455" i="1"/>
  <c r="AC3471" i="1"/>
  <c r="AC3487" i="1"/>
  <c r="AC3503" i="1"/>
  <c r="AC3519" i="1"/>
  <c r="AC3530" i="1"/>
  <c r="AC3561" i="1"/>
  <c r="AC3574" i="1"/>
  <c r="AC3593" i="1"/>
  <c r="AC3690" i="1"/>
  <c r="AC4232" i="1"/>
  <c r="AC3555" i="1"/>
  <c r="AC3626" i="1"/>
  <c r="AC3633" i="1"/>
  <c r="AC3660" i="1"/>
  <c r="AC3667" i="1"/>
  <c r="AC3729" i="1"/>
  <c r="AC3842" i="1"/>
  <c r="AC3938" i="1"/>
  <c r="AC4128" i="1"/>
  <c r="AC4202" i="1"/>
  <c r="AC3226" i="1"/>
  <c r="AC3242" i="1"/>
  <c r="AC3258" i="1"/>
  <c r="AC3274" i="1"/>
  <c r="AC3290" i="1"/>
  <c r="AC3306" i="1"/>
  <c r="AC3322" i="1"/>
  <c r="AC3338" i="1"/>
  <c r="AC3354" i="1"/>
  <c r="AC3370" i="1"/>
  <c r="AC3386" i="1"/>
  <c r="AC3402" i="1"/>
  <c r="AC3418" i="1"/>
  <c r="AC3434" i="1"/>
  <c r="AC3450" i="1"/>
  <c r="AC3466" i="1"/>
  <c r="AC3482" i="1"/>
  <c r="AC3498" i="1"/>
  <c r="AC3514" i="1"/>
  <c r="AC3537" i="1"/>
  <c r="AC3543" i="1"/>
  <c r="AC3549" i="1"/>
  <c r="AC3613" i="1"/>
  <c r="AC3675" i="1"/>
  <c r="AC3683" i="1"/>
  <c r="AC3778" i="1"/>
  <c r="AC3738" i="1"/>
  <c r="AC3746" i="1"/>
  <c r="AC3762" i="1"/>
  <c r="AC3805" i="1"/>
  <c r="AC3873" i="1"/>
  <c r="AC4048" i="1"/>
  <c r="AC3237" i="1"/>
  <c r="AC3253" i="1"/>
  <c r="AC3269" i="1"/>
  <c r="AC3285" i="1"/>
  <c r="AC3301" i="1"/>
  <c r="AC3317" i="1"/>
  <c r="AC3333" i="1"/>
  <c r="AC3349" i="1"/>
  <c r="AC3365" i="1"/>
  <c r="AC3381" i="1"/>
  <c r="AC3397" i="1"/>
  <c r="AC3413" i="1"/>
  <c r="AC3429" i="1"/>
  <c r="AC3445" i="1"/>
  <c r="AC3461" i="1"/>
  <c r="AC3477" i="1"/>
  <c r="AC3493" i="1"/>
  <c r="AC3509" i="1"/>
  <c r="AC3525" i="1"/>
  <c r="AC3581" i="1"/>
  <c r="AC3714" i="1"/>
  <c r="AC3796" i="1"/>
  <c r="AC3814" i="1"/>
  <c r="AC3862" i="1"/>
  <c r="AC3963" i="1"/>
  <c r="AC3607" i="1"/>
  <c r="AC3620" i="1"/>
  <c r="AC3647" i="1"/>
  <c r="AC3654" i="1"/>
  <c r="AC3787" i="1"/>
  <c r="AC3824" i="1"/>
  <c r="AC3906" i="1"/>
  <c r="AC3488" i="1"/>
  <c r="AC3504" i="1"/>
  <c r="AC3520" i="1"/>
  <c r="AC3562" i="1"/>
  <c r="AC3575" i="1"/>
  <c r="AC3594" i="1"/>
  <c r="AC3684" i="1"/>
  <c r="AC3691" i="1"/>
  <c r="AE3691" i="1" s="1"/>
  <c r="AC3755" i="1"/>
  <c r="AC3951" i="1"/>
  <c r="AC3550" i="1"/>
  <c r="AC3556" i="1"/>
  <c r="AC3569" i="1"/>
  <c r="AC3601" i="1"/>
  <c r="AC3614" i="1"/>
  <c r="AC3634" i="1"/>
  <c r="AC3641" i="1"/>
  <c r="AC3661" i="1"/>
  <c r="AC3707" i="1"/>
  <c r="AC3843" i="1"/>
  <c r="AC3874" i="1"/>
  <c r="AC3483" i="1"/>
  <c r="AC3499" i="1"/>
  <c r="AC3515" i="1"/>
  <c r="AE3515" i="1" s="1"/>
  <c r="AC3526" i="1"/>
  <c r="AC3532" i="1"/>
  <c r="AC3538" i="1"/>
  <c r="AC3544" i="1"/>
  <c r="AC3588" i="1"/>
  <c r="AC3669" i="1"/>
  <c r="AC3723" i="1"/>
  <c r="AC3731" i="1"/>
  <c r="AC3771" i="1"/>
  <c r="AC3780" i="1"/>
  <c r="AC3918" i="1"/>
  <c r="AC3582" i="1"/>
  <c r="AC3628" i="1"/>
  <c r="AC3699" i="1"/>
  <c r="AC3747" i="1"/>
  <c r="AC3806" i="1"/>
  <c r="AC4000" i="1"/>
  <c r="AE4000" i="1" s="1"/>
  <c r="AC3494" i="1"/>
  <c r="AE3494" i="1" s="1"/>
  <c r="AC3510" i="1"/>
  <c r="AC3677" i="1"/>
  <c r="AC3740" i="1"/>
  <c r="AC3798" i="1"/>
  <c r="AC3855" i="1"/>
  <c r="AC3886" i="1"/>
  <c r="AC4064" i="1"/>
  <c r="AC3608" i="1"/>
  <c r="AC3655" i="1"/>
  <c r="AC3662" i="1"/>
  <c r="AC3756" i="1"/>
  <c r="AC3489" i="1"/>
  <c r="AC3505" i="1"/>
  <c r="AC3521" i="1"/>
  <c r="AE3521" i="1" s="1"/>
  <c r="AC3576" i="1"/>
  <c r="AE3576" i="1" s="1"/>
  <c r="AC3685" i="1"/>
  <c r="AE3685" i="1" s="1"/>
  <c r="AC3732" i="1"/>
  <c r="AC3931" i="1"/>
  <c r="AC3943" i="1"/>
  <c r="AC4133" i="1"/>
  <c r="AC3551" i="1"/>
  <c r="AC3570" i="1"/>
  <c r="AC3602" i="1"/>
  <c r="AC3615" i="1"/>
  <c r="AC3622" i="1"/>
  <c r="AC3642" i="1"/>
  <c r="AC3649" i="1"/>
  <c r="AC3708" i="1"/>
  <c r="AC3836" i="1"/>
  <c r="AC3887" i="1"/>
  <c r="AC3228" i="1"/>
  <c r="AC3244" i="1"/>
  <c r="AC3260" i="1"/>
  <c r="AC3276" i="1"/>
  <c r="AC3292" i="1"/>
  <c r="AC3308" i="1"/>
  <c r="AC3324" i="1"/>
  <c r="AC3340" i="1"/>
  <c r="AC3356" i="1"/>
  <c r="AC3372" i="1"/>
  <c r="AC3388" i="1"/>
  <c r="AC3404" i="1"/>
  <c r="AC3420" i="1"/>
  <c r="AC3436" i="1"/>
  <c r="AC3452" i="1"/>
  <c r="AC3468" i="1"/>
  <c r="AC3484" i="1"/>
  <c r="AC3500" i="1"/>
  <c r="AE3500" i="1" s="1"/>
  <c r="AC3516" i="1"/>
  <c r="AC3527" i="1"/>
  <c r="AC3533" i="1"/>
  <c r="AC3539" i="1"/>
  <c r="AC3545" i="1"/>
  <c r="AC3564" i="1"/>
  <c r="AC3596" i="1"/>
  <c r="AC3609" i="1"/>
  <c r="AC3663" i="1"/>
  <c r="AC3781" i="1"/>
  <c r="AC3799" i="1"/>
  <c r="AC3808" i="1"/>
  <c r="AC3978" i="1"/>
  <c r="AC3558" i="1"/>
  <c r="AC3583" i="1"/>
  <c r="AC3629" i="1"/>
  <c r="AC3693" i="1"/>
  <c r="AC3701" i="1"/>
  <c r="AC3749" i="1"/>
  <c r="AE3749" i="1" s="1"/>
  <c r="AC3765" i="1"/>
  <c r="AE3765" i="1" s="1"/>
  <c r="AC3239" i="1"/>
  <c r="AC3255" i="1"/>
  <c r="AC3271" i="1"/>
  <c r="AC3287" i="1"/>
  <c r="AC3303" i="1"/>
  <c r="AC3319" i="1"/>
  <c r="AC3335" i="1"/>
  <c r="AC3351" i="1"/>
  <c r="AC3367" i="1"/>
  <c r="AC3383" i="1"/>
  <c r="AC3399" i="1"/>
  <c r="AC3415" i="1"/>
  <c r="AC3431" i="1"/>
  <c r="AC3447" i="1"/>
  <c r="AC3463" i="1"/>
  <c r="AC3479" i="1"/>
  <c r="AE3479" i="1" s="1"/>
  <c r="AC3495" i="1"/>
  <c r="AC3511" i="1"/>
  <c r="AC3577" i="1"/>
  <c r="AC3590" i="1"/>
  <c r="AC3671" i="1"/>
  <c r="AC3678" i="1"/>
  <c r="AC3717" i="1"/>
  <c r="AC3725" i="1"/>
  <c r="AC3741" i="1"/>
  <c r="AC3818" i="1"/>
  <c r="AC3827" i="1"/>
  <c r="AC3856" i="1"/>
  <c r="AE3856" i="1" s="1"/>
  <c r="AC3867" i="1"/>
  <c r="AC3899" i="1"/>
  <c r="AC3911" i="1"/>
  <c r="AC3991" i="1"/>
  <c r="AC3636" i="1"/>
  <c r="AC3234" i="1"/>
  <c r="AC3250" i="1"/>
  <c r="AC3266" i="1"/>
  <c r="AC3282" i="1"/>
  <c r="AC3298" i="1"/>
  <c r="AC3314" i="1"/>
  <c r="AC3330" i="1"/>
  <c r="AC3346" i="1"/>
  <c r="AC3362" i="1"/>
  <c r="AC3378" i="1"/>
  <c r="AC3394" i="1"/>
  <c r="AC3410" i="1"/>
  <c r="AC3426" i="1"/>
  <c r="AC3442" i="1"/>
  <c r="AC3458" i="1"/>
  <c r="AC3474" i="1"/>
  <c r="AC3490" i="1"/>
  <c r="AC3506" i="1"/>
  <c r="AC3522" i="1"/>
  <c r="AC3837" i="1"/>
  <c r="AC3944" i="1"/>
  <c r="AC3979" i="1"/>
  <c r="AC4180" i="1"/>
  <c r="AC3623" i="1"/>
  <c r="AC3630" i="1"/>
  <c r="AC3650" i="1"/>
  <c r="AC3657" i="1"/>
  <c r="AC3734" i="1"/>
  <c r="AC3758" i="1"/>
  <c r="AE3758" i="1" s="1"/>
  <c r="AC4055" i="1"/>
  <c r="AC4119" i="1"/>
  <c r="AC4148" i="1"/>
  <c r="AC4192" i="1"/>
  <c r="AC4224" i="1"/>
  <c r="AC4216" i="1"/>
  <c r="AC4287" i="1"/>
  <c r="AC4298" i="1"/>
  <c r="AC4309" i="1"/>
  <c r="AC4112" i="1"/>
  <c r="AC4155" i="1"/>
  <c r="AE4155" i="1" s="1"/>
  <c r="AC4170" i="1"/>
  <c r="AC4178" i="1"/>
  <c r="AC4200" i="1"/>
  <c r="AE4200" i="1" s="1"/>
  <c r="AC4208" i="1"/>
  <c r="AE4208" i="1" s="1"/>
  <c r="AC4141" i="1"/>
  <c r="AE4141" i="1" s="1"/>
  <c r="AC4250" i="1"/>
  <c r="AC4277" i="1"/>
  <c r="AC3999" i="1"/>
  <c r="AC4013" i="1"/>
  <c r="AC4027" i="1"/>
  <c r="AC4063" i="1"/>
  <c r="AC4077" i="1"/>
  <c r="AC4091" i="1"/>
  <c r="AC4127" i="1"/>
  <c r="AC4242" i="1"/>
  <c r="AC4070" i="1"/>
  <c r="AC4134" i="1"/>
  <c r="AE4134" i="1" s="1"/>
  <c r="AC4260" i="1"/>
  <c r="AC3992" i="1"/>
  <c r="AE3992" i="1" s="1"/>
  <c r="AC4042" i="1"/>
  <c r="AE4042" i="1" s="1"/>
  <c r="AC4056" i="1"/>
  <c r="AE4056" i="1" s="1"/>
  <c r="AC4106" i="1"/>
  <c r="AC4120" i="1"/>
  <c r="AE4120" i="1" s="1"/>
  <c r="AC4149" i="1"/>
  <c r="AC4164" i="1"/>
  <c r="AC4186" i="1"/>
  <c r="AC4194" i="1"/>
  <c r="AC4226" i="1"/>
  <c r="AC4234" i="1"/>
  <c r="AC3919" i="1"/>
  <c r="AC3972" i="1"/>
  <c r="AC4021" i="1"/>
  <c r="AC4085" i="1"/>
  <c r="AC4269" i="1"/>
  <c r="AC4324" i="1"/>
  <c r="AC4007" i="1"/>
  <c r="AC4071" i="1"/>
  <c r="AC4135" i="1"/>
  <c r="AC4210" i="1"/>
  <c r="AE4210" i="1" s="1"/>
  <c r="AC4218" i="1"/>
  <c r="AC3679" i="1"/>
  <c r="AC3794" i="1"/>
  <c r="AC3800" i="1"/>
  <c r="AC3825" i="1"/>
  <c r="AC3844" i="1"/>
  <c r="AC3875" i="1"/>
  <c r="AC3900" i="1"/>
  <c r="AC3932" i="1"/>
  <c r="AC3958" i="1"/>
  <c r="AC3965" i="1"/>
  <c r="AC3986" i="1"/>
  <c r="AE3986" i="1" s="1"/>
  <c r="AC4036" i="1"/>
  <c r="AC4050" i="1"/>
  <c r="AC4100" i="1"/>
  <c r="AC4114" i="1"/>
  <c r="AE4114" i="1" s="1"/>
  <c r="AC4157" i="1"/>
  <c r="AC4279" i="1"/>
  <c r="AC3697" i="1"/>
  <c r="AC3703" i="1"/>
  <c r="AC3727" i="1"/>
  <c r="AC3751" i="1"/>
  <c r="AC3757" i="1"/>
  <c r="AC3763" i="1"/>
  <c r="AC3788" i="1"/>
  <c r="AC3807" i="1"/>
  <c r="AC3813" i="1"/>
  <c r="AC3863" i="1"/>
  <c r="AC3888" i="1"/>
  <c r="AE3888" i="1" s="1"/>
  <c r="AC3894" i="1"/>
  <c r="AE3894" i="1" s="1"/>
  <c r="AC4143" i="1"/>
  <c r="AC4261" i="1"/>
  <c r="AC3624" i="1"/>
  <c r="AC3640" i="1"/>
  <c r="AC3656" i="1"/>
  <c r="AC3709" i="1"/>
  <c r="AC3715" i="1"/>
  <c r="AC3733" i="1"/>
  <c r="AC3739" i="1"/>
  <c r="AC3745" i="1"/>
  <c r="AC3838" i="1"/>
  <c r="AC3882" i="1"/>
  <c r="AE3882" i="1" s="1"/>
  <c r="AC3907" i="1"/>
  <c r="AC3926" i="1"/>
  <c r="AC3939" i="1"/>
  <c r="AC3952" i="1"/>
  <c r="AC3959" i="1"/>
  <c r="AC4015" i="1"/>
  <c r="AC4029" i="1"/>
  <c r="AC4043" i="1"/>
  <c r="AC4079" i="1"/>
  <c r="AC4093" i="1"/>
  <c r="AC4107" i="1"/>
  <c r="AC4165" i="1"/>
  <c r="AC4228" i="1"/>
  <c r="AC4271" i="1"/>
  <c r="AC3776" i="1"/>
  <c r="AC3782" i="1"/>
  <c r="AC3826" i="1"/>
  <c r="AC3832" i="1"/>
  <c r="AC3857" i="1"/>
  <c r="AE3857" i="1" s="1"/>
  <c r="AC3876" i="1"/>
  <c r="AC3920" i="1"/>
  <c r="AC3973" i="1"/>
  <c r="AE3973" i="1" s="1"/>
  <c r="AC4022" i="1"/>
  <c r="AC4086" i="1"/>
  <c r="AC4314" i="1"/>
  <c r="AC3571" i="1"/>
  <c r="AC3587" i="1"/>
  <c r="AC3603" i="1"/>
  <c r="AC3619" i="1"/>
  <c r="AC3635" i="1"/>
  <c r="AC3651" i="1"/>
  <c r="AC3668" i="1"/>
  <c r="AC3674" i="1"/>
  <c r="AC3770" i="1"/>
  <c r="AC3851" i="1"/>
  <c r="AC3901" i="1"/>
  <c r="AC3914" i="1"/>
  <c r="AC3933" i="1"/>
  <c r="AC3946" i="1"/>
  <c r="AC3994" i="1"/>
  <c r="AC4008" i="1"/>
  <c r="AC4058" i="1"/>
  <c r="AC4072" i="1"/>
  <c r="AC4122" i="1"/>
  <c r="AC4136" i="1"/>
  <c r="AC4151" i="1"/>
  <c r="AC4173" i="1"/>
  <c r="AC4196" i="1"/>
  <c r="AC4212" i="1"/>
  <c r="AC4303" i="1"/>
  <c r="AC3680" i="1"/>
  <c r="AC3764" i="1"/>
  <c r="AC3795" i="1"/>
  <c r="AC3820" i="1"/>
  <c r="AC3839" i="1"/>
  <c r="AC3845" i="1"/>
  <c r="AC3895" i="1"/>
  <c r="AC3927" i="1"/>
  <c r="AC4037" i="1"/>
  <c r="AC4101" i="1"/>
  <c r="AC4253" i="1"/>
  <c r="AC4292" i="1"/>
  <c r="AC3686" i="1"/>
  <c r="AC3692" i="1"/>
  <c r="AC3698" i="1"/>
  <c r="AC3716" i="1"/>
  <c r="AC3722" i="1"/>
  <c r="AC3789" i="1"/>
  <c r="AC3870" i="1"/>
  <c r="AC3908" i="1"/>
  <c r="AC3940" i="1"/>
  <c r="AC4023" i="1"/>
  <c r="AC4087" i="1"/>
  <c r="AC4181" i="1"/>
  <c r="AC4245" i="1"/>
  <c r="AC3864" i="1"/>
  <c r="AC3889" i="1"/>
  <c r="AC3967" i="1"/>
  <c r="AC3988" i="1"/>
  <c r="AC4002" i="1"/>
  <c r="AC4052" i="1"/>
  <c r="AC4066" i="1"/>
  <c r="AC4116" i="1"/>
  <c r="AC4130" i="1"/>
  <c r="AC4144" i="1"/>
  <c r="AC4159" i="1"/>
  <c r="AC3883" i="1"/>
  <c r="AC3960" i="1"/>
  <c r="AC4016" i="1"/>
  <c r="AC4080" i="1"/>
  <c r="AC4189" i="1"/>
  <c r="AC4229" i="1"/>
  <c r="AC4237" i="1"/>
  <c r="AC4263" i="1"/>
  <c r="AC4272" i="1"/>
  <c r="AC3852" i="1"/>
  <c r="AC3871" i="1"/>
  <c r="AC3877" i="1"/>
  <c r="AC3974" i="1"/>
  <c r="AC3981" i="1"/>
  <c r="AC4282" i="1"/>
  <c r="AC3902" i="1"/>
  <c r="AE3902" i="1" s="1"/>
  <c r="AC3915" i="1"/>
  <c r="AC3934" i="1"/>
  <c r="AC3947" i="1"/>
  <c r="AC3995" i="1"/>
  <c r="AC4031" i="1"/>
  <c r="AC4045" i="1"/>
  <c r="AC4059" i="1"/>
  <c r="AC4095" i="1"/>
  <c r="AC4109" i="1"/>
  <c r="AC4123" i="1"/>
  <c r="AC4152" i="1"/>
  <c r="AC4167" i="1"/>
  <c r="AC4197" i="1"/>
  <c r="AC4213" i="1"/>
  <c r="AC4221" i="1"/>
  <c r="AC4255" i="1"/>
  <c r="AC3815" i="1"/>
  <c r="AC3840" i="1"/>
  <c r="AC3846" i="1"/>
  <c r="AC3890" i="1"/>
  <c r="AC3896" i="1"/>
  <c r="AC3928" i="1"/>
  <c r="AC3954" i="1"/>
  <c r="AC4038" i="1"/>
  <c r="AC4102" i="1"/>
  <c r="AC4293" i="1"/>
  <c r="AC3790" i="1"/>
  <c r="AE3790" i="1" s="1"/>
  <c r="AC3834" i="1"/>
  <c r="AC3909" i="1"/>
  <c r="AC3922" i="1"/>
  <c r="AC3941" i="1"/>
  <c r="AE3941" i="1" s="1"/>
  <c r="AC3975" i="1"/>
  <c r="AC4010" i="1"/>
  <c r="AC4024" i="1"/>
  <c r="AC4074" i="1"/>
  <c r="AC4088" i="1"/>
  <c r="AC4138" i="1"/>
  <c r="AC4175" i="1"/>
  <c r="AC4205" i="1"/>
  <c r="AC3784" i="1"/>
  <c r="AC3809" i="1"/>
  <c r="AC3828" i="1"/>
  <c r="AC3859" i="1"/>
  <c r="AC3884" i="1"/>
  <c r="AC3903" i="1"/>
  <c r="AE3903" i="1" s="1"/>
  <c r="AC3935" i="1"/>
  <c r="AC3968" i="1"/>
  <c r="AC3989" i="1"/>
  <c r="AC4053" i="1"/>
  <c r="AC4117" i="1"/>
  <c r="AC4160" i="1"/>
  <c r="AC4247" i="1"/>
  <c r="AC4274" i="1"/>
  <c r="AC3803" i="1"/>
  <c r="AC3853" i="1"/>
  <c r="AC4039" i="1"/>
  <c r="AC4103" i="1"/>
  <c r="AC4146" i="1"/>
  <c r="AC4183" i="1"/>
  <c r="AC4239" i="1"/>
  <c r="AC3664" i="1"/>
  <c r="AC3772" i="1"/>
  <c r="AC3791" i="1"/>
  <c r="AC3797" i="1"/>
  <c r="AC3847" i="1"/>
  <c r="AC3872" i="1"/>
  <c r="AC3878" i="1"/>
  <c r="AC3916" i="1"/>
  <c r="AC3948" i="1"/>
  <c r="AC4004" i="1"/>
  <c r="AC4018" i="1"/>
  <c r="AC4068" i="1"/>
  <c r="AC4082" i="1"/>
  <c r="AC4132" i="1"/>
  <c r="AC3541" i="1"/>
  <c r="AC3557" i="1"/>
  <c r="AE3557" i="1" s="1"/>
  <c r="AC3573" i="1"/>
  <c r="AC3589" i="1"/>
  <c r="AC3605" i="1"/>
  <c r="AC3621" i="1"/>
  <c r="AC3637" i="1"/>
  <c r="AC3653" i="1"/>
  <c r="AC3670" i="1"/>
  <c r="AC3676" i="1"/>
  <c r="AC3682" i="1"/>
  <c r="AC3700" i="1"/>
  <c r="AC3706" i="1"/>
  <c r="AC3754" i="1"/>
  <c r="AC3760" i="1"/>
  <c r="AC3822" i="1"/>
  <c r="AE3822" i="1" s="1"/>
  <c r="AC3866" i="1"/>
  <c r="AC3962" i="1"/>
  <c r="AE3962" i="1" s="1"/>
  <c r="AC4032" i="1"/>
  <c r="AC4096" i="1"/>
  <c r="AC4168" i="1"/>
  <c r="AC4191" i="1"/>
  <c r="AC4223" i="1"/>
  <c r="AC4231" i="1"/>
  <c r="AC4256" i="1"/>
  <c r="AC4319" i="1"/>
  <c r="AC3688" i="1"/>
  <c r="AC3712" i="1"/>
  <c r="AC3748" i="1"/>
  <c r="AC3766" i="1"/>
  <c r="AC3810" i="1"/>
  <c r="AC3816" i="1"/>
  <c r="AE3816" i="1" s="1"/>
  <c r="AC3841" i="1"/>
  <c r="AC3860" i="1"/>
  <c r="AC3891" i="1"/>
  <c r="AE3891" i="1" s="1"/>
  <c r="AC3983" i="1"/>
  <c r="AC3536" i="1"/>
  <c r="AC3552" i="1"/>
  <c r="AC3568" i="1"/>
  <c r="AC3584" i="1"/>
  <c r="AC3600" i="1"/>
  <c r="AC3616" i="1"/>
  <c r="AC3632" i="1"/>
  <c r="AC3648" i="1"/>
  <c r="AC3694" i="1"/>
  <c r="AC3718" i="1"/>
  <c r="AC3724" i="1"/>
  <c r="AC3730" i="1"/>
  <c r="AC3835" i="1"/>
  <c r="AC3885" i="1"/>
  <c r="AC3910" i="1"/>
  <c r="AC3923" i="1"/>
  <c r="AE3923" i="1" s="1"/>
  <c r="AC3942" i="1"/>
  <c r="AC3976" i="1"/>
  <c r="AC3997" i="1"/>
  <c r="AC4011" i="1"/>
  <c r="AC4047" i="1"/>
  <c r="AC4061" i="1"/>
  <c r="AC4075" i="1"/>
  <c r="AC4111" i="1"/>
  <c r="AC4125" i="1"/>
  <c r="AC4139" i="1"/>
  <c r="AC4154" i="1"/>
  <c r="AC4176" i="1"/>
  <c r="AC4199" i="1"/>
  <c r="AC4207" i="1"/>
  <c r="AC4215" i="1"/>
  <c r="AC4248" i="1"/>
  <c r="AC4266" i="1"/>
  <c r="AC4308" i="1"/>
  <c r="AC3736" i="1"/>
  <c r="AC3742" i="1"/>
  <c r="AC3779" i="1"/>
  <c r="AC3804" i="1"/>
  <c r="AC3823" i="1"/>
  <c r="AC3829" i="1"/>
  <c r="AC3879" i="1"/>
  <c r="AC3904" i="1"/>
  <c r="AC3936" i="1"/>
  <c r="AC3956" i="1"/>
  <c r="AC3990" i="1"/>
  <c r="AC4054" i="1"/>
  <c r="AE4054" i="1" s="1"/>
  <c r="AC4118" i="1"/>
  <c r="AC4276" i="1"/>
  <c r="AC3531" i="1"/>
  <c r="AC3547" i="1"/>
  <c r="AC3563" i="1"/>
  <c r="AC3579" i="1"/>
  <c r="AC3595" i="1"/>
  <c r="AC3611" i="1"/>
  <c r="AC3627" i="1"/>
  <c r="AC3643" i="1"/>
  <c r="AC3659" i="1"/>
  <c r="AC3773" i="1"/>
  <c r="AC3854" i="1"/>
  <c r="AC3898" i="1"/>
  <c r="AC3917" i="1"/>
  <c r="AC3930" i="1"/>
  <c r="AC3949" i="1"/>
  <c r="AC4026" i="1"/>
  <c r="AC4040" i="1"/>
  <c r="AE4040" i="1" s="1"/>
  <c r="AC4090" i="1"/>
  <c r="AC4104" i="1"/>
  <c r="AC4162" i="1"/>
  <c r="AC4184" i="1"/>
  <c r="AC4240" i="1"/>
  <c r="AC4330" i="1"/>
  <c r="AC4325" i="1"/>
  <c r="AC4288" i="1"/>
  <c r="AC4304" i="1"/>
  <c r="AC4320" i="1"/>
  <c r="AC4171" i="1"/>
  <c r="AE4171" i="1" s="1"/>
  <c r="AC4187" i="1"/>
  <c r="AC4203" i="1"/>
  <c r="AE4203" i="1" s="1"/>
  <c r="AC4219" i="1"/>
  <c r="AC4235" i="1"/>
  <c r="AC4251" i="1"/>
  <c r="AE4251" i="1" s="1"/>
  <c r="AC4267" i="1"/>
  <c r="AE4267" i="1" s="1"/>
  <c r="AC4283" i="1"/>
  <c r="AC4299" i="1"/>
  <c r="AC4315" i="1"/>
  <c r="AC4331" i="1"/>
  <c r="AC4150" i="1"/>
  <c r="AC4166" i="1"/>
  <c r="AC4182" i="1"/>
  <c r="AC4198" i="1"/>
  <c r="AC4214" i="1"/>
  <c r="AC4230" i="1"/>
  <c r="AE4230" i="1" s="1"/>
  <c r="AC4246" i="1"/>
  <c r="AC4262" i="1"/>
  <c r="AE4262" i="1" s="1"/>
  <c r="AC4278" i="1"/>
  <c r="AE4278" i="1" s="1"/>
  <c r="AC4294" i="1"/>
  <c r="AE4294" i="1" s="1"/>
  <c r="AC4310" i="1"/>
  <c r="AE4310" i="1" s="1"/>
  <c r="AC4326" i="1"/>
  <c r="AC3905" i="1"/>
  <c r="AC3921" i="1"/>
  <c r="AC3937" i="1"/>
  <c r="AC3953" i="1"/>
  <c r="AC3969" i="1"/>
  <c r="AC3985" i="1"/>
  <c r="AC4001" i="1"/>
  <c r="AC4017" i="1"/>
  <c r="AC4033" i="1"/>
  <c r="AC4049" i="1"/>
  <c r="AE4049" i="1" s="1"/>
  <c r="AC4065" i="1"/>
  <c r="AC4081" i="1"/>
  <c r="AC4097" i="1"/>
  <c r="AC4113" i="1"/>
  <c r="AE4113" i="1" s="1"/>
  <c r="AC4129" i="1"/>
  <c r="AC4145" i="1"/>
  <c r="AC4161" i="1"/>
  <c r="AC4177" i="1"/>
  <c r="AC4193" i="1"/>
  <c r="AC4209" i="1"/>
  <c r="AC4225" i="1"/>
  <c r="AC4241" i="1"/>
  <c r="AC4257" i="1"/>
  <c r="AC4273" i="1"/>
  <c r="AC4289" i="1"/>
  <c r="AE4289" i="1" s="1"/>
  <c r="AC4305" i="1"/>
  <c r="AC4321" i="1"/>
  <c r="AC3964" i="1"/>
  <c r="AC3980" i="1"/>
  <c r="AC3996" i="1"/>
  <c r="AC4012" i="1"/>
  <c r="AC4028" i="1"/>
  <c r="AC4044" i="1"/>
  <c r="AC4060" i="1"/>
  <c r="AC4076" i="1"/>
  <c r="AC4092" i="1"/>
  <c r="AC4108" i="1"/>
  <c r="AC4124" i="1"/>
  <c r="AC4140" i="1"/>
  <c r="AC4156" i="1"/>
  <c r="AC4172" i="1"/>
  <c r="AC4188" i="1"/>
  <c r="AC4204" i="1"/>
  <c r="AC4220" i="1"/>
  <c r="AC4236" i="1"/>
  <c r="AC4252" i="1"/>
  <c r="AC4268" i="1"/>
  <c r="AC4284" i="1"/>
  <c r="AC4300" i="1"/>
  <c r="AC4316" i="1"/>
  <c r="AC4332" i="1"/>
  <c r="AC4295" i="1"/>
  <c r="AC4311" i="1"/>
  <c r="AC4327" i="1"/>
  <c r="AC4290" i="1"/>
  <c r="AC4306" i="1"/>
  <c r="AC4322" i="1"/>
  <c r="AE4322" i="1" s="1"/>
  <c r="AC4285" i="1"/>
  <c r="AE4285" i="1" s="1"/>
  <c r="AC4301" i="1"/>
  <c r="AE4301" i="1" s="1"/>
  <c r="AC4317" i="1"/>
  <c r="AC4333" i="1"/>
  <c r="AC4264" i="1"/>
  <c r="AC4280" i="1"/>
  <c r="AC4296" i="1"/>
  <c r="AE4296" i="1" s="1"/>
  <c r="AC4312" i="1"/>
  <c r="AC4328" i="1"/>
  <c r="AC3955" i="1"/>
  <c r="AC3971" i="1"/>
  <c r="AC3987" i="1"/>
  <c r="AC4003" i="1"/>
  <c r="AC4019" i="1"/>
  <c r="AC4035" i="1"/>
  <c r="AC4051" i="1"/>
  <c r="AC4067" i="1"/>
  <c r="AC4083" i="1"/>
  <c r="AC4099" i="1"/>
  <c r="AE4099" i="1" s="1"/>
  <c r="AC4115" i="1"/>
  <c r="AC4131" i="1"/>
  <c r="AC4147" i="1"/>
  <c r="AC4163" i="1"/>
  <c r="AE4163" i="1" s="1"/>
  <c r="AC4179" i="1"/>
  <c r="AC4195" i="1"/>
  <c r="AC4211" i="1"/>
  <c r="AC4227" i="1"/>
  <c r="AC4243" i="1"/>
  <c r="AC4259" i="1"/>
  <c r="AC4275" i="1"/>
  <c r="AC4291" i="1"/>
  <c r="AC4307" i="1"/>
  <c r="AC4323" i="1"/>
  <c r="AE4323" i="1" s="1"/>
  <c r="AC3950" i="1"/>
  <c r="AC3966" i="1"/>
  <c r="AC3982" i="1"/>
  <c r="AE3982" i="1" s="1"/>
  <c r="AC3998" i="1"/>
  <c r="AC4014" i="1"/>
  <c r="AE4014" i="1" s="1"/>
  <c r="AC4030" i="1"/>
  <c r="AE4030" i="1" s="1"/>
  <c r="AC4046" i="1"/>
  <c r="AC4062" i="1"/>
  <c r="AC4078" i="1"/>
  <c r="AC4094" i="1"/>
  <c r="AC4110" i="1"/>
  <c r="AC4126" i="1"/>
  <c r="AC4142" i="1"/>
  <c r="AC4158" i="1"/>
  <c r="AC4174" i="1"/>
  <c r="AC4190" i="1"/>
  <c r="AC4206" i="1"/>
  <c r="AE4206" i="1" s="1"/>
  <c r="AC4222" i="1"/>
  <c r="AE4222" i="1" s="1"/>
  <c r="AC4238" i="1"/>
  <c r="AC4254" i="1"/>
  <c r="AC4270" i="1"/>
  <c r="AC4286" i="1"/>
  <c r="AC4302" i="1"/>
  <c r="AC4318" i="1"/>
  <c r="AC4334" i="1"/>
  <c r="AC3673" i="1"/>
  <c r="AC3689" i="1"/>
  <c r="AC3705" i="1"/>
  <c r="AC3721" i="1"/>
  <c r="AC3737" i="1"/>
  <c r="AC3753" i="1"/>
  <c r="AC3769" i="1"/>
  <c r="AC3785" i="1"/>
  <c r="AC3801" i="1"/>
  <c r="AC3817" i="1"/>
  <c r="AC3833" i="1"/>
  <c r="AC3849" i="1"/>
  <c r="AC3865" i="1"/>
  <c r="AC3881" i="1"/>
  <c r="AC3897" i="1"/>
  <c r="AC3913" i="1"/>
  <c r="AC3929" i="1"/>
  <c r="AC3945" i="1"/>
  <c r="AC3961" i="1"/>
  <c r="AC3977" i="1"/>
  <c r="AC3993" i="1"/>
  <c r="AC4009" i="1"/>
  <c r="AC4025" i="1"/>
  <c r="AC4041" i="1"/>
  <c r="AC4057" i="1"/>
  <c r="AC4073" i="1"/>
  <c r="AC4089" i="1"/>
  <c r="AC4105" i="1"/>
  <c r="AC4121" i="1"/>
  <c r="AC4137" i="1"/>
  <c r="AC4153" i="1"/>
  <c r="AC4169" i="1"/>
  <c r="AC4185" i="1"/>
  <c r="AC4201" i="1"/>
  <c r="AC4217" i="1"/>
  <c r="AC4233" i="1"/>
  <c r="AC4249" i="1"/>
  <c r="AC4265" i="1"/>
  <c r="AC4281" i="1"/>
  <c r="AC4297" i="1"/>
  <c r="AC4313" i="1"/>
  <c r="AC4329" i="1"/>
  <c r="AE63" i="1"/>
  <c r="AE160" i="1"/>
  <c r="AE144" i="1"/>
  <c r="AE272" i="1"/>
  <c r="AE288" i="1"/>
  <c r="AE304" i="1"/>
  <c r="AE401" i="1"/>
  <c r="AE433" i="1"/>
  <c r="AE545" i="1"/>
  <c r="AE577" i="1"/>
  <c r="AE593" i="1"/>
  <c r="AE17" i="1"/>
  <c r="AE33" i="1"/>
  <c r="AE49" i="1"/>
  <c r="AE65" i="1"/>
  <c r="AE4" i="1"/>
  <c r="AE20" i="1"/>
  <c r="AE36" i="1"/>
  <c r="AE52" i="1"/>
  <c r="AE68" i="1"/>
  <c r="AE22" i="1"/>
  <c r="AE6" i="1"/>
  <c r="AE23" i="1"/>
  <c r="AE39" i="1"/>
  <c r="AE7" i="1"/>
  <c r="AE55" i="1"/>
  <c r="AE71" i="1"/>
  <c r="AE120" i="1"/>
  <c r="AE136" i="1"/>
  <c r="AE152" i="1"/>
  <c r="AE168" i="1"/>
  <c r="AE184" i="1"/>
  <c r="AE200" i="1"/>
  <c r="AE264" i="1"/>
  <c r="AE280" i="1"/>
  <c r="AE296" i="1"/>
  <c r="AE9" i="1"/>
  <c r="AE25" i="1"/>
  <c r="AE41" i="1"/>
  <c r="AE377" i="1"/>
  <c r="AE425" i="1"/>
  <c r="AE489" i="1"/>
  <c r="AE505" i="1"/>
  <c r="AE537" i="1"/>
  <c r="AE57" i="1"/>
  <c r="AE73" i="1"/>
  <c r="AE10" i="1"/>
  <c r="AE26" i="1"/>
  <c r="AE90" i="1"/>
  <c r="AE106" i="1"/>
  <c r="AE122" i="1"/>
  <c r="AE138" i="1"/>
  <c r="AE234" i="1"/>
  <c r="AE250" i="1"/>
  <c r="AE266" i="1"/>
  <c r="AE91" i="1"/>
  <c r="AE107" i="1"/>
  <c r="AE171" i="1"/>
  <c r="AE187" i="1"/>
  <c r="AE203" i="1"/>
  <c r="AE219" i="1"/>
  <c r="AE299" i="1"/>
  <c r="AE12" i="1"/>
  <c r="AE28" i="1"/>
  <c r="AE44" i="1"/>
  <c r="AE76" i="1"/>
  <c r="AE109" i="1"/>
  <c r="AE125" i="1"/>
  <c r="AE141" i="1"/>
  <c r="AE157" i="1"/>
  <c r="AE237" i="1"/>
  <c r="AE253" i="1"/>
  <c r="AE269" i="1"/>
  <c r="AE285" i="1"/>
  <c r="AE301" i="1"/>
  <c r="AE14" i="1"/>
  <c r="AE30" i="1"/>
  <c r="AE46" i="1"/>
  <c r="AE62" i="1"/>
  <c r="AE81" i="1"/>
  <c r="AE89" i="1"/>
  <c r="AE174" i="1"/>
  <c r="AE236" i="1"/>
  <c r="AE374" i="1"/>
  <c r="AE413" i="1"/>
  <c r="AE198" i="1"/>
  <c r="AE252" i="1"/>
  <c r="AE291" i="1"/>
  <c r="AE325" i="1"/>
  <c r="AE307" i="1"/>
  <c r="AE345" i="1"/>
  <c r="AE414" i="1"/>
  <c r="AE453" i="1"/>
  <c r="AE473" i="1"/>
  <c r="AE542" i="1"/>
  <c r="AE105" i="1"/>
  <c r="AE582" i="1"/>
  <c r="AE113" i="1"/>
  <c r="AE121" i="1"/>
  <c r="AE206" i="1"/>
  <c r="AE365" i="1"/>
  <c r="AE385" i="1"/>
  <c r="AE454" i="1"/>
  <c r="AE513" i="1"/>
  <c r="AE284" i="1"/>
  <c r="AE572" i="1"/>
  <c r="AE612" i="1"/>
  <c r="AE83" i="1"/>
  <c r="AE129" i="1"/>
  <c r="AE137" i="1"/>
  <c r="AE222" i="1"/>
  <c r="AE230" i="1"/>
  <c r="AE405" i="1"/>
  <c r="AE300" i="1"/>
  <c r="AE366" i="1"/>
  <c r="AE406" i="1"/>
  <c r="AE494" i="1"/>
  <c r="AE317" i="1"/>
  <c r="AE337" i="1"/>
  <c r="AE445" i="1"/>
  <c r="AE465" i="1"/>
  <c r="AE534" i="1"/>
  <c r="AE99" i="1"/>
  <c r="AE153" i="1"/>
  <c r="AE115" i="1"/>
  <c r="AE161" i="1"/>
  <c r="AE169" i="1"/>
  <c r="AE254" i="1"/>
  <c r="AE262" i="1"/>
  <c r="AE318" i="1"/>
  <c r="AE357" i="1"/>
  <c r="AE446" i="1"/>
  <c r="AE486" i="1"/>
  <c r="AE709" i="1"/>
  <c r="AE805" i="1"/>
  <c r="AE821" i="1"/>
  <c r="AE837" i="1"/>
  <c r="AE185" i="1"/>
  <c r="AE270" i="1"/>
  <c r="AE278" i="1"/>
  <c r="AE358" i="1"/>
  <c r="AE397" i="1"/>
  <c r="AE417" i="1"/>
  <c r="AE614" i="1"/>
  <c r="AE131" i="1"/>
  <c r="AE388" i="1"/>
  <c r="AE437" i="1"/>
  <c r="AE604" i="1"/>
  <c r="AE92" i="1"/>
  <c r="AE193" i="1"/>
  <c r="AE286" i="1"/>
  <c r="AE457" i="1"/>
  <c r="AE585" i="1"/>
  <c r="AE108" i="1"/>
  <c r="AE147" i="1"/>
  <c r="AE201" i="1"/>
  <c r="AE209" i="1"/>
  <c r="AE302" i="1"/>
  <c r="AE310" i="1"/>
  <c r="AE398" i="1"/>
  <c r="AE217" i="1"/>
  <c r="AE349" i="1"/>
  <c r="AE369" i="1"/>
  <c r="AE438" i="1"/>
  <c r="AE497" i="1"/>
  <c r="AE566" i="1"/>
  <c r="AE163" i="1"/>
  <c r="AE428" i="1"/>
  <c r="AE556" i="1"/>
  <c r="AE596" i="1"/>
  <c r="AE502" i="1"/>
  <c r="AE225" i="1"/>
  <c r="AE350" i="1"/>
  <c r="AE389" i="1"/>
  <c r="AE409" i="1"/>
  <c r="AE182" i="1"/>
  <c r="AE462" i="1"/>
  <c r="AE478" i="1"/>
  <c r="AE518" i="1"/>
  <c r="AE606" i="1"/>
  <c r="AE617" i="1"/>
  <c r="AE86" i="1"/>
  <c r="AE140" i="1"/>
  <c r="AE241" i="1"/>
  <c r="AE429" i="1"/>
  <c r="AE94" i="1"/>
  <c r="AE102" i="1"/>
  <c r="AE156" i="1"/>
  <c r="AE195" i="1"/>
  <c r="AE257" i="1"/>
  <c r="AE420" i="1"/>
  <c r="AE79" i="1"/>
  <c r="AE211" i="1"/>
  <c r="AE265" i="1"/>
  <c r="AE341" i="1"/>
  <c r="AE361" i="1"/>
  <c r="AE618" i="1"/>
  <c r="AE342" i="1"/>
  <c r="AE430" i="1"/>
  <c r="AE470" i="1"/>
  <c r="AE95" i="1"/>
  <c r="AE110" i="1"/>
  <c r="AE118" i="1"/>
  <c r="AE172" i="1"/>
  <c r="AE227" i="1"/>
  <c r="AE273" i="1"/>
  <c r="AE281" i="1"/>
  <c r="AE381" i="1"/>
  <c r="AE529" i="1"/>
  <c r="AE134" i="1"/>
  <c r="AE289" i="1"/>
  <c r="AE332" i="1"/>
  <c r="AE372" i="1"/>
  <c r="AE421" i="1"/>
  <c r="AE460" i="1"/>
  <c r="AE588" i="1"/>
  <c r="AE126" i="1"/>
  <c r="AE243" i="1"/>
  <c r="AE297" i="1"/>
  <c r="AE313" i="1"/>
  <c r="AE382" i="1"/>
  <c r="AE441" i="1"/>
  <c r="AE510" i="1"/>
  <c r="AE569" i="1"/>
  <c r="AE305" i="1"/>
  <c r="AE142" i="1"/>
  <c r="AE150" i="1"/>
  <c r="AE204" i="1"/>
  <c r="AE259" i="1"/>
  <c r="AE461" i="1"/>
  <c r="AE481" i="1"/>
  <c r="AE550" i="1"/>
  <c r="AE609" i="1"/>
  <c r="AE412" i="1"/>
  <c r="AE452" i="1"/>
  <c r="AE166" i="1"/>
  <c r="AE220" i="1"/>
  <c r="AE275" i="1"/>
  <c r="AE334" i="1"/>
  <c r="AE373" i="1"/>
  <c r="AE393" i="1"/>
  <c r="AE521" i="1"/>
  <c r="AE590" i="1"/>
  <c r="AE316" i="1"/>
  <c r="AE324" i="1"/>
  <c r="AE340" i="1"/>
  <c r="AE356" i="1"/>
  <c r="AE364" i="1"/>
  <c r="AE380" i="1"/>
  <c r="AE436" i="1"/>
  <c r="AE468" i="1"/>
  <c r="AE476" i="1"/>
  <c r="AE484" i="1"/>
  <c r="AE492" i="1"/>
  <c r="AE500" i="1"/>
  <c r="AE516" i="1"/>
  <c r="AE524" i="1"/>
  <c r="AE540" i="1"/>
  <c r="AE564" i="1"/>
  <c r="AE580" i="1"/>
  <c r="AE869" i="1"/>
  <c r="AE885" i="1"/>
  <c r="AE901" i="1"/>
  <c r="AE629" i="1"/>
  <c r="AE645" i="1"/>
  <c r="AE725" i="1"/>
  <c r="AE741" i="1"/>
  <c r="AE757" i="1"/>
  <c r="AE773" i="1"/>
  <c r="AE789" i="1"/>
  <c r="AE853" i="1"/>
  <c r="AE694" i="1"/>
  <c r="AE710" i="1"/>
  <c r="AE726" i="1"/>
  <c r="AE742" i="1"/>
  <c r="AE423" i="1"/>
  <c r="AE439" i="1"/>
  <c r="AE455" i="1"/>
  <c r="AE471" i="1"/>
  <c r="AE599" i="1"/>
  <c r="AE615" i="1"/>
  <c r="AE311" i="1"/>
  <c r="AE319" i="1"/>
  <c r="AE327" i="1"/>
  <c r="AE335" i="1"/>
  <c r="AE343" i="1"/>
  <c r="AE351" i="1"/>
  <c r="AE359" i="1"/>
  <c r="AE367" i="1"/>
  <c r="AE375" i="1"/>
  <c r="AE383" i="1"/>
  <c r="AE463" i="1"/>
  <c r="AE487" i="1"/>
  <c r="AE503" i="1"/>
  <c r="AE551" i="1"/>
  <c r="AE567" i="1"/>
  <c r="AE583" i="1"/>
  <c r="AE479" i="1"/>
  <c r="AE495" i="1"/>
  <c r="AE511" i="1"/>
  <c r="AE527" i="1"/>
  <c r="AE543" i="1"/>
  <c r="AE559" i="1"/>
  <c r="AE575" i="1"/>
  <c r="AE591" i="1"/>
  <c r="AE607" i="1"/>
  <c r="AE728" i="1"/>
  <c r="AE744" i="1"/>
  <c r="AE760" i="1"/>
  <c r="AE856" i="1"/>
  <c r="AE888" i="1"/>
  <c r="AE967" i="1"/>
  <c r="AE322" i="1"/>
  <c r="AE354" i="1"/>
  <c r="AE370" i="1"/>
  <c r="AE482" i="1"/>
  <c r="AE498" i="1"/>
  <c r="AE514" i="1"/>
  <c r="AE530" i="1"/>
  <c r="AE578" i="1"/>
  <c r="AE610" i="1"/>
  <c r="AE620" i="1"/>
  <c r="AE346" i="1"/>
  <c r="AE362" i="1"/>
  <c r="AE378" i="1"/>
  <c r="AE386" i="1"/>
  <c r="AE394" i="1"/>
  <c r="AE402" i="1"/>
  <c r="AE410" i="1"/>
  <c r="AE418" i="1"/>
  <c r="AE434" i="1"/>
  <c r="AE458" i="1"/>
  <c r="AE546" i="1"/>
  <c r="AE562" i="1"/>
  <c r="AE621" i="1"/>
  <c r="AE653" i="1"/>
  <c r="AE669" i="1"/>
  <c r="AE701" i="1"/>
  <c r="AE717" i="1"/>
  <c r="AE765" i="1"/>
  <c r="AE314" i="1"/>
  <c r="AE330" i="1"/>
  <c r="AE426" i="1"/>
  <c r="AE442" i="1"/>
  <c r="AE506" i="1"/>
  <c r="AE522" i="1"/>
  <c r="AE538" i="1"/>
  <c r="AE554" i="1"/>
  <c r="AE570" i="1"/>
  <c r="AE586" i="1"/>
  <c r="AE602" i="1"/>
  <c r="AE637" i="1"/>
  <c r="AE685" i="1"/>
  <c r="AE781" i="1"/>
  <c r="AE797" i="1"/>
  <c r="AE813" i="1"/>
  <c r="AE829" i="1"/>
  <c r="AE845" i="1"/>
  <c r="AE861" i="1"/>
  <c r="AE877" i="1"/>
  <c r="AE893" i="1"/>
  <c r="AE830" i="1"/>
  <c r="AE846" i="1"/>
  <c r="AE862" i="1"/>
  <c r="AE878" i="1"/>
  <c r="AE622" i="1"/>
  <c r="AE662" i="1"/>
  <c r="AE670" i="1"/>
  <c r="AE678" i="1"/>
  <c r="AE686" i="1"/>
  <c r="AE702" i="1"/>
  <c r="AE718" i="1"/>
  <c r="AE734" i="1"/>
  <c r="AE750" i="1"/>
  <c r="AE790" i="1"/>
  <c r="AE798" i="1"/>
  <c r="AE806" i="1"/>
  <c r="AE814" i="1"/>
  <c r="AE822" i="1"/>
  <c r="AE838" i="1"/>
  <c r="AE854" i="1"/>
  <c r="AE870" i="1"/>
  <c r="AE923" i="1"/>
  <c r="AE938" i="1"/>
  <c r="AE954" i="1"/>
  <c r="AE970" i="1"/>
  <c r="AE986" i="1"/>
  <c r="AE1002" i="1"/>
  <c r="AE1034" i="1"/>
  <c r="AE1050" i="1"/>
  <c r="AE1066" i="1"/>
  <c r="AE736" i="1"/>
  <c r="AE752" i="1"/>
  <c r="AE768" i="1"/>
  <c r="AE784" i="1"/>
  <c r="AE914" i="1"/>
  <c r="AE624" i="1"/>
  <c r="AE632" i="1"/>
  <c r="AE640" i="1"/>
  <c r="AE648" i="1"/>
  <c r="AE656" i="1"/>
  <c r="AE664" i="1"/>
  <c r="AE672" i="1"/>
  <c r="AE680" i="1"/>
  <c r="AE688" i="1"/>
  <c r="AE696" i="1"/>
  <c r="AE776" i="1"/>
  <c r="AE792" i="1"/>
  <c r="AE800" i="1"/>
  <c r="AE808" i="1"/>
  <c r="AE816" i="1"/>
  <c r="AE824" i="1"/>
  <c r="AE864" i="1"/>
  <c r="AE872" i="1"/>
  <c r="AE880" i="1"/>
  <c r="AE896" i="1"/>
  <c r="AE904" i="1"/>
  <c r="AE1332" i="1"/>
  <c r="AE926" i="1"/>
  <c r="AE957" i="1"/>
  <c r="AE973" i="1"/>
  <c r="AE1053" i="1"/>
  <c r="AE1069" i="1"/>
  <c r="AE625" i="1"/>
  <c r="AE633" i="1"/>
  <c r="AE641" i="1"/>
  <c r="AE649" i="1"/>
  <c r="AE657" i="1"/>
  <c r="AE665" i="1"/>
  <c r="AE673" i="1"/>
  <c r="AE915" i="1"/>
  <c r="AE745" i="1"/>
  <c r="AE761" i="1"/>
  <c r="AE927" i="1"/>
  <c r="AE975" i="1"/>
  <c r="AE991" i="1"/>
  <c r="AE1007" i="1"/>
  <c r="AE1023" i="1"/>
  <c r="AE1039" i="1"/>
  <c r="AE1055" i="1"/>
  <c r="AE1071" i="1"/>
  <c r="AE1102" i="1"/>
  <c r="AE918" i="1"/>
  <c r="AE1134" i="1"/>
  <c r="AE627" i="1"/>
  <c r="AE675" i="1"/>
  <c r="AE683" i="1"/>
  <c r="AE691" i="1"/>
  <c r="AE723" i="1"/>
  <c r="AE739" i="1"/>
  <c r="AE755" i="1"/>
  <c r="AE835" i="1"/>
  <c r="AE635" i="1"/>
  <c r="AE643" i="1"/>
  <c r="AE651" i="1"/>
  <c r="AE659" i="1"/>
  <c r="AE667" i="1"/>
  <c r="AE699" i="1"/>
  <c r="AE707" i="1"/>
  <c r="AE715" i="1"/>
  <c r="AE763" i="1"/>
  <c r="AE771" i="1"/>
  <c r="AE779" i="1"/>
  <c r="AE787" i="1"/>
  <c r="AE795" i="1"/>
  <c r="AE803" i="1"/>
  <c r="AE811" i="1"/>
  <c r="AE819" i="1"/>
  <c r="AE827" i="1"/>
  <c r="AE843" i="1"/>
  <c r="AE883" i="1"/>
  <c r="AE891" i="1"/>
  <c r="AE899" i="1"/>
  <c r="AE907" i="1"/>
  <c r="AE930" i="1"/>
  <c r="AE1262" i="1"/>
  <c r="AE910" i="1"/>
  <c r="AE1108" i="1"/>
  <c r="AE1013" i="1"/>
  <c r="AE1029" i="1"/>
  <c r="AE1045" i="1"/>
  <c r="AE1061" i="1"/>
  <c r="AE1326" i="1"/>
  <c r="AE983" i="1"/>
  <c r="AE999" i="1"/>
  <c r="AE1015" i="1"/>
  <c r="AE1031" i="1"/>
  <c r="AE1047" i="1"/>
  <c r="AE1063" i="1"/>
  <c r="AE1079" i="1"/>
  <c r="AE1172" i="1"/>
  <c r="AE989" i="1"/>
  <c r="AE1005" i="1"/>
  <c r="AE1021" i="1"/>
  <c r="AE1037" i="1"/>
  <c r="AE1087" i="1"/>
  <c r="AE1151" i="1"/>
  <c r="AE1183" i="1"/>
  <c r="AE1215" i="1"/>
  <c r="AE1415" i="1"/>
  <c r="AE1460" i="1"/>
  <c r="AE1247" i="1"/>
  <c r="AE1279" i="1"/>
  <c r="AE1311" i="1"/>
  <c r="AE1322" i="1"/>
  <c r="AE1343" i="1"/>
  <c r="AE1098" i="1"/>
  <c r="AE1130" i="1"/>
  <c r="AE1258" i="1"/>
  <c r="AE1290" i="1"/>
  <c r="AE1509" i="1"/>
  <c r="AE1356" i="1"/>
  <c r="AE1493" i="1"/>
  <c r="AE1637" i="1"/>
  <c r="AE1099" i="1"/>
  <c r="AE1131" i="1"/>
  <c r="AE1163" i="1"/>
  <c r="AE1195" i="1"/>
  <c r="AE1227" i="1"/>
  <c r="AE1259" i="1"/>
  <c r="AE1323" i="1"/>
  <c r="AE1100" i="1"/>
  <c r="AE1111" i="1"/>
  <c r="AE1132" i="1"/>
  <c r="AE1143" i="1"/>
  <c r="AE1164" i="1"/>
  <c r="AE1175" i="1"/>
  <c r="AE1196" i="1"/>
  <c r="AE1207" i="1"/>
  <c r="AE1228" i="1"/>
  <c r="AE1239" i="1"/>
  <c r="AE1324" i="1"/>
  <c r="AE1335" i="1"/>
  <c r="AE1358" i="1"/>
  <c r="AE1186" i="1"/>
  <c r="AE1218" i="1"/>
  <c r="AE1282" i="1"/>
  <c r="AE920" i="1"/>
  <c r="AE936" i="1"/>
  <c r="AE984" i="1"/>
  <c r="AE1090" i="1"/>
  <c r="AE1250" i="1"/>
  <c r="AE1314" i="1"/>
  <c r="AE1346" i="1"/>
  <c r="AE1359" i="1"/>
  <c r="AE1374" i="1"/>
  <c r="AE1404" i="1"/>
  <c r="AE912" i="1"/>
  <c r="AE1000" i="1"/>
  <c r="AE1008" i="1"/>
  <c r="AE1016" i="1"/>
  <c r="AE1024" i="1"/>
  <c r="AE1032" i="1"/>
  <c r="AE1040" i="1"/>
  <c r="AE1048" i="1"/>
  <c r="AE1056" i="1"/>
  <c r="AE1064" i="1"/>
  <c r="AE1560" i="1"/>
  <c r="AE928" i="1"/>
  <c r="AE944" i="1"/>
  <c r="AE960" i="1"/>
  <c r="AE976" i="1"/>
  <c r="AE992" i="1"/>
  <c r="AE1072" i="1"/>
  <c r="AE1390" i="1"/>
  <c r="AE1420" i="1"/>
  <c r="AE1656" i="1"/>
  <c r="AE1436" i="1"/>
  <c r="AE1391" i="1"/>
  <c r="AE1156" i="1"/>
  <c r="AE1316" i="1"/>
  <c r="AE1348" i="1"/>
  <c r="AE1263" i="1"/>
  <c r="AE1295" i="1"/>
  <c r="AE1407" i="1"/>
  <c r="AE1422" i="1"/>
  <c r="AE1452" i="1"/>
  <c r="AE1082" i="1"/>
  <c r="AE1103" i="1"/>
  <c r="AE1114" i="1"/>
  <c r="AE1135" i="1"/>
  <c r="AE1146" i="1"/>
  <c r="AE1231" i="1"/>
  <c r="AE1327" i="1"/>
  <c r="AE946" i="1"/>
  <c r="AE962" i="1"/>
  <c r="AE978" i="1"/>
  <c r="AE994" i="1"/>
  <c r="AE1058" i="1"/>
  <c r="AE1074" i="1"/>
  <c r="AE1178" i="1"/>
  <c r="AE1210" i="1"/>
  <c r="AE1242" i="1"/>
  <c r="AE1274" i="1"/>
  <c r="AE1306" i="1"/>
  <c r="AE1338" i="1"/>
  <c r="AE1423" i="1"/>
  <c r="AE1438" i="1"/>
  <c r="AE1517" i="1"/>
  <c r="AE1364" i="1"/>
  <c r="AE1439" i="1"/>
  <c r="AE1454" i="1"/>
  <c r="AE1211" i="1"/>
  <c r="AE963" i="1"/>
  <c r="AE1011" i="1"/>
  <c r="AE1027" i="1"/>
  <c r="AE1179" i="1"/>
  <c r="AE1339" i="1"/>
  <c r="AE1380" i="1"/>
  <c r="AE1455" i="1"/>
  <c r="AE1597" i="1"/>
  <c r="AE1613" i="1"/>
  <c r="AE1629" i="1"/>
  <c r="AE931" i="1"/>
  <c r="AE939" i="1"/>
  <c r="AE947" i="1"/>
  <c r="AE1127" i="1"/>
  <c r="AE1148" i="1"/>
  <c r="AE1223" i="1"/>
  <c r="AE955" i="1"/>
  <c r="AE971" i="1"/>
  <c r="AE1051" i="1"/>
  <c r="AE1067" i="1"/>
  <c r="AE1084" i="1"/>
  <c r="AE1095" i="1"/>
  <c r="AE1116" i="1"/>
  <c r="AE1159" i="1"/>
  <c r="AE1180" i="1"/>
  <c r="AE1191" i="1"/>
  <c r="AE1212" i="1"/>
  <c r="AE1308" i="1"/>
  <c r="AE1319" i="1"/>
  <c r="AE1340" i="1"/>
  <c r="AE1351" i="1"/>
  <c r="AE1106" i="1"/>
  <c r="AE1138" i="1"/>
  <c r="AE1170" i="1"/>
  <c r="AE1202" i="1"/>
  <c r="AE1234" i="1"/>
  <c r="AE1266" i="1"/>
  <c r="AE1298" i="1"/>
  <c r="AE1330" i="1"/>
  <c r="AE1367" i="1"/>
  <c r="AE1412" i="1"/>
  <c r="AE1428" i="1"/>
  <c r="AE1648" i="1"/>
  <c r="AE933" i="1"/>
  <c r="AE949" i="1"/>
  <c r="AE965" i="1"/>
  <c r="AE981" i="1"/>
  <c r="AE997" i="1"/>
  <c r="AE1601" i="1"/>
  <c r="AE1508" i="1"/>
  <c r="AE1645" i="1"/>
  <c r="AE1776" i="1"/>
  <c r="AE1707" i="1"/>
  <c r="AE1378" i="1"/>
  <c r="AE1386" i="1"/>
  <c r="AE1394" i="1"/>
  <c r="AE1434" i="1"/>
  <c r="AE1354" i="1"/>
  <c r="AE1362" i="1"/>
  <c r="AE1370" i="1"/>
  <c r="AE1402" i="1"/>
  <c r="AE1410" i="1"/>
  <c r="AE1418" i="1"/>
  <c r="AE1426" i="1"/>
  <c r="AE1442" i="1"/>
  <c r="AE1458" i="1"/>
  <c r="AE1582" i="1"/>
  <c r="AE1646" i="1"/>
  <c r="AE1467" i="1"/>
  <c r="AE1541" i="1"/>
  <c r="AE1625" i="1"/>
  <c r="AE1667" i="1"/>
  <c r="AE1387" i="1"/>
  <c r="AE1542" i="1"/>
  <c r="AE1749" i="1"/>
  <c r="AE1765" i="1"/>
  <c r="AE1532" i="1"/>
  <c r="AE1563" i="1"/>
  <c r="AE1688" i="1"/>
  <c r="AE1124" i="1"/>
  <c r="AE1140" i="1"/>
  <c r="AE1188" i="1"/>
  <c r="AE1204" i="1"/>
  <c r="AE1220" i="1"/>
  <c r="AE1236" i="1"/>
  <c r="AE1252" i="1"/>
  <c r="AE1268" i="1"/>
  <c r="AE1284" i="1"/>
  <c r="AE1300" i="1"/>
  <c r="AE1444" i="1"/>
  <c r="AE1521" i="1"/>
  <c r="AE1533" i="1"/>
  <c r="AE1584" i="1"/>
  <c r="AE1699" i="1"/>
  <c r="AE1564" i="1"/>
  <c r="AE1574" i="1"/>
  <c r="AE1659" i="1"/>
  <c r="AE1617" i="1"/>
  <c r="AE1669" i="1"/>
  <c r="AE1149" i="1"/>
  <c r="AE1157" i="1"/>
  <c r="AE1165" i="1"/>
  <c r="AE1173" i="1"/>
  <c r="AE1197" i="1"/>
  <c r="AE1205" i="1"/>
  <c r="AE1245" i="1"/>
  <c r="AE1253" i="1"/>
  <c r="AE1261" i="1"/>
  <c r="AE1269" i="1"/>
  <c r="AE1373" i="1"/>
  <c r="AE1381" i="1"/>
  <c r="AE1389" i="1"/>
  <c r="AE1397" i="1"/>
  <c r="AE1405" i="1"/>
  <c r="AE1413" i="1"/>
  <c r="AE1421" i="1"/>
  <c r="AE1429" i="1"/>
  <c r="AE1437" i="1"/>
  <c r="AE1445" i="1"/>
  <c r="AE1752" i="1"/>
  <c r="AE1085" i="1"/>
  <c r="AE1093" i="1"/>
  <c r="AE1101" i="1"/>
  <c r="AE1109" i="1"/>
  <c r="AE1117" i="1"/>
  <c r="AE1125" i="1"/>
  <c r="AE1133" i="1"/>
  <c r="AE1141" i="1"/>
  <c r="AE1181" i="1"/>
  <c r="AE1189" i="1"/>
  <c r="AE1213" i="1"/>
  <c r="AE1229" i="1"/>
  <c r="AE1237" i="1"/>
  <c r="AE1309" i="1"/>
  <c r="AE1317" i="1"/>
  <c r="AE1325" i="1"/>
  <c r="AE1333" i="1"/>
  <c r="AE1341" i="1"/>
  <c r="AE1349" i="1"/>
  <c r="AE1365" i="1"/>
  <c r="AE1453" i="1"/>
  <c r="AE1461" i="1"/>
  <c r="AE1566" i="1"/>
  <c r="AE1606" i="1"/>
  <c r="AE1680" i="1"/>
  <c r="AE1768" i="1"/>
  <c r="AE1587" i="1"/>
  <c r="AE1651" i="1"/>
  <c r="AE1661" i="1"/>
  <c r="AE1702" i="1"/>
  <c r="AE1536" i="1"/>
  <c r="AE1556" i="1"/>
  <c r="AE1945" i="1"/>
  <c r="AE1598" i="1"/>
  <c r="AE1630" i="1"/>
  <c r="AE1383" i="1"/>
  <c r="AE1399" i="1"/>
  <c r="AE1431" i="1"/>
  <c r="AE1447" i="1"/>
  <c r="AE1463" i="1"/>
  <c r="AE1609" i="1"/>
  <c r="AE1672" i="1"/>
  <c r="AE1547" i="1"/>
  <c r="AE1505" i="1"/>
  <c r="AE1516" i="1"/>
  <c r="AE1641" i="1"/>
  <c r="AE1568" i="1"/>
  <c r="AE1621" i="1"/>
  <c r="AE1693" i="1"/>
  <c r="AE1704" i="1"/>
  <c r="AE1757" i="1"/>
  <c r="AE1852" i="1"/>
  <c r="AE1088" i="1"/>
  <c r="AE1104" i="1"/>
  <c r="AE1136" i="1"/>
  <c r="AE1200" i="1"/>
  <c r="AE1216" i="1"/>
  <c r="AE1232" i="1"/>
  <c r="AE1248" i="1"/>
  <c r="AE1475" i="1"/>
  <c r="AE1548" i="1"/>
  <c r="AE1120" i="1"/>
  <c r="AE1264" i="1"/>
  <c r="AE1280" i="1"/>
  <c r="AE1296" i="1"/>
  <c r="AE1312" i="1"/>
  <c r="AE1643" i="1"/>
  <c r="AE1486" i="1"/>
  <c r="AE1528" i="1"/>
  <c r="AE1549" i="1"/>
  <c r="AE1590" i="1"/>
  <c r="AE1622" i="1"/>
  <c r="AE1558" i="1"/>
  <c r="AE1713" i="1"/>
  <c r="AE1868" i="1"/>
  <c r="AE2023" i="1"/>
  <c r="AE2162" i="1"/>
  <c r="AE2543" i="1"/>
  <c r="AE1785" i="1"/>
  <c r="AE1884" i="1"/>
  <c r="AE1961" i="1"/>
  <c r="AE1977" i="1"/>
  <c r="AE2132" i="1"/>
  <c r="AE2163" i="1"/>
  <c r="AE1729" i="1"/>
  <c r="AE1737" i="1"/>
  <c r="AE1962" i="1"/>
  <c r="AE1900" i="1"/>
  <c r="AE1786" i="1"/>
  <c r="AE2026" i="1"/>
  <c r="AE2041" i="1"/>
  <c r="AE2402" i="1"/>
  <c r="AE1761" i="1"/>
  <c r="AE1887" i="1"/>
  <c r="AE2119" i="1"/>
  <c r="AE1715" i="1"/>
  <c r="AE1964" i="1"/>
  <c r="AE2057" i="1"/>
  <c r="AE2135" i="1"/>
  <c r="AE1723" i="1"/>
  <c r="AE1777" i="1"/>
  <c r="AE1996" i="1"/>
  <c r="AE1731" i="1"/>
  <c r="AE1797" i="1"/>
  <c r="AE1903" i="1"/>
  <c r="AE2012" i="1"/>
  <c r="AE2105" i="1"/>
  <c r="AE2151" i="1"/>
  <c r="AE1483" i="1"/>
  <c r="AE1537" i="1"/>
  <c r="AE1638" i="1"/>
  <c r="AE2028" i="1"/>
  <c r="AE1491" i="1"/>
  <c r="AE1739" i="1"/>
  <c r="AE1747" i="1"/>
  <c r="AE1920" i="1"/>
  <c r="AE2029" i="1"/>
  <c r="AE2121" i="1"/>
  <c r="AE1553" i="1"/>
  <c r="AE1499" i="1"/>
  <c r="AE1507" i="1"/>
  <c r="AE1569" i="1"/>
  <c r="AE1654" i="1"/>
  <c r="AE1678" i="1"/>
  <c r="AE1755" i="1"/>
  <c r="AE1763" i="1"/>
  <c r="AE1828" i="1"/>
  <c r="AE1890" i="1"/>
  <c r="AE1967" i="1"/>
  <c r="AE1476" i="1"/>
  <c r="AE1515" i="1"/>
  <c r="AE1670" i="1"/>
  <c r="AE1771" i="1"/>
  <c r="AE1789" i="1"/>
  <c r="AE1844" i="1"/>
  <c r="AE1906" i="1"/>
  <c r="AE1983" i="1"/>
  <c r="AE1999" i="1"/>
  <c r="AE2092" i="1"/>
  <c r="AE1484" i="1"/>
  <c r="AE1585" i="1"/>
  <c r="AE1694" i="1"/>
  <c r="AE1779" i="1"/>
  <c r="AE2015" i="1"/>
  <c r="AE2031" i="1"/>
  <c r="AE1492" i="1"/>
  <c r="AE1686" i="1"/>
  <c r="AE1799" i="1"/>
  <c r="AE1860" i="1"/>
  <c r="AE1876" i="1"/>
  <c r="AE2108" i="1"/>
  <c r="AE2154" i="1"/>
  <c r="AE2170" i="1"/>
  <c r="AE1500" i="1"/>
  <c r="AE1531" i="1"/>
  <c r="AE1593" i="1"/>
  <c r="AE1710" i="1"/>
  <c r="AE1892" i="1"/>
  <c r="AE2002" i="1"/>
  <c r="AE1726" i="1"/>
  <c r="AE2018" i="1"/>
  <c r="AE1742" i="1"/>
  <c r="AE1781" i="1"/>
  <c r="AE1863" i="1"/>
  <c r="AE1879" i="1"/>
  <c r="AE1956" i="1"/>
  <c r="AE1972" i="1"/>
  <c r="AE2050" i="1"/>
  <c r="AE2143" i="1"/>
  <c r="AE1750" i="1"/>
  <c r="AE1758" i="1"/>
  <c r="AE1802" i="1"/>
  <c r="AE1834" i="1"/>
  <c r="AE1849" i="1"/>
  <c r="AE1895" i="1"/>
  <c r="AE1988" i="1"/>
  <c r="AE2004" i="1"/>
  <c r="AE1603" i="1"/>
  <c r="AE1657" i="1"/>
  <c r="AE1774" i="1"/>
  <c r="AE1911" i="1"/>
  <c r="AE1927" i="1"/>
  <c r="AE1580" i="1"/>
  <c r="AE1665" i="1"/>
  <c r="AE1673" i="1"/>
  <c r="AE1865" i="1"/>
  <c r="AE1928" i="1"/>
  <c r="AE2020" i="1"/>
  <c r="AE2159" i="1"/>
  <c r="AE1510" i="1"/>
  <c r="AE2021" i="1"/>
  <c r="AE1526" i="1"/>
  <c r="AE1534" i="1"/>
  <c r="AE1681" i="1"/>
  <c r="AE1689" i="1"/>
  <c r="AE1783" i="1"/>
  <c r="AE1550" i="1"/>
  <c r="AE1627" i="1"/>
  <c r="AE1635" i="1"/>
  <c r="AE1794" i="1"/>
  <c r="AE1930" i="1"/>
  <c r="AE1991" i="1"/>
  <c r="AE2007" i="1"/>
  <c r="AE2084" i="1"/>
  <c r="AE2146" i="1"/>
  <c r="AE2130" i="1"/>
  <c r="AE2248" i="1"/>
  <c r="AE2264" i="1"/>
  <c r="AE2325" i="1"/>
  <c r="AE2418" i="1"/>
  <c r="AE1882" i="1"/>
  <c r="AE1851" i="1"/>
  <c r="AE1944" i="1"/>
  <c r="AE2037" i="1"/>
  <c r="AE2045" i="1"/>
  <c r="AE2107" i="1"/>
  <c r="AE2373" i="1"/>
  <c r="AE1805" i="1"/>
  <c r="AE1898" i="1"/>
  <c r="AE1952" i="1"/>
  <c r="AE1960" i="1"/>
  <c r="AE2053" i="1"/>
  <c r="AE2061" i="1"/>
  <c r="AE2174" i="1"/>
  <c r="AE2218" i="1"/>
  <c r="AE2450" i="1"/>
  <c r="AE2123" i="1"/>
  <c r="AE1813" i="1"/>
  <c r="AE1821" i="1"/>
  <c r="AE2069" i="1"/>
  <c r="AE2077" i="1"/>
  <c r="AE2175" i="1"/>
  <c r="AE2234" i="1"/>
  <c r="AE2546" i="1"/>
  <c r="AE2562" i="1"/>
  <c r="AE1883" i="1"/>
  <c r="AE1922" i="1"/>
  <c r="AE1976" i="1"/>
  <c r="AE2738" i="1"/>
  <c r="AE2754" i="1"/>
  <c r="AE1984" i="1"/>
  <c r="AE2189" i="1"/>
  <c r="AE2282" i="1"/>
  <c r="AE1829" i="1"/>
  <c r="AE1837" i="1"/>
  <c r="AE1899" i="1"/>
  <c r="AE1938" i="1"/>
  <c r="AE1992" i="1"/>
  <c r="AE2085" i="1"/>
  <c r="AE1853" i="1"/>
  <c r="AE1946" i="1"/>
  <c r="AE2000" i="1"/>
  <c r="AE2008" i="1"/>
  <c r="AE2101" i="1"/>
  <c r="AE2109" i="1"/>
  <c r="AE2166" i="1"/>
  <c r="AE2221" i="1"/>
  <c r="AE2298" i="1"/>
  <c r="AE1845" i="1"/>
  <c r="AE1954" i="1"/>
  <c r="AE2016" i="1"/>
  <c r="AE2237" i="1"/>
  <c r="AE2253" i="1"/>
  <c r="AE1931" i="1"/>
  <c r="AE2191" i="1"/>
  <c r="AE2330" i="1"/>
  <c r="AE2346" i="1"/>
  <c r="AE1861" i="1"/>
  <c r="AE1869" i="1"/>
  <c r="AE1970" i="1"/>
  <c r="AE2024" i="1"/>
  <c r="AE2032" i="1"/>
  <c r="AE2117" i="1"/>
  <c r="AE2125" i="1"/>
  <c r="AE2207" i="1"/>
  <c r="AE1877" i="1"/>
  <c r="AE1885" i="1"/>
  <c r="AE2178" i="1"/>
  <c r="AE2208" i="1"/>
  <c r="AE2254" i="1"/>
  <c r="AE2347" i="1"/>
  <c r="AE1784" i="1"/>
  <c r="AE1792" i="1"/>
  <c r="AE1947" i="1"/>
  <c r="AE1986" i="1"/>
  <c r="AE2048" i="1"/>
  <c r="AE2133" i="1"/>
  <c r="AE2141" i="1"/>
  <c r="AE2158" i="1"/>
  <c r="AE1800" i="1"/>
  <c r="AE1893" i="1"/>
  <c r="AE1901" i="1"/>
  <c r="AE1994" i="1"/>
  <c r="AE2239" i="1"/>
  <c r="AE2394" i="1"/>
  <c r="AE2551" i="1"/>
  <c r="AE1808" i="1"/>
  <c r="AE1963" i="1"/>
  <c r="AE2149" i="1"/>
  <c r="AE2271" i="1"/>
  <c r="AE2317" i="1"/>
  <c r="AE2410" i="1"/>
  <c r="AE2426" i="1"/>
  <c r="AE1909" i="1"/>
  <c r="AE1917" i="1"/>
  <c r="AE2010" i="1"/>
  <c r="AE2064" i="1"/>
  <c r="AE2179" i="1"/>
  <c r="AE2272" i="1"/>
  <c r="AE2333" i="1"/>
  <c r="AE2349" i="1"/>
  <c r="AE2365" i="1"/>
  <c r="AE1816" i="1"/>
  <c r="AE1824" i="1"/>
  <c r="AE1979" i="1"/>
  <c r="AE2080" i="1"/>
  <c r="AE2194" i="1"/>
  <c r="AE2210" i="1"/>
  <c r="AE2287" i="1"/>
  <c r="AE2442" i="1"/>
  <c r="AE2458" i="1"/>
  <c r="AE1832" i="1"/>
  <c r="AE1840" i="1"/>
  <c r="AE1925" i="1"/>
  <c r="AE1933" i="1"/>
  <c r="AE1995" i="1"/>
  <c r="AE1941" i="1"/>
  <c r="AE1949" i="1"/>
  <c r="AE2042" i="1"/>
  <c r="AE2096" i="1"/>
  <c r="AE2104" i="1"/>
  <c r="AE2242" i="1"/>
  <c r="AE2397" i="1"/>
  <c r="AE2011" i="1"/>
  <c r="AE2112" i="1"/>
  <c r="AE1856" i="1"/>
  <c r="AE1957" i="1"/>
  <c r="AE2120" i="1"/>
  <c r="AE2213" i="1"/>
  <c r="AE1810" i="1"/>
  <c r="AE1864" i="1"/>
  <c r="AE1965" i="1"/>
  <c r="AE2027" i="1"/>
  <c r="AE2066" i="1"/>
  <c r="AE2290" i="1"/>
  <c r="AE2383" i="1"/>
  <c r="AE2445" i="1"/>
  <c r="AE2508" i="1"/>
  <c r="AE1818" i="1"/>
  <c r="AE1872" i="1"/>
  <c r="AE1880" i="1"/>
  <c r="AE2074" i="1"/>
  <c r="AE2306" i="1"/>
  <c r="AE2399" i="1"/>
  <c r="AE1787" i="1"/>
  <c r="AE1826" i="1"/>
  <c r="AE1888" i="1"/>
  <c r="AE1973" i="1"/>
  <c r="AE1981" i="1"/>
  <c r="AE2043" i="1"/>
  <c r="AE2082" i="1"/>
  <c r="AE2136" i="1"/>
  <c r="AE2415" i="1"/>
  <c r="AE2431" i="1"/>
  <c r="AE2090" i="1"/>
  <c r="AE2338" i="1"/>
  <c r="AE2354" i="1"/>
  <c r="AE2416" i="1"/>
  <c r="AE1803" i="1"/>
  <c r="AE1842" i="1"/>
  <c r="AE1896" i="1"/>
  <c r="AE1989" i="1"/>
  <c r="AE1997" i="1"/>
  <c r="AE2098" i="1"/>
  <c r="AE2447" i="1"/>
  <c r="AE1850" i="1"/>
  <c r="AE2005" i="1"/>
  <c r="AE2013" i="1"/>
  <c r="AE2106" i="1"/>
  <c r="AE2355" i="1"/>
  <c r="AE1819" i="1"/>
  <c r="AE1858" i="1"/>
  <c r="AE1912" i="1"/>
  <c r="AE2114" i="1"/>
  <c r="AE2177" i="1"/>
  <c r="AE2262" i="1"/>
  <c r="AE2371" i="1"/>
  <c r="AE2499" i="1"/>
  <c r="AE2278" i="1"/>
  <c r="AE2540" i="1"/>
  <c r="AE2709" i="1"/>
  <c r="AE2224" i="1"/>
  <c r="AE2193" i="1"/>
  <c r="AE2232" i="1"/>
  <c r="AE2286" i="1"/>
  <c r="AE2294" i="1"/>
  <c r="AE2379" i="1"/>
  <c r="AE2387" i="1"/>
  <c r="AE2469" i="1"/>
  <c r="AE2586" i="1"/>
  <c r="AE2663" i="1"/>
  <c r="AE2802" i="1"/>
  <c r="AE2240" i="1"/>
  <c r="AE2395" i="1"/>
  <c r="AE2403" i="1"/>
  <c r="AE2479" i="1"/>
  <c r="AE2679" i="1"/>
  <c r="AE2757" i="1"/>
  <c r="AE2818" i="1"/>
  <c r="AE2834" i="1"/>
  <c r="AE2945" i="1"/>
  <c r="AE2961" i="1"/>
  <c r="AE3089" i="1"/>
  <c r="AE3105" i="1"/>
  <c r="AE2209" i="1"/>
  <c r="AE2531" i="1"/>
  <c r="AE2572" i="1"/>
  <c r="AE2602" i="1"/>
  <c r="AE2225" i="1"/>
  <c r="AE2256" i="1"/>
  <c r="AE2310" i="1"/>
  <c r="AE2318" i="1"/>
  <c r="AE2411" i="1"/>
  <c r="AE2419" i="1"/>
  <c r="AE2501" i="1"/>
  <c r="AE2427" i="1"/>
  <c r="AE2512" i="1"/>
  <c r="AE2634" i="1"/>
  <c r="AE2727" i="1"/>
  <c r="AE2171" i="1"/>
  <c r="AE2241" i="1"/>
  <c r="AE2435" i="1"/>
  <c r="AE2195" i="1"/>
  <c r="AE2257" i="1"/>
  <c r="AE2288" i="1"/>
  <c r="AE2342" i="1"/>
  <c r="AE2350" i="1"/>
  <c r="AE2443" i="1"/>
  <c r="AE2451" i="1"/>
  <c r="AE2461" i="1"/>
  <c r="AE2187" i="1"/>
  <c r="AE2296" i="1"/>
  <c r="AE2358" i="1"/>
  <c r="AE2471" i="1"/>
  <c r="AE2523" i="1"/>
  <c r="AE2714" i="1"/>
  <c r="AE2203" i="1"/>
  <c r="AE2211" i="1"/>
  <c r="AE2273" i="1"/>
  <c r="AE2304" i="1"/>
  <c r="AE2312" i="1"/>
  <c r="AE2366" i="1"/>
  <c r="AE2374" i="1"/>
  <c r="AE2482" i="1"/>
  <c r="AE2575" i="1"/>
  <c r="AE2807" i="1"/>
  <c r="AE2320" i="1"/>
  <c r="AE2382" i="1"/>
  <c r="AE2493" i="1"/>
  <c r="AE2591" i="1"/>
  <c r="AE2823" i="1"/>
  <c r="AE2903" i="1"/>
  <c r="AE2219" i="1"/>
  <c r="AE2227" i="1"/>
  <c r="AE2328" i="1"/>
  <c r="AE2235" i="1"/>
  <c r="AE2243" i="1"/>
  <c r="AE2336" i="1"/>
  <c r="AE2390" i="1"/>
  <c r="AE2398" i="1"/>
  <c r="AE2504" i="1"/>
  <c r="AE2608" i="1"/>
  <c r="AE2670" i="1"/>
  <c r="AE2700" i="1"/>
  <c r="AE2344" i="1"/>
  <c r="AE2463" i="1"/>
  <c r="AE2525" i="1"/>
  <c r="AE2555" i="1"/>
  <c r="AE2251" i="1"/>
  <c r="AE2259" i="1"/>
  <c r="AE2474" i="1"/>
  <c r="AE2701" i="1"/>
  <c r="AE2360" i="1"/>
  <c r="AE2414" i="1"/>
  <c r="AE2764" i="1"/>
  <c r="AE2937" i="1"/>
  <c r="AE2953" i="1"/>
  <c r="AE2267" i="1"/>
  <c r="AE2368" i="1"/>
  <c r="AE2422" i="1"/>
  <c r="AE2430" i="1"/>
  <c r="AE2556" i="1"/>
  <c r="AE2275" i="1"/>
  <c r="AE2376" i="1"/>
  <c r="AE2610" i="1"/>
  <c r="AE2687" i="1"/>
  <c r="AE2780" i="1"/>
  <c r="AE2182" i="1"/>
  <c r="AE2190" i="1"/>
  <c r="AE2384" i="1"/>
  <c r="AE2438" i="1"/>
  <c r="AE2485" i="1"/>
  <c r="AE2626" i="1"/>
  <c r="AE2703" i="1"/>
  <c r="AE2198" i="1"/>
  <c r="AE2283" i="1"/>
  <c r="AE2291" i="1"/>
  <c r="AE2392" i="1"/>
  <c r="AE2446" i="1"/>
  <c r="AE2496" i="1"/>
  <c r="AE2796" i="1"/>
  <c r="AE2812" i="1"/>
  <c r="AE2206" i="1"/>
  <c r="AE2400" i="1"/>
  <c r="AE2455" i="1"/>
  <c r="AE2507" i="1"/>
  <c r="AE2517" i="1"/>
  <c r="AE2547" i="1"/>
  <c r="AE2828" i="1"/>
  <c r="AE2844" i="1"/>
  <c r="AE2860" i="1"/>
  <c r="AE2152" i="1"/>
  <c r="AE2214" i="1"/>
  <c r="AE2299" i="1"/>
  <c r="AE2307" i="1"/>
  <c r="AE2408" i="1"/>
  <c r="AE2466" i="1"/>
  <c r="AE2597" i="1"/>
  <c r="AE2168" i="1"/>
  <c r="AE2222" i="1"/>
  <c r="AE2690" i="1"/>
  <c r="AE2706" i="1"/>
  <c r="AE2176" i="1"/>
  <c r="AE2230" i="1"/>
  <c r="AE2238" i="1"/>
  <c r="AE2432" i="1"/>
  <c r="AE2528" i="1"/>
  <c r="AE2246" i="1"/>
  <c r="AE2331" i="1"/>
  <c r="AE2339" i="1"/>
  <c r="AE2440" i="1"/>
  <c r="AE2477" i="1"/>
  <c r="AE2498" i="1"/>
  <c r="AE2583" i="1"/>
  <c r="AE2192" i="1"/>
  <c r="AE2448" i="1"/>
  <c r="AE2488" i="1"/>
  <c r="AE2539" i="1"/>
  <c r="AE2831" i="1"/>
  <c r="AE2515" i="1"/>
  <c r="AE2600" i="1"/>
  <c r="AE2763" i="1"/>
  <c r="AE3121" i="1"/>
  <c r="AE2616" i="1"/>
  <c r="AE2624" i="1"/>
  <c r="AE2717" i="1"/>
  <c r="AE2771" i="1"/>
  <c r="AE2779" i="1"/>
  <c r="AE2863" i="1"/>
  <c r="AE2914" i="1"/>
  <c r="AE3028" i="1"/>
  <c r="AE2787" i="1"/>
  <c r="AE2853" i="1"/>
  <c r="AE2925" i="1"/>
  <c r="AE3137" i="1"/>
  <c r="AE2632" i="1"/>
  <c r="AE2640" i="1"/>
  <c r="AE2741" i="1"/>
  <c r="AE2795" i="1"/>
  <c r="AE2803" i="1"/>
  <c r="AE2811" i="1"/>
  <c r="AE2884" i="1"/>
  <c r="AE3092" i="1"/>
  <c r="AE3108" i="1"/>
  <c r="AE2648" i="1"/>
  <c r="AE2656" i="1"/>
  <c r="AE2895" i="1"/>
  <c r="AE2969" i="1"/>
  <c r="AE3124" i="1"/>
  <c r="AE2765" i="1"/>
  <c r="AE2819" i="1"/>
  <c r="AE2827" i="1"/>
  <c r="AE2664" i="1"/>
  <c r="AE2672" i="1"/>
  <c r="AE2773" i="1"/>
  <c r="AE2855" i="1"/>
  <c r="AE2865" i="1"/>
  <c r="AE2680" i="1"/>
  <c r="AE2688" i="1"/>
  <c r="AE2781" i="1"/>
  <c r="AE2835" i="1"/>
  <c r="AE2845" i="1"/>
  <c r="AE2906" i="1"/>
  <c r="AE2957" i="1"/>
  <c r="AE3001" i="1"/>
  <c r="AE2533" i="1"/>
  <c r="AE2789" i="1"/>
  <c r="AE2541" i="1"/>
  <c r="AE2797" i="1"/>
  <c r="AE2876" i="1"/>
  <c r="AE3095" i="1"/>
  <c r="AE2510" i="1"/>
  <c r="AE2856" i="1"/>
  <c r="AE3065" i="1"/>
  <c r="AE2526" i="1"/>
  <c r="AE2557" i="1"/>
  <c r="AE2611" i="1"/>
  <c r="AE2619" i="1"/>
  <c r="AE2813" i="1"/>
  <c r="AE2456" i="1"/>
  <c r="AE2464" i="1"/>
  <c r="AE2565" i="1"/>
  <c r="AE2821" i="1"/>
  <c r="AE2908" i="1"/>
  <c r="AE2938" i="1"/>
  <c r="AE2972" i="1"/>
  <c r="AE3004" i="1"/>
  <c r="AE3081" i="1"/>
  <c r="AE3097" i="1"/>
  <c r="AE2573" i="1"/>
  <c r="AE2829" i="1"/>
  <c r="AE2837" i="1"/>
  <c r="AE2857" i="1"/>
  <c r="AE2887" i="1"/>
  <c r="AE2898" i="1"/>
  <c r="AE2472" i="1"/>
  <c r="AE2480" i="1"/>
  <c r="AE2542" i="1"/>
  <c r="AE2581" i="1"/>
  <c r="AE2635" i="1"/>
  <c r="AE2643" i="1"/>
  <c r="AE2728" i="1"/>
  <c r="AE2589" i="1"/>
  <c r="AE2868" i="1"/>
  <c r="AE2752" i="1"/>
  <c r="AE3036" i="1"/>
  <c r="AE3129" i="1"/>
  <c r="AE2605" i="1"/>
  <c r="AE2613" i="1"/>
  <c r="AE2667" i="1"/>
  <c r="AE2760" i="1"/>
  <c r="AE2768" i="1"/>
  <c r="AE2849" i="1"/>
  <c r="AE2930" i="1"/>
  <c r="AE3100" i="1"/>
  <c r="AE2784" i="1"/>
  <c r="AE2879" i="1"/>
  <c r="AE2590" i="1"/>
  <c r="AE2629" i="1"/>
  <c r="AE2890" i="1"/>
  <c r="AE2941" i="1"/>
  <c r="AE3116" i="1"/>
  <c r="AE2606" i="1"/>
  <c r="AE2637" i="1"/>
  <c r="AE2691" i="1"/>
  <c r="AE2977" i="1"/>
  <c r="AE3132" i="1"/>
  <c r="AE2645" i="1"/>
  <c r="AE2699" i="1"/>
  <c r="AE2707" i="1"/>
  <c r="AE2792" i="1"/>
  <c r="AE2800" i="1"/>
  <c r="AE2901" i="1"/>
  <c r="AE2459" i="1"/>
  <c r="AE2622" i="1"/>
  <c r="AE2653" i="1"/>
  <c r="AE2715" i="1"/>
  <c r="AE2816" i="1"/>
  <c r="AE2840" i="1"/>
  <c r="AE3009" i="1"/>
  <c r="AE2467" i="1"/>
  <c r="AE2552" i="1"/>
  <c r="AE2560" i="1"/>
  <c r="AE2661" i="1"/>
  <c r="AE2475" i="1"/>
  <c r="AE2568" i="1"/>
  <c r="AE2576" i="1"/>
  <c r="AE2638" i="1"/>
  <c r="AE2669" i="1"/>
  <c r="AE2723" i="1"/>
  <c r="AE2832" i="1"/>
  <c r="AE2841" i="1"/>
  <c r="AE2677" i="1"/>
  <c r="AE2731" i="1"/>
  <c r="AE2739" i="1"/>
  <c r="AE2824" i="1"/>
  <c r="AE2871" i="1"/>
  <c r="AE2922" i="1"/>
  <c r="AE3073" i="1"/>
  <c r="AE2483" i="1"/>
  <c r="AE2491" i="1"/>
  <c r="AE2685" i="1"/>
  <c r="AE2584" i="1"/>
  <c r="AE2592" i="1"/>
  <c r="AE2654" i="1"/>
  <c r="AE2693" i="1"/>
  <c r="AE2747" i="1"/>
  <c r="AE2755" i="1"/>
  <c r="AE2980" i="1"/>
  <c r="AE2847" i="1"/>
  <c r="AE2909" i="1"/>
  <c r="AE2917" i="1"/>
  <c r="AE3002" i="1"/>
  <c r="AE3010" i="1"/>
  <c r="AE3103" i="1"/>
  <c r="AE3111" i="1"/>
  <c r="AE3153" i="1"/>
  <c r="AE3167" i="1"/>
  <c r="AE3181" i="1"/>
  <c r="AE3119" i="1"/>
  <c r="AE3196" i="1"/>
  <c r="AE3272" i="1"/>
  <c r="AE3227" i="1"/>
  <c r="AE3427" i="1"/>
  <c r="AE3127" i="1"/>
  <c r="AE3135" i="1"/>
  <c r="AE3154" i="1"/>
  <c r="AE3183" i="1"/>
  <c r="AE3197" i="1"/>
  <c r="AE3212" i="1"/>
  <c r="AE3143" i="1"/>
  <c r="AE3169" i="1"/>
  <c r="AE3213" i="1"/>
  <c r="AE3459" i="1"/>
  <c r="AE3475" i="1"/>
  <c r="AE2965" i="1"/>
  <c r="AE3066" i="1"/>
  <c r="AE3414" i="1"/>
  <c r="AE3074" i="1"/>
  <c r="AE3156" i="1"/>
  <c r="AE3170" i="1"/>
  <c r="AE3199" i="1"/>
  <c r="AE2919" i="1"/>
  <c r="AE3384" i="1"/>
  <c r="AE3446" i="1"/>
  <c r="AE2896" i="1"/>
  <c r="AE2927" i="1"/>
  <c r="AE2935" i="1"/>
  <c r="AE2997" i="1"/>
  <c r="AE3082" i="1"/>
  <c r="AE3090" i="1"/>
  <c r="AE3215" i="1"/>
  <c r="AE2943" i="1"/>
  <c r="AE3098" i="1"/>
  <c r="AE3106" i="1"/>
  <c r="AE3157" i="1"/>
  <c r="AE2842" i="1"/>
  <c r="AE2850" i="1"/>
  <c r="AE3186" i="1"/>
  <c r="AE3201" i="1"/>
  <c r="AE3416" i="1"/>
  <c r="AE2920" i="1"/>
  <c r="AE2951" i="1"/>
  <c r="AE3172" i="1"/>
  <c r="AE3448" i="1"/>
  <c r="AE2858" i="1"/>
  <c r="AE2866" i="1"/>
  <c r="AE2928" i="1"/>
  <c r="AE2959" i="1"/>
  <c r="AE3114" i="1"/>
  <c r="AE3122" i="1"/>
  <c r="AE3217" i="1"/>
  <c r="AE3371" i="1"/>
  <c r="AE2882" i="1"/>
  <c r="AE2967" i="1"/>
  <c r="AE2975" i="1"/>
  <c r="AE3029" i="1"/>
  <c r="AE3130" i="1"/>
  <c r="AE3173" i="1"/>
  <c r="AE3591" i="1"/>
  <c r="AE2874" i="1"/>
  <c r="AE3138" i="1"/>
  <c r="AE3159" i="1"/>
  <c r="AE3045" i="1"/>
  <c r="AE3146" i="1"/>
  <c r="AE3188" i="1"/>
  <c r="AE3403" i="1"/>
  <c r="AE2991" i="1"/>
  <c r="AE3435" i="1"/>
  <c r="AE3561" i="1"/>
  <c r="AE2968" i="1"/>
  <c r="AE2976" i="1"/>
  <c r="AE2999" i="1"/>
  <c r="AE3061" i="1"/>
  <c r="AE3175" i="1"/>
  <c r="AE3077" i="1"/>
  <c r="AE3235" i="1"/>
  <c r="AE3161" i="1"/>
  <c r="AE3220" i="1"/>
  <c r="AE3374" i="1"/>
  <c r="AE2992" i="1"/>
  <c r="AE3023" i="1"/>
  <c r="AE3162" i="1"/>
  <c r="AE3191" i="1"/>
  <c r="AE3283" i="1"/>
  <c r="AE3467" i="1"/>
  <c r="AE3000" i="1"/>
  <c r="AE3008" i="1"/>
  <c r="AE3031" i="1"/>
  <c r="AE3093" i="1"/>
  <c r="AE3148" i="1"/>
  <c r="AE3101" i="1"/>
  <c r="AE3149" i="1"/>
  <c r="AE3177" i="1"/>
  <c r="AE3207" i="1"/>
  <c r="AE3016" i="1"/>
  <c r="AE3109" i="1"/>
  <c r="AE2861" i="1"/>
  <c r="AE2869" i="1"/>
  <c r="AE3024" i="1"/>
  <c r="AE3055" i="1"/>
  <c r="AE3063" i="1"/>
  <c r="AE3117" i="1"/>
  <c r="AE3125" i="1"/>
  <c r="AE3238" i="1"/>
  <c r="AE3032" i="1"/>
  <c r="AE3040" i="1"/>
  <c r="AE3071" i="1"/>
  <c r="AE3164" i="1"/>
  <c r="AE3178" i="1"/>
  <c r="AE3193" i="1"/>
  <c r="AE3254" i="1"/>
  <c r="AE2877" i="1"/>
  <c r="AE3079" i="1"/>
  <c r="AE3133" i="1"/>
  <c r="AE3141" i="1"/>
  <c r="AE3255" i="1"/>
  <c r="AE3331" i="1"/>
  <c r="AE2885" i="1"/>
  <c r="AE3151" i="1"/>
  <c r="AE3165" i="1"/>
  <c r="AE3347" i="1"/>
  <c r="AE2839" i="1"/>
  <c r="AE2893" i="1"/>
  <c r="AE3087" i="1"/>
  <c r="AE3180" i="1"/>
  <c r="AE3194" i="1"/>
  <c r="AE3209" i="1"/>
  <c r="AE3286" i="1"/>
  <c r="AE3302" i="1"/>
  <c r="AE3363" i="1"/>
  <c r="AE3300" i="1"/>
  <c r="AE3436" i="1"/>
  <c r="AE3486" i="1"/>
  <c r="AE3622" i="1"/>
  <c r="AE3731" i="1"/>
  <c r="AE3905" i="1"/>
  <c r="AE3937" i="1"/>
  <c r="AE3233" i="1"/>
  <c r="AE3263" i="1"/>
  <c r="AE3361" i="1"/>
  <c r="AE3577" i="1"/>
  <c r="AE3241" i="1"/>
  <c r="AE3271" i="1"/>
  <c r="AE3316" i="1"/>
  <c r="AE3502" i="1"/>
  <c r="AE3593" i="1"/>
  <c r="AE3638" i="1"/>
  <c r="AE3226" i="1"/>
  <c r="AE3324" i="1"/>
  <c r="AE3369" i="1"/>
  <c r="AE3399" i="1"/>
  <c r="AE3874" i="1"/>
  <c r="AE3503" i="1"/>
  <c r="AE3518" i="1"/>
  <c r="AE3609" i="1"/>
  <c r="AE3701" i="1"/>
  <c r="AE3717" i="1"/>
  <c r="AE3875" i="1"/>
  <c r="AE3249" i="1"/>
  <c r="AE3279" i="1"/>
  <c r="AE3564" i="1"/>
  <c r="AE3655" i="1"/>
  <c r="AE3242" i="1"/>
  <c r="AE3332" i="1"/>
  <c r="AE3340" i="1"/>
  <c r="AE3489" i="1"/>
  <c r="AE3519" i="1"/>
  <c r="AE3580" i="1"/>
  <c r="AE3625" i="1"/>
  <c r="AE3257" i="1"/>
  <c r="AE3287" i="1"/>
  <c r="AE3596" i="1"/>
  <c r="AE3672" i="1"/>
  <c r="AE3781" i="1"/>
  <c r="AE3295" i="1"/>
  <c r="AE3393" i="1"/>
  <c r="AE3641" i="1"/>
  <c r="AE3550" i="1"/>
  <c r="AE3719" i="1"/>
  <c r="AE3861" i="1"/>
  <c r="AE3401" i="1"/>
  <c r="AE3491" i="1"/>
  <c r="AE3566" i="1"/>
  <c r="AE3612" i="1"/>
  <c r="AE3258" i="1"/>
  <c r="AE3273" i="1"/>
  <c r="AE3303" i="1"/>
  <c r="AE3348" i="1"/>
  <c r="AE3356" i="1"/>
  <c r="AE3567" i="1"/>
  <c r="AE3582" i="1"/>
  <c r="AE3628" i="1"/>
  <c r="AE3281" i="1"/>
  <c r="AE3311" i="1"/>
  <c r="AE3409" i="1"/>
  <c r="AE3507" i="1"/>
  <c r="AE3274" i="1"/>
  <c r="AE3364" i="1"/>
  <c r="AE3372" i="1"/>
  <c r="AE3417" i="1"/>
  <c r="AE3644" i="1"/>
  <c r="AE3690" i="1"/>
  <c r="AE3289" i="1"/>
  <c r="AE3319" i="1"/>
  <c r="AE3553" i="1"/>
  <c r="AE3327" i="1"/>
  <c r="AE3425" i="1"/>
  <c r="AE3707" i="1"/>
  <c r="AE3455" i="1"/>
  <c r="AE3539" i="1"/>
  <c r="AE3335" i="1"/>
  <c r="AE3380" i="1"/>
  <c r="AE3388" i="1"/>
  <c r="AE3570" i="1"/>
  <c r="AE3818" i="1"/>
  <c r="AE3850" i="1"/>
  <c r="AE3252" i="1"/>
  <c r="AE3290" i="1"/>
  <c r="AE3495" i="1"/>
  <c r="AE3223" i="1"/>
  <c r="AE3496" i="1"/>
  <c r="AE3343" i="1"/>
  <c r="AE3511" i="1"/>
  <c r="AE3602" i="1"/>
  <c r="AE3617" i="1"/>
  <c r="AE3725" i="1"/>
  <c r="AE3663" i="1"/>
  <c r="AE3268" i="1"/>
  <c r="AE3276" i="1"/>
  <c r="AE3321" i="1"/>
  <c r="AE3351" i="1"/>
  <c r="AE3396" i="1"/>
  <c r="AE3404" i="1"/>
  <c r="AE3512" i="1"/>
  <c r="AE3618" i="1"/>
  <c r="AE3649" i="1"/>
  <c r="AE3457" i="1"/>
  <c r="AE3542" i="1"/>
  <c r="AE3359" i="1"/>
  <c r="AE3483" i="1"/>
  <c r="AE3513" i="1"/>
  <c r="AE3634" i="1"/>
  <c r="AE3696" i="1"/>
  <c r="AE3711" i="1"/>
  <c r="AE3465" i="1"/>
  <c r="AE3239" i="1"/>
  <c r="AE3284" i="1"/>
  <c r="AE3337" i="1"/>
  <c r="AE3420" i="1"/>
  <c r="AE3473" i="1"/>
  <c r="AE3484" i="1"/>
  <c r="AE3499" i="1"/>
  <c r="AE3559" i="1"/>
  <c r="AE3574" i="1"/>
  <c r="AE3681" i="1"/>
  <c r="AE3247" i="1"/>
  <c r="AE3345" i="1"/>
  <c r="AE3529" i="1"/>
  <c r="AE3560" i="1"/>
  <c r="AE3590" i="1"/>
  <c r="AE3666" i="1"/>
  <c r="AE3545" i="1"/>
  <c r="AE3578" i="1"/>
  <c r="AE3775" i="1"/>
  <c r="AE4018" i="1"/>
  <c r="AE4082" i="1"/>
  <c r="AE4095" i="1"/>
  <c r="AE4287" i="1"/>
  <c r="AE3637" i="1"/>
  <c r="AE4138" i="1"/>
  <c r="AE3727" i="1"/>
  <c r="AE3735" i="1"/>
  <c r="AE3624" i="1"/>
  <c r="AE3631" i="1"/>
  <c r="AE3658" i="1"/>
  <c r="AE3751" i="1"/>
  <c r="AE3802" i="1"/>
  <c r="AE4031" i="1"/>
  <c r="AE4274" i="1"/>
  <c r="AE3535" i="1"/>
  <c r="AE3541" i="1"/>
  <c r="AE3645" i="1"/>
  <c r="AE3703" i="1"/>
  <c r="AE3784" i="1"/>
  <c r="AE4229" i="1"/>
  <c r="AE3821" i="1"/>
  <c r="AE3925" i="1"/>
  <c r="AE3983" i="1"/>
  <c r="AE4045" i="1"/>
  <c r="AE4098" i="1"/>
  <c r="AE3712" i="1"/>
  <c r="AE3744" i="1"/>
  <c r="AE3720" i="1"/>
  <c r="AE3840" i="1"/>
  <c r="AE3971" i="1"/>
  <c r="AE4112" i="1"/>
  <c r="AE3794" i="1"/>
  <c r="AE4127" i="1"/>
  <c r="AE3599" i="1"/>
  <c r="AE3871" i="1"/>
  <c r="AE4157" i="1"/>
  <c r="AE3530" i="1"/>
  <c r="AE3682" i="1"/>
  <c r="AE3938" i="1"/>
  <c r="AE4186" i="1"/>
  <c r="AE3872" i="1"/>
  <c r="AE4202" i="1"/>
  <c r="AE4309" i="1"/>
  <c r="AE3549" i="1"/>
  <c r="AE3697" i="1"/>
  <c r="AE3985" i="1"/>
  <c r="AE4048" i="1"/>
  <c r="AE3653" i="1"/>
  <c r="AE4010" i="1"/>
  <c r="AE4074" i="1"/>
  <c r="AE4218" i="1"/>
  <c r="AE3525" i="1"/>
  <c r="AE3581" i="1"/>
  <c r="AE3640" i="1"/>
  <c r="AE3714" i="1"/>
  <c r="AE3754" i="1"/>
  <c r="AE3862" i="1"/>
  <c r="AE3562" i="1"/>
  <c r="AE3594" i="1"/>
  <c r="AE3706" i="1"/>
  <c r="AE3779" i="1"/>
  <c r="AE3787" i="1"/>
  <c r="AE3853" i="1"/>
  <c r="AE3906" i="1"/>
  <c r="AE4234" i="1"/>
  <c r="AE3951" i="1"/>
  <c r="AE3999" i="1"/>
  <c r="AE4062" i="1"/>
  <c r="AE4189" i="1"/>
  <c r="AE3661" i="1"/>
  <c r="AE3843" i="1"/>
  <c r="AE3918" i="1"/>
  <c r="AE4063" i="1"/>
  <c r="AE4117" i="1"/>
  <c r="AE3723" i="1"/>
  <c r="AE3771" i="1"/>
  <c r="AE4175" i="1"/>
  <c r="AE3699" i="1"/>
  <c r="AE3747" i="1"/>
  <c r="AE3763" i="1"/>
  <c r="AE3886" i="1"/>
  <c r="AE4191" i="1"/>
  <c r="AE3608" i="1"/>
  <c r="AE3621" i="1"/>
  <c r="AE3825" i="1"/>
  <c r="AE4013" i="1"/>
  <c r="AE3642" i="1"/>
  <c r="AE4077" i="1"/>
  <c r="AE4177" i="1"/>
  <c r="AE3551" i="1"/>
  <c r="AE3589" i="1"/>
  <c r="AE3615" i="1"/>
  <c r="AE3954" i="1"/>
  <c r="AE4223" i="1"/>
  <c r="AE3866" i="1"/>
  <c r="AE3920" i="1"/>
  <c r="AE3678" i="1"/>
  <c r="AE4053" i="1"/>
  <c r="AE4079" i="1"/>
  <c r="AE4149" i="1"/>
  <c r="AE3827" i="1"/>
  <c r="AE3846" i="1"/>
  <c r="AE3867" i="1"/>
  <c r="AE4027" i="1"/>
  <c r="AE4194" i="1"/>
  <c r="AE3656" i="1"/>
  <c r="AE3709" i="1"/>
  <c r="AE3733" i="1"/>
  <c r="AE3757" i="1"/>
  <c r="AE3877" i="1"/>
  <c r="AE3837" i="1"/>
  <c r="AE3922" i="1"/>
  <c r="AE3944" i="1"/>
  <c r="AE4093" i="1"/>
  <c r="AE4165" i="1"/>
  <c r="AE4255" i="1"/>
  <c r="AE3546" i="1"/>
  <c r="AE3679" i="1"/>
  <c r="AE3878" i="1"/>
  <c r="AE3968" i="1"/>
  <c r="AE3565" i="1"/>
  <c r="AE3597" i="1"/>
  <c r="AE3610" i="1"/>
  <c r="AE3710" i="1"/>
  <c r="AE3774" i="1"/>
  <c r="AE3800" i="1"/>
  <c r="AE3890" i="1"/>
  <c r="AE4029" i="1"/>
  <c r="AE4271" i="1"/>
  <c r="AE4126" i="1"/>
  <c r="AE4216" i="1"/>
  <c r="AE4298" i="1"/>
  <c r="AE4321" i="1"/>
  <c r="AE4241" i="1"/>
  <c r="AE4259" i="1"/>
  <c r="AE4091" i="1"/>
  <c r="AE4193" i="1"/>
  <c r="AE4225" i="1"/>
  <c r="AE4242" i="1"/>
  <c r="AE4006" i="1"/>
  <c r="AE4299" i="1"/>
  <c r="AE4209" i="1"/>
  <c r="AE4226" i="1"/>
  <c r="AE4035" i="1"/>
  <c r="AE4179" i="1"/>
  <c r="AE4243" i="1"/>
  <c r="AE4269" i="1"/>
  <c r="AE4288" i="1"/>
  <c r="AE4312" i="1"/>
  <c r="AE3958" i="1"/>
  <c r="AE4078" i="1"/>
  <c r="AE4142" i="1"/>
  <c r="AE3979" i="1"/>
  <c r="AE4064" i="1"/>
  <c r="AE4128" i="1"/>
  <c r="AE4227" i="1"/>
  <c r="AE4270" i="1"/>
  <c r="AE4290" i="1"/>
  <c r="AE3715" i="1"/>
  <c r="AE3739" i="1"/>
  <c r="AE3838" i="1"/>
  <c r="AE4043" i="1"/>
  <c r="AE4107" i="1"/>
  <c r="AE4150" i="1"/>
  <c r="AE4187" i="1"/>
  <c r="AE4195" i="1"/>
  <c r="AE4211" i="1"/>
  <c r="AE4235" i="1"/>
  <c r="AE4302" i="1"/>
  <c r="AE4325" i="1"/>
  <c r="AE4008" i="1"/>
  <c r="AE4022" i="1"/>
  <c r="AE4072" i="1"/>
  <c r="AE4086" i="1"/>
  <c r="AE4219" i="1"/>
  <c r="AE4280" i="1"/>
  <c r="AE4291" i="1"/>
  <c r="AE4314" i="1"/>
  <c r="AE3851" i="1"/>
  <c r="AE3987" i="1"/>
  <c r="AE4001" i="1"/>
  <c r="AE4136" i="1"/>
  <c r="AE4158" i="1"/>
  <c r="AE4326" i="1"/>
  <c r="AE3662" i="1"/>
  <c r="AE3795" i="1"/>
  <c r="AE3966" i="1"/>
  <c r="AE4253" i="1"/>
  <c r="AE3686" i="1"/>
  <c r="AE3870" i="1"/>
  <c r="AE4245" i="1"/>
  <c r="AE3704" i="1"/>
  <c r="AE3752" i="1"/>
  <c r="AE3864" i="1"/>
  <c r="AE3889" i="1"/>
  <c r="AE3960" i="1"/>
  <c r="AE4144" i="1"/>
  <c r="AE4315" i="1"/>
  <c r="AE3883" i="1"/>
  <c r="AE3953" i="1"/>
  <c r="AE4016" i="1"/>
  <c r="AE4080" i="1"/>
  <c r="AE4094" i="1"/>
  <c r="AE4166" i="1"/>
  <c r="AE4237" i="1"/>
  <c r="AE4254" i="1"/>
  <c r="AE4272" i="1"/>
  <c r="AE4328" i="1"/>
  <c r="AE3921" i="1"/>
  <c r="AE3915" i="1"/>
  <c r="AE3934" i="1"/>
  <c r="AE3947" i="1"/>
  <c r="AE3995" i="1"/>
  <c r="AE4059" i="1"/>
  <c r="AE4123" i="1"/>
  <c r="AE4273" i="1"/>
  <c r="AE4304" i="1"/>
  <c r="AE3896" i="1"/>
  <c r="AE3928" i="1"/>
  <c r="AE4024" i="1"/>
  <c r="AE4038" i="1"/>
  <c r="AE4088" i="1"/>
  <c r="AE4102" i="1"/>
  <c r="AE4182" i="1"/>
  <c r="AE4017" i="1"/>
  <c r="AE4067" i="1"/>
  <c r="AE4145" i="1"/>
  <c r="AE4205" i="1"/>
  <c r="AE3859" i="1"/>
  <c r="AE4003" i="1"/>
  <c r="AE4081" i="1"/>
  <c r="AE4131" i="1"/>
  <c r="AE4160" i="1"/>
  <c r="AE4190" i="1"/>
  <c r="AE4330" i="1"/>
  <c r="AE3803" i="1"/>
  <c r="AE4283" i="1"/>
  <c r="AE4306" i="1"/>
  <c r="AE4318" i="1"/>
  <c r="AE4046" i="1"/>
  <c r="AE4110" i="1"/>
  <c r="AE4198" i="1"/>
  <c r="AE4331" i="1"/>
  <c r="AE3670" i="1"/>
  <c r="AE3955" i="1"/>
  <c r="AE4214" i="1"/>
  <c r="AE4256" i="1"/>
  <c r="AE4307" i="1"/>
  <c r="AE3688" i="1"/>
  <c r="AE3766" i="1"/>
  <c r="AE4176" i="1"/>
  <c r="AE4248" i="1"/>
  <c r="AE4275" i="1"/>
  <c r="AE3694" i="1"/>
  <c r="AE3718" i="1"/>
  <c r="AE3742" i="1"/>
  <c r="AE3835" i="1"/>
  <c r="AE4011" i="1"/>
  <c r="AE4075" i="1"/>
  <c r="AE4139" i="1"/>
  <c r="AE4161" i="1"/>
  <c r="AE3736" i="1"/>
  <c r="AE3969" i="1"/>
  <c r="AE4118" i="1"/>
  <c r="AE4257" i="1"/>
  <c r="AE4104" i="1"/>
  <c r="AE4147" i="1"/>
  <c r="AE4184" i="1"/>
  <c r="AE4232" i="1"/>
  <c r="AE4240" i="1"/>
  <c r="AE4320" i="1"/>
  <c r="AE4334" i="1"/>
  <c r="AE3873" i="1"/>
  <c r="AE4019" i="1"/>
  <c r="AE4192" i="1"/>
  <c r="AE4224" i="1"/>
  <c r="AE4258" i="1"/>
  <c r="AE4286" i="1"/>
  <c r="AC2" i="1"/>
  <c r="AU3210" i="1"/>
  <c r="AU2928" i="1"/>
  <c r="AU3087" i="1"/>
  <c r="AU3119" i="1"/>
  <c r="AU3211" i="1"/>
  <c r="AU3277" i="1"/>
  <c r="AU3310" i="1"/>
  <c r="AU3348" i="1"/>
  <c r="AU3422" i="1"/>
  <c r="AU3503" i="1"/>
  <c r="AU3649" i="1"/>
  <c r="AU3720" i="1"/>
  <c r="AU3795" i="1"/>
  <c r="AU3856" i="1"/>
  <c r="AU3952" i="1"/>
  <c r="AU3150" i="1"/>
  <c r="AU3798" i="1"/>
  <c r="AU3149" i="1"/>
  <c r="AU3510" i="1"/>
  <c r="AU3721" i="1"/>
  <c r="AU3873" i="1"/>
  <c r="AU3953" i="1"/>
  <c r="AU4056" i="1"/>
  <c r="AU4167" i="1"/>
  <c r="AU2999" i="1"/>
  <c r="AU3000" i="1"/>
  <c r="AU3592" i="1"/>
  <c r="AU3651" i="1"/>
  <c r="AU3799" i="1"/>
  <c r="AU4168" i="1"/>
  <c r="AU3469" i="1"/>
  <c r="AU3511" i="1"/>
  <c r="AU3550" i="1"/>
  <c r="AU3653" i="1"/>
  <c r="AU3725" i="1"/>
  <c r="AU3874" i="1"/>
  <c r="AU3954" i="1"/>
  <c r="AU4057" i="1"/>
  <c r="AU4169" i="1"/>
  <c r="AU2882" i="1"/>
  <c r="AU3184" i="1"/>
  <c r="AU3430" i="1"/>
  <c r="AU3554" i="1"/>
  <c r="AU3593" i="1"/>
  <c r="AU3654" i="1"/>
  <c r="AU3800" i="1"/>
  <c r="AU3875" i="1"/>
  <c r="AU3959" i="1"/>
  <c r="AU4173" i="1"/>
  <c r="AU3246" i="1"/>
  <c r="AU3033" i="1"/>
  <c r="AU3352" i="1"/>
  <c r="AU3470" i="1"/>
  <c r="AU3512" i="1"/>
  <c r="AU3555" i="1"/>
  <c r="AU3726" i="1"/>
  <c r="AU3878" i="1"/>
  <c r="AU4061" i="1"/>
  <c r="AU3650" i="1"/>
  <c r="AU3059" i="1"/>
  <c r="AU3158" i="1"/>
  <c r="AU3431" i="1"/>
  <c r="AU3557" i="1"/>
  <c r="AU3594" i="1"/>
  <c r="AU3655" i="1"/>
  <c r="AU3801" i="1"/>
  <c r="AU3976" i="1"/>
  <c r="AU4174" i="1"/>
  <c r="AU3181" i="1"/>
  <c r="AU3089" i="1"/>
  <c r="AU3558" i="1"/>
  <c r="AU3601" i="1"/>
  <c r="AU3656" i="1"/>
  <c r="AU3727" i="1"/>
  <c r="AU3879" i="1"/>
  <c r="AU4064" i="1"/>
  <c r="AU3248" i="1"/>
  <c r="AU2865" i="1"/>
  <c r="AU3252" i="1"/>
  <c r="AU3254" i="1"/>
  <c r="AU3287" i="1"/>
  <c r="AU3319" i="1"/>
  <c r="AU3394" i="1"/>
  <c r="AU3432" i="1"/>
  <c r="AU3475" i="1"/>
  <c r="AU3728" i="1"/>
  <c r="AU3805" i="1"/>
  <c r="AU3880" i="1"/>
  <c r="AU3977" i="1"/>
  <c r="AU4081" i="1"/>
  <c r="AU2948" i="1"/>
  <c r="AU3151" i="1"/>
  <c r="AU2910" i="1"/>
  <c r="AU2776" i="1"/>
  <c r="AU3095" i="1"/>
  <c r="AU2800" i="1"/>
  <c r="AU3221" i="1"/>
  <c r="AU3353" i="1"/>
  <c r="AU2888" i="1"/>
  <c r="AU2867" i="1"/>
  <c r="AU2934" i="1"/>
  <c r="AU2958" i="1"/>
  <c r="AU2979" i="1"/>
  <c r="AU3006" i="1"/>
  <c r="AU3037" i="1"/>
  <c r="AU3065" i="1"/>
  <c r="AU3097" i="1"/>
  <c r="AU3190" i="1"/>
  <c r="AU3223" i="1"/>
  <c r="AU3354" i="1"/>
  <c r="AU3395" i="1"/>
  <c r="AU3439" i="1"/>
  <c r="AU3477" i="1"/>
  <c r="AU3514" i="1"/>
  <c r="AU3559" i="1"/>
  <c r="AU3602" i="1"/>
  <c r="AU3672" i="1"/>
  <c r="AU3806" i="1"/>
  <c r="AU3881" i="1"/>
  <c r="AU4199" i="1"/>
  <c r="AU3056" i="1"/>
  <c r="AU2773" i="1"/>
  <c r="AU3283" i="1"/>
  <c r="AU2886" i="1"/>
  <c r="AU3251" i="1"/>
  <c r="AU2887" i="1"/>
  <c r="AU2977" i="1"/>
  <c r="AU3034" i="1"/>
  <c r="AU2801" i="1"/>
  <c r="AU3128" i="1"/>
  <c r="AU3160" i="1"/>
  <c r="AU3255" i="1"/>
  <c r="AU3288" i="1"/>
  <c r="AU3326" i="1"/>
  <c r="AU3360" i="1"/>
  <c r="AU3397" i="1"/>
  <c r="AU3478" i="1"/>
  <c r="AU3603" i="1"/>
  <c r="AU3745" i="1"/>
  <c r="AU3981" i="1"/>
  <c r="AU4082" i="1"/>
  <c r="AU4200" i="1"/>
  <c r="AU2772" i="1"/>
  <c r="AU2793" i="1"/>
  <c r="AU3350" i="1"/>
  <c r="AU3156" i="1"/>
  <c r="AU2819" i="1"/>
  <c r="AU3122" i="1"/>
  <c r="AU3096" i="1"/>
  <c r="AU3127" i="1"/>
  <c r="AU2823" i="1"/>
  <c r="AU2935" i="1"/>
  <c r="AU3066" i="1"/>
  <c r="AU3191" i="1"/>
  <c r="AU3224" i="1"/>
  <c r="AU3398" i="1"/>
  <c r="AU3440" i="1"/>
  <c r="AU3521" i="1"/>
  <c r="AU3560" i="1"/>
  <c r="AU3605" i="1"/>
  <c r="AU3673" i="1"/>
  <c r="AU3823" i="1"/>
  <c r="AU3901" i="1"/>
  <c r="AU4086" i="1"/>
  <c r="AU4201" i="1"/>
  <c r="AU3545" i="1"/>
  <c r="AU2838" i="1"/>
  <c r="AU2950" i="1"/>
  <c r="AU3549" i="1"/>
  <c r="AU3219" i="1"/>
  <c r="AU2841" i="1"/>
  <c r="AU3188" i="1"/>
  <c r="AU2777" i="1"/>
  <c r="AU3222" i="1"/>
  <c r="AU2822" i="1"/>
  <c r="AU3189" i="1"/>
  <c r="AU2802" i="1"/>
  <c r="AU2913" i="1"/>
  <c r="AU2868" i="1"/>
  <c r="AU3038" i="1"/>
  <c r="AU2803" i="1"/>
  <c r="AU2914" i="1"/>
  <c r="AU2981" i="1"/>
  <c r="AU3067" i="1"/>
  <c r="AU3099" i="1"/>
  <c r="AU3129" i="1"/>
  <c r="AU3161" i="1"/>
  <c r="AU3289" i="1"/>
  <c r="AU3327" i="1"/>
  <c r="AU3361" i="1"/>
  <c r="AU3479" i="1"/>
  <c r="AU3606" i="1"/>
  <c r="AU3746" i="1"/>
  <c r="AU3982" i="1"/>
  <c r="AU4205" i="1"/>
  <c r="AU2816" i="1"/>
  <c r="AU3384" i="1"/>
  <c r="AU2905" i="1"/>
  <c r="AU3183" i="1"/>
  <c r="AU3121" i="1"/>
  <c r="AU2952" i="1"/>
  <c r="AU2756" i="1"/>
  <c r="AU3286" i="1"/>
  <c r="AU2978" i="1"/>
  <c r="AU2889" i="1"/>
  <c r="AU2759" i="1"/>
  <c r="AU2959" i="1"/>
  <c r="AU3098" i="1"/>
  <c r="AU2783" i="1"/>
  <c r="AU2824" i="1"/>
  <c r="AU2848" i="1"/>
  <c r="AU2760" i="1"/>
  <c r="AU2870" i="1"/>
  <c r="AU2894" i="1"/>
  <c r="AU2936" i="1"/>
  <c r="AU2960" i="1"/>
  <c r="AU2983" i="1"/>
  <c r="AU3039" i="1"/>
  <c r="AU3069" i="1"/>
  <c r="AU3101" i="1"/>
  <c r="AU3225" i="1"/>
  <c r="AU3262" i="1"/>
  <c r="AU3399" i="1"/>
  <c r="AU3441" i="1"/>
  <c r="AU3486" i="1"/>
  <c r="AU3522" i="1"/>
  <c r="AU3561" i="1"/>
  <c r="AU3674" i="1"/>
  <c r="AU3747" i="1"/>
  <c r="AU3824" i="1"/>
  <c r="AU3902" i="1"/>
  <c r="AU3984" i="1"/>
  <c r="AU4087" i="1"/>
  <c r="AU3509" i="1"/>
  <c r="AU2774" i="1"/>
  <c r="AU2818" i="1"/>
  <c r="AU3392" i="1"/>
  <c r="AU3253" i="1"/>
  <c r="AU2912" i="1"/>
  <c r="AU3159" i="1"/>
  <c r="AU2782" i="1"/>
  <c r="AU2980" i="1"/>
  <c r="AU2784" i="1"/>
  <c r="AU3013" i="1"/>
  <c r="AU3162" i="1"/>
  <c r="AU3198" i="1"/>
  <c r="AU3290" i="1"/>
  <c r="AU3328" i="1"/>
  <c r="AU3362" i="1"/>
  <c r="AU3523" i="1"/>
  <c r="AU3562" i="1"/>
  <c r="AU3607" i="1"/>
  <c r="AU3677" i="1"/>
  <c r="AU3750" i="1"/>
  <c r="AU4206" i="1"/>
  <c r="AU4033" i="1"/>
  <c r="AU3311" i="1"/>
  <c r="AU2951" i="1"/>
  <c r="AU3315" i="1"/>
  <c r="AU3220" i="1"/>
  <c r="AU3123" i="1"/>
  <c r="AU2757" i="1"/>
  <c r="AU3005" i="1"/>
  <c r="AU2846" i="1"/>
  <c r="AU3035" i="1"/>
  <c r="AU2758" i="1"/>
  <c r="AU2847" i="1"/>
  <c r="AU3007" i="1"/>
  <c r="AU2804" i="1"/>
  <c r="AU2825" i="1"/>
  <c r="AU2849" i="1"/>
  <c r="AU2915" i="1"/>
  <c r="AU2761" i="1"/>
  <c r="AU2805" i="1"/>
  <c r="AU2871" i="1"/>
  <c r="AU2895" i="1"/>
  <c r="AU2937" i="1"/>
  <c r="AU2961" i="1"/>
  <c r="AU2984" i="1"/>
  <c r="AU3014" i="1"/>
  <c r="AU3040" i="1"/>
  <c r="AU3102" i="1"/>
  <c r="AU3136" i="1"/>
  <c r="AU3163" i="1"/>
  <c r="AU3226" i="1"/>
  <c r="AU3263" i="1"/>
  <c r="AU3363" i="1"/>
  <c r="AU3400" i="1"/>
  <c r="AU3442" i="1"/>
  <c r="AU3487" i="1"/>
  <c r="AU3525" i="1"/>
  <c r="AU3568" i="1"/>
  <c r="AU3825" i="1"/>
  <c r="AU3903" i="1"/>
  <c r="AU4001" i="1"/>
  <c r="AU4093" i="1"/>
  <c r="AU3349" i="1"/>
  <c r="AU2975" i="1"/>
  <c r="AU2850" i="1"/>
  <c r="AU3608" i="1"/>
  <c r="AU4110" i="1"/>
  <c r="AU4231" i="1"/>
  <c r="AU3466" i="1"/>
  <c r="AU2806" i="1"/>
  <c r="AU3137" i="1"/>
  <c r="AU3231" i="1"/>
  <c r="AU3264" i="1"/>
  <c r="AU3369" i="1"/>
  <c r="AU3445" i="1"/>
  <c r="AU3488" i="1"/>
  <c r="AU3569" i="1"/>
  <c r="AU3609" i="1"/>
  <c r="AU3826" i="1"/>
  <c r="AU3904" i="1"/>
  <c r="AU4002" i="1"/>
  <c r="AU4237" i="1"/>
  <c r="AU4142" i="1"/>
  <c r="AU2883" i="1"/>
  <c r="AU3385" i="1"/>
  <c r="AU2918" i="1"/>
  <c r="AU3200" i="1"/>
  <c r="AU3296" i="1"/>
  <c r="AU3330" i="1"/>
  <c r="AU3407" i="1"/>
  <c r="AU3446" i="1"/>
  <c r="AU3533" i="1"/>
  <c r="AU3752" i="1"/>
  <c r="AU3827" i="1"/>
  <c r="AU3906" i="1"/>
  <c r="AU4006" i="1"/>
  <c r="AU4111" i="1"/>
  <c r="AU3383" i="1"/>
  <c r="AU3265" i="1"/>
  <c r="AU3331" i="1"/>
  <c r="AU3370" i="1"/>
  <c r="AU3489" i="1"/>
  <c r="AU3570" i="1"/>
  <c r="AU3625" i="1"/>
  <c r="AU3695" i="1"/>
  <c r="AU3753" i="1"/>
  <c r="AU3830" i="1"/>
  <c r="AU3923" i="1"/>
  <c r="AU4238" i="1"/>
  <c r="AU3464" i="1"/>
  <c r="AU2974" i="1"/>
  <c r="AU3026" i="1"/>
  <c r="AU3201" i="1"/>
  <c r="AU3373" i="1"/>
  <c r="AU3408" i="1"/>
  <c r="AU3447" i="1"/>
  <c r="AU3534" i="1"/>
  <c r="AU3571" i="1"/>
  <c r="AU3831" i="1"/>
  <c r="AU3926" i="1"/>
  <c r="AU4007" i="1"/>
  <c r="AU4112" i="1"/>
  <c r="AU3584" i="1"/>
  <c r="AU3247" i="1"/>
  <c r="AU2775" i="1"/>
  <c r="AU3490" i="1"/>
  <c r="AU3573" i="1"/>
  <c r="AU3626" i="1"/>
  <c r="AU3696" i="1"/>
  <c r="AU3773" i="1"/>
  <c r="AU4239" i="1"/>
  <c r="AU2998" i="1"/>
  <c r="AU3025" i="1"/>
  <c r="AU3120" i="1"/>
  <c r="AU2798" i="1"/>
  <c r="AU2930" i="1"/>
  <c r="AU3409" i="1"/>
  <c r="AU3848" i="1"/>
  <c r="AU3927" i="1"/>
  <c r="AU4113" i="1"/>
  <c r="AU3282" i="1"/>
  <c r="AU4246" i="1"/>
  <c r="AU3275" i="1"/>
  <c r="AU3182" i="1"/>
  <c r="AU3351" i="1"/>
  <c r="AU2799" i="1"/>
  <c r="AU3285" i="1"/>
  <c r="AU3062" i="1"/>
  <c r="AU3199" i="1"/>
  <c r="AU3751" i="1"/>
  <c r="AU2962" i="1"/>
  <c r="AU2766" i="1"/>
  <c r="AU3043" i="1"/>
  <c r="AU3138" i="1"/>
  <c r="AU2943" i="1"/>
  <c r="AU3107" i="1"/>
  <c r="AU2898" i="1"/>
  <c r="AU3017" i="1"/>
  <c r="AU2768" i="1"/>
  <c r="AU2944" i="1"/>
  <c r="AU3170" i="1"/>
  <c r="AU2899" i="1"/>
  <c r="AU3109" i="1"/>
  <c r="AU3240" i="1"/>
  <c r="AU3338" i="1"/>
  <c r="AU3375" i="1"/>
  <c r="AU3416" i="1"/>
  <c r="AU3494" i="1"/>
  <c r="AU3536" i="1"/>
  <c r="AU3581" i="1"/>
  <c r="AU3630" i="1"/>
  <c r="AU3849" i="1"/>
  <c r="AU3928" i="1"/>
  <c r="AU4030" i="1"/>
  <c r="AU4136" i="1"/>
  <c r="AU3347" i="1"/>
  <c r="AU3465" i="1"/>
  <c r="AU3058" i="1"/>
  <c r="AU3218" i="1"/>
  <c r="AU2755" i="1"/>
  <c r="AU3002" i="1"/>
  <c r="AU2931" i="1"/>
  <c r="AU2953" i="1"/>
  <c r="AU2932" i="1"/>
  <c r="AU3474" i="1"/>
  <c r="AU2916" i="1"/>
  <c r="AU3364" i="1"/>
  <c r="AU3443" i="1"/>
  <c r="AU3526" i="1"/>
  <c r="AU2872" i="1"/>
  <c r="AU3015" i="1"/>
  <c r="AU3168" i="1"/>
  <c r="AU2807" i="1"/>
  <c r="AU2963" i="1"/>
  <c r="AU3106" i="1"/>
  <c r="AU2767" i="1"/>
  <c r="AU2919" i="1"/>
  <c r="AU3045" i="1"/>
  <c r="AU3297" i="1"/>
  <c r="AU2832" i="1"/>
  <c r="AU2988" i="1"/>
  <c r="AU3046" i="1"/>
  <c r="AU3140" i="1"/>
  <c r="AU3266" i="1"/>
  <c r="AU2878" i="1"/>
  <c r="AU3267" i="1"/>
  <c r="AU3374" i="1"/>
  <c r="AU3629" i="1"/>
  <c r="AU2809" i="1"/>
  <c r="AU2966" i="1"/>
  <c r="AU2993" i="1"/>
  <c r="AU3141" i="1"/>
  <c r="AU3493" i="1"/>
  <c r="AU3578" i="1"/>
  <c r="AU2769" i="1"/>
  <c r="AU2879" i="1"/>
  <c r="AU3204" i="1"/>
  <c r="AU2900" i="1"/>
  <c r="AU2967" i="1"/>
  <c r="AU2994" i="1"/>
  <c r="AU3021" i="1"/>
  <c r="AU3048" i="1"/>
  <c r="AU3080" i="1"/>
  <c r="AU3114" i="1"/>
  <c r="AU3205" i="1"/>
  <c r="AU3270" i="1"/>
  <c r="AU3305" i="1"/>
  <c r="AU3341" i="1"/>
  <c r="AU3455" i="1"/>
  <c r="AU3698" i="1"/>
  <c r="AU3775" i="1"/>
  <c r="AU4273" i="1"/>
  <c r="AU3546" i="1"/>
  <c r="AU2863" i="1"/>
  <c r="AU2840" i="1"/>
  <c r="AU3284" i="1"/>
  <c r="AU3318" i="1"/>
  <c r="AU3295" i="1"/>
  <c r="AU3678" i="1"/>
  <c r="AU2985" i="1"/>
  <c r="AU3076" i="1"/>
  <c r="AU2831" i="1"/>
  <c r="AU3169" i="1"/>
  <c r="AU3333" i="1"/>
  <c r="AU3491" i="1"/>
  <c r="AU2833" i="1"/>
  <c r="AU3079" i="1"/>
  <c r="AU3304" i="1"/>
  <c r="AU3697" i="1"/>
  <c r="AU3142" i="1"/>
  <c r="AU2995" i="1"/>
  <c r="AU3143" i="1"/>
  <c r="AU3206" i="1"/>
  <c r="AU3376" i="1"/>
  <c r="AU3417" i="1"/>
  <c r="AU3498" i="1"/>
  <c r="AU3537" i="1"/>
  <c r="AU3582" i="1"/>
  <c r="AU3631" i="1"/>
  <c r="AU3699" i="1"/>
  <c r="AU3853" i="1"/>
  <c r="AU3929" i="1"/>
  <c r="AU4031" i="1"/>
  <c r="AU4137" i="1"/>
  <c r="AU3245" i="1"/>
  <c r="AU3213" i="1"/>
  <c r="AU3088" i="1"/>
  <c r="AU3027" i="1"/>
  <c r="AU3028" i="1"/>
  <c r="AU3060" i="1"/>
  <c r="AU3157" i="1"/>
  <c r="AU3061" i="1"/>
  <c r="AU2866" i="1"/>
  <c r="AU3074" i="1"/>
  <c r="AU3075" i="1"/>
  <c r="AU2897" i="1"/>
  <c r="AU2808" i="1"/>
  <c r="AU3233" i="1"/>
  <c r="AU2788" i="1"/>
  <c r="AU3535" i="1"/>
  <c r="AU3203" i="1"/>
  <c r="AU3774" i="1"/>
  <c r="AU2945" i="1"/>
  <c r="AU3176" i="1"/>
  <c r="AU2814" i="1"/>
  <c r="AU3115" i="1"/>
  <c r="AU2926" i="1"/>
  <c r="AU3023" i="1"/>
  <c r="AU3117" i="1"/>
  <c r="AU3273" i="1"/>
  <c r="AU3306" i="1"/>
  <c r="AU3342" i="1"/>
  <c r="AU3501" i="1"/>
  <c r="AU3702" i="1"/>
  <c r="AU3776" i="1"/>
  <c r="AU3934" i="1"/>
  <c r="AU4278" i="1"/>
  <c r="AU3778" i="1"/>
  <c r="AU2904" i="1"/>
  <c r="AU2817" i="1"/>
  <c r="AU2929" i="1"/>
  <c r="AU2884" i="1"/>
  <c r="AU3429" i="1"/>
  <c r="AU2976" i="1"/>
  <c r="AU3317" i="1"/>
  <c r="AU2820" i="1"/>
  <c r="AU3004" i="1"/>
  <c r="AU3513" i="1"/>
  <c r="AU3329" i="1"/>
  <c r="AU2830" i="1"/>
  <c r="AU3041" i="1"/>
  <c r="AU2786" i="1"/>
  <c r="AU2986" i="1"/>
  <c r="AU3232" i="1"/>
  <c r="AU2852" i="1"/>
  <c r="AU3077" i="1"/>
  <c r="AU3332" i="1"/>
  <c r="AU3078" i="1"/>
  <c r="AU2920" i="1"/>
  <c r="AU3202" i="1"/>
  <c r="AU3337" i="1"/>
  <c r="AU2789" i="1"/>
  <c r="AU3018" i="1"/>
  <c r="AU3454" i="1"/>
  <c r="AU4119" i="1"/>
  <c r="AU2855" i="1"/>
  <c r="AU3269" i="1"/>
  <c r="AU2790" i="1"/>
  <c r="AU2834" i="1"/>
  <c r="AU2880" i="1"/>
  <c r="AU2946" i="1"/>
  <c r="AU3177" i="1"/>
  <c r="AU2791" i="1"/>
  <c r="AU2835" i="1"/>
  <c r="AU2902" i="1"/>
  <c r="AU2996" i="1"/>
  <c r="AU2771" i="1"/>
  <c r="AU2815" i="1"/>
  <c r="AU2857" i="1"/>
  <c r="AU2881" i="1"/>
  <c r="AU2947" i="1"/>
  <c r="AU3055" i="1"/>
  <c r="AU3146" i="1"/>
  <c r="AU3178" i="1"/>
  <c r="AU3209" i="1"/>
  <c r="AU3242" i="1"/>
  <c r="AU3307" i="1"/>
  <c r="AU3377" i="1"/>
  <c r="AU3418" i="1"/>
  <c r="AU3463" i="1"/>
  <c r="AU3539" i="1"/>
  <c r="AU3583" i="1"/>
  <c r="AU3854" i="1"/>
  <c r="AU4032" i="1"/>
  <c r="AU4141" i="1"/>
  <c r="AU4285" i="1"/>
  <c r="AU3855" i="1"/>
  <c r="AU2862" i="1"/>
  <c r="AU3057" i="1"/>
  <c r="AU2839" i="1"/>
  <c r="AU3423" i="1"/>
  <c r="AU2864" i="1"/>
  <c r="AU3316" i="1"/>
  <c r="AU3003" i="1"/>
  <c r="AU2911" i="1"/>
  <c r="AU3393" i="1"/>
  <c r="AU2785" i="1"/>
  <c r="AU3165" i="1"/>
  <c r="AU3406" i="1"/>
  <c r="AU2896" i="1"/>
  <c r="AU3103" i="1"/>
  <c r="AU2851" i="1"/>
  <c r="AU2942" i="1"/>
  <c r="AU2873" i="1"/>
  <c r="AU3016" i="1"/>
  <c r="AU2787" i="1"/>
  <c r="AU2987" i="1"/>
  <c r="AU3139" i="1"/>
  <c r="AU2964" i="1"/>
  <c r="AU3108" i="1"/>
  <c r="AU3453" i="1"/>
  <c r="AU2854" i="1"/>
  <c r="AU3047" i="1"/>
  <c r="AU3171" i="1"/>
  <c r="AU3268" i="1"/>
  <c r="AU2921" i="1"/>
  <c r="AU3019" i="1"/>
  <c r="AU3110" i="1"/>
  <c r="AU2770" i="1"/>
  <c r="AU2856" i="1"/>
  <c r="AU3054" i="1"/>
  <c r="AU3241" i="1"/>
  <c r="AU2968" i="1"/>
  <c r="AU3081" i="1"/>
  <c r="AU2792" i="1"/>
  <c r="AU2836" i="1"/>
  <c r="AU2903" i="1"/>
  <c r="AU2927" i="1"/>
  <c r="AU2969" i="1"/>
  <c r="AU2997" i="1"/>
  <c r="AU3024" i="1"/>
  <c r="AU3086" i="1"/>
  <c r="AU3118" i="1"/>
  <c r="AU3147" i="1"/>
  <c r="AU3179" i="1"/>
  <c r="AU3243" i="1"/>
  <c r="AU3274" i="1"/>
  <c r="AU3309" i="1"/>
  <c r="AU3343" i="1"/>
  <c r="AU3421" i="1"/>
  <c r="AU3502" i="1"/>
  <c r="AU3648" i="1"/>
  <c r="AU3777" i="1"/>
  <c r="AU3951" i="1"/>
  <c r="AU4286" i="1"/>
  <c r="AU4062" i="1"/>
  <c r="AU4088" i="1"/>
  <c r="AU4240" i="1"/>
  <c r="AU3955" i="1"/>
  <c r="AU4008" i="1"/>
  <c r="AU4114" i="1"/>
  <c r="AU4143" i="1"/>
  <c r="AU4175" i="1"/>
  <c r="AU4207" i="1"/>
  <c r="AU4287" i="1"/>
  <c r="AU3905" i="1"/>
  <c r="AU3933" i="1"/>
  <c r="AU3958" i="1"/>
  <c r="AU3983" i="1"/>
  <c r="AU4034" i="1"/>
  <c r="AU4063" i="1"/>
  <c r="AU4089" i="1"/>
  <c r="AU4118" i="1"/>
  <c r="AU4241" i="1"/>
  <c r="AU3517" i="1"/>
  <c r="AU3538" i="1"/>
  <c r="AU3585" i="1"/>
  <c r="AU3632" i="1"/>
  <c r="AU3679" i="1"/>
  <c r="AU3703" i="1"/>
  <c r="AU4009" i="1"/>
  <c r="AU4038" i="1"/>
  <c r="AU4144" i="1"/>
  <c r="AU4176" i="1"/>
  <c r="AU4208" i="1"/>
  <c r="AU4288" i="1"/>
  <c r="AU3334" i="1"/>
  <c r="AU3357" i="1"/>
  <c r="AU3424" i="1"/>
  <c r="AU3471" i="1"/>
  <c r="AU3518" i="1"/>
  <c r="AU3541" i="1"/>
  <c r="AU3565" i="1"/>
  <c r="AU3586" i="1"/>
  <c r="AU3633" i="1"/>
  <c r="AU3680" i="1"/>
  <c r="AU3704" i="1"/>
  <c r="AU3779" i="1"/>
  <c r="AU3907" i="1"/>
  <c r="AU4013" i="1"/>
  <c r="AU4039" i="1"/>
  <c r="AU4145" i="1"/>
  <c r="AU4177" i="1"/>
  <c r="AU4209" i="1"/>
  <c r="AU4247" i="1"/>
  <c r="AU4289" i="1"/>
  <c r="AU3448" i="1"/>
  <c r="AU3495" i="1"/>
  <c r="AU3542" i="1"/>
  <c r="AU3587" i="1"/>
  <c r="AU3610" i="1"/>
  <c r="AU3657" i="1"/>
  <c r="AU3729" i="1"/>
  <c r="AU3757" i="1"/>
  <c r="AU3782" i="1"/>
  <c r="AU3807" i="1"/>
  <c r="AU3832" i="1"/>
  <c r="AU3857" i="1"/>
  <c r="AU3885" i="1"/>
  <c r="AU3910" i="1"/>
  <c r="AU3935" i="1"/>
  <c r="AU3960" i="1"/>
  <c r="AU3985" i="1"/>
  <c r="AU4065" i="1"/>
  <c r="AU4094" i="1"/>
  <c r="AU4120" i="1"/>
  <c r="AU4253" i="1"/>
  <c r="AU3312" i="1"/>
  <c r="AU3378" i="1"/>
  <c r="AU3401" i="1"/>
  <c r="AU2982" i="1"/>
  <c r="AU3001" i="1"/>
  <c r="AU3022" i="1"/>
  <c r="AU3082" i="1"/>
  <c r="AU3124" i="1"/>
  <c r="AU3144" i="1"/>
  <c r="AU3185" i="1"/>
  <c r="AU3227" i="1"/>
  <c r="AU3291" i="1"/>
  <c r="AU3335" i="1"/>
  <c r="AU3358" i="1"/>
  <c r="AU3379" i="1"/>
  <c r="AU3425" i="1"/>
  <c r="AU3472" i="1"/>
  <c r="AU3519" i="1"/>
  <c r="AU3566" i="1"/>
  <c r="AU3589" i="1"/>
  <c r="AU3613" i="1"/>
  <c r="AU3634" i="1"/>
  <c r="AU3681" i="1"/>
  <c r="AU3705" i="1"/>
  <c r="AU4014" i="1"/>
  <c r="AU4040" i="1"/>
  <c r="AU4146" i="1"/>
  <c r="AU4178" i="1"/>
  <c r="AU4210" i="1"/>
  <c r="AU4294" i="1"/>
  <c r="AU2821" i="1"/>
  <c r="AU2837" i="1"/>
  <c r="AU2853" i="1"/>
  <c r="AU2869" i="1"/>
  <c r="AU2885" i="1"/>
  <c r="AU2901" i="1"/>
  <c r="AU2917" i="1"/>
  <c r="AU2933" i="1"/>
  <c r="AU2949" i="1"/>
  <c r="AU2965" i="1"/>
  <c r="AU3042" i="1"/>
  <c r="AU3063" i="1"/>
  <c r="AU3083" i="1"/>
  <c r="AU3104" i="1"/>
  <c r="AU3166" i="1"/>
  <c r="AU3207" i="1"/>
  <c r="AU3229" i="1"/>
  <c r="AU3249" i="1"/>
  <c r="AU3271" i="1"/>
  <c r="AU3293" i="1"/>
  <c r="AU3313" i="1"/>
  <c r="AU3380" i="1"/>
  <c r="AU3402" i="1"/>
  <c r="AU3449" i="1"/>
  <c r="AU3496" i="1"/>
  <c r="AU3543" i="1"/>
  <c r="AU3590" i="1"/>
  <c r="AU3635" i="1"/>
  <c r="AU3658" i="1"/>
  <c r="AU3730" i="1"/>
  <c r="AU3758" i="1"/>
  <c r="AU3783" i="1"/>
  <c r="AU3808" i="1"/>
  <c r="AU3833" i="1"/>
  <c r="AU3858" i="1"/>
  <c r="AU3886" i="1"/>
  <c r="AU3911" i="1"/>
  <c r="AU3936" i="1"/>
  <c r="AU3961" i="1"/>
  <c r="AU3986" i="1"/>
  <c r="AU4066" i="1"/>
  <c r="AU4095" i="1"/>
  <c r="AU4121" i="1"/>
  <c r="AU4150" i="1"/>
  <c r="AU4182" i="1"/>
  <c r="AU4214" i="1"/>
  <c r="AU4254" i="1"/>
  <c r="AU4301" i="1"/>
  <c r="AU3085" i="1"/>
  <c r="AU3125" i="1"/>
  <c r="AU3145" i="1"/>
  <c r="AU3186" i="1"/>
  <c r="AU3336" i="1"/>
  <c r="AU3359" i="1"/>
  <c r="AU3381" i="1"/>
  <c r="AU3405" i="1"/>
  <c r="AU3426" i="1"/>
  <c r="AU3473" i="1"/>
  <c r="AU3520" i="1"/>
  <c r="AU3567" i="1"/>
  <c r="AU3614" i="1"/>
  <c r="AU3637" i="1"/>
  <c r="AU3661" i="1"/>
  <c r="AU3682" i="1"/>
  <c r="AU3706" i="1"/>
  <c r="AU3731" i="1"/>
  <c r="AU3859" i="1"/>
  <c r="AU3987" i="1"/>
  <c r="AU4015" i="1"/>
  <c r="AU4041" i="1"/>
  <c r="AU4070" i="1"/>
  <c r="AU3044" i="1"/>
  <c r="AU3064" i="1"/>
  <c r="AU3105" i="1"/>
  <c r="AU3126" i="1"/>
  <c r="AU3167" i="1"/>
  <c r="AU3187" i="1"/>
  <c r="AU3208" i="1"/>
  <c r="AU3230" i="1"/>
  <c r="AU3250" i="1"/>
  <c r="AU3272" i="1"/>
  <c r="AU3294" i="1"/>
  <c r="AU3314" i="1"/>
  <c r="AU3382" i="1"/>
  <c r="AU3427" i="1"/>
  <c r="AU3450" i="1"/>
  <c r="AU3497" i="1"/>
  <c r="AU3544" i="1"/>
  <c r="AU3591" i="1"/>
  <c r="AU3638" i="1"/>
  <c r="AU3683" i="1"/>
  <c r="AU3709" i="1"/>
  <c r="AU3734" i="1"/>
  <c r="AU3759" i="1"/>
  <c r="AU3784" i="1"/>
  <c r="AU3809" i="1"/>
  <c r="AU3837" i="1"/>
  <c r="AU3862" i="1"/>
  <c r="AU3887" i="1"/>
  <c r="AU3912" i="1"/>
  <c r="AU3937" i="1"/>
  <c r="AU3965" i="1"/>
  <c r="AU3990" i="1"/>
  <c r="AU4096" i="1"/>
  <c r="AU4125" i="1"/>
  <c r="AU4151" i="1"/>
  <c r="AU4183" i="1"/>
  <c r="AU4215" i="1"/>
  <c r="AU4255" i="1"/>
  <c r="AU4302" i="1"/>
  <c r="AU3615" i="1"/>
  <c r="AU3662" i="1"/>
  <c r="AU3685" i="1"/>
  <c r="AU4016" i="1"/>
  <c r="AU4045" i="1"/>
  <c r="AU4071" i="1"/>
  <c r="AU4152" i="1"/>
  <c r="AU4184" i="1"/>
  <c r="AU4216" i="1"/>
  <c r="AU3639" i="1"/>
  <c r="AU3686" i="1"/>
  <c r="AU3710" i="1"/>
  <c r="AU3735" i="1"/>
  <c r="AU3760" i="1"/>
  <c r="AU3785" i="1"/>
  <c r="AU3810" i="1"/>
  <c r="AU3838" i="1"/>
  <c r="AU3863" i="1"/>
  <c r="AU3888" i="1"/>
  <c r="AU3913" i="1"/>
  <c r="AU3938" i="1"/>
  <c r="AU3966" i="1"/>
  <c r="AU3991" i="1"/>
  <c r="AU4097" i="1"/>
  <c r="AU4126" i="1"/>
  <c r="AU4153" i="1"/>
  <c r="AU4185" i="1"/>
  <c r="AU4217" i="1"/>
  <c r="AU4256" i="1"/>
  <c r="AU4303" i="1"/>
  <c r="AU3616" i="1"/>
  <c r="AU3663" i="1"/>
  <c r="AU3811" i="1"/>
  <c r="AU3939" i="1"/>
  <c r="AU4017" i="1"/>
  <c r="AU4046" i="1"/>
  <c r="AU4072" i="1"/>
  <c r="AU4157" i="1"/>
  <c r="AU4189" i="1"/>
  <c r="AU4221" i="1"/>
  <c r="AU3640" i="1"/>
  <c r="AU3687" i="1"/>
  <c r="AU3711" i="1"/>
  <c r="AU3736" i="1"/>
  <c r="AU3761" i="1"/>
  <c r="AU3789" i="1"/>
  <c r="AU3814" i="1"/>
  <c r="AU3839" i="1"/>
  <c r="AU3864" i="1"/>
  <c r="AU3889" i="1"/>
  <c r="AU3917" i="1"/>
  <c r="AU3942" i="1"/>
  <c r="AU3967" i="1"/>
  <c r="AU3992" i="1"/>
  <c r="AU4098" i="1"/>
  <c r="AU4127" i="1"/>
  <c r="AU4257" i="1"/>
  <c r="AU4304" i="1"/>
  <c r="AU3617" i="1"/>
  <c r="AU3664" i="1"/>
  <c r="AU4018" i="1"/>
  <c r="AU4047" i="1"/>
  <c r="AU4073" i="1"/>
  <c r="AU4102" i="1"/>
  <c r="AU4158" i="1"/>
  <c r="AU4190" i="1"/>
  <c r="AU4222" i="1"/>
  <c r="AU3641" i="1"/>
  <c r="AU3688" i="1"/>
  <c r="AU3712" i="1"/>
  <c r="AU3737" i="1"/>
  <c r="AU3762" i="1"/>
  <c r="AU3790" i="1"/>
  <c r="AU3815" i="1"/>
  <c r="AU3840" i="1"/>
  <c r="AU3865" i="1"/>
  <c r="AU3890" i="1"/>
  <c r="AU3918" i="1"/>
  <c r="AU3943" i="1"/>
  <c r="AU3968" i="1"/>
  <c r="AU3993" i="1"/>
  <c r="AU4022" i="1"/>
  <c r="AU4128" i="1"/>
  <c r="AU4262" i="1"/>
  <c r="AU4305" i="1"/>
  <c r="AU3665" i="1"/>
  <c r="AU3763" i="1"/>
  <c r="AU3891" i="1"/>
  <c r="AU4048" i="1"/>
  <c r="AU4077" i="1"/>
  <c r="AU4103" i="1"/>
  <c r="AU4159" i="1"/>
  <c r="AU4191" i="1"/>
  <c r="AU4223" i="1"/>
  <c r="AU4263" i="1"/>
  <c r="AU3791" i="1"/>
  <c r="AU3894" i="1"/>
  <c r="AU3919" i="1"/>
  <c r="AU3944" i="1"/>
  <c r="AU3969" i="1"/>
  <c r="AU3997" i="1"/>
  <c r="AU4023" i="1"/>
  <c r="AU4129" i="1"/>
  <c r="AU4269" i="1"/>
  <c r="AU4317" i="1"/>
  <c r="AU2810" i="1"/>
  <c r="AU3070" i="1"/>
  <c r="AU3049" i="1"/>
  <c r="AU3457" i="1"/>
  <c r="AU3504" i="1"/>
  <c r="AU3598" i="1"/>
  <c r="AU3645" i="1"/>
  <c r="AU3666" i="1"/>
  <c r="AU4049" i="1"/>
  <c r="AU4078" i="1"/>
  <c r="AU4104" i="1"/>
  <c r="AU4160" i="1"/>
  <c r="AU4192" i="1"/>
  <c r="AU4224" i="1"/>
  <c r="AU3597" i="1"/>
  <c r="AU2778" i="1"/>
  <c r="AU2858" i="1"/>
  <c r="AU2906" i="1"/>
  <c r="AU2938" i="1"/>
  <c r="AU2989" i="1"/>
  <c r="AU3192" i="1"/>
  <c r="AU3256" i="1"/>
  <c r="AU3365" i="1"/>
  <c r="AU3480" i="1"/>
  <c r="AU3527" i="1"/>
  <c r="AU3642" i="1"/>
  <c r="AU3689" i="1"/>
  <c r="AU3816" i="1"/>
  <c r="AU3131" i="1"/>
  <c r="AU3389" i="1"/>
  <c r="AU2795" i="1"/>
  <c r="AU2827" i="1"/>
  <c r="AU2843" i="1"/>
  <c r="AU2859" i="1"/>
  <c r="AU2875" i="1"/>
  <c r="AU2891" i="1"/>
  <c r="AU2907" i="1"/>
  <c r="AU2923" i="1"/>
  <c r="AU2939" i="1"/>
  <c r="AU2955" i="1"/>
  <c r="AU2971" i="1"/>
  <c r="AU2990" i="1"/>
  <c r="AU3009" i="1"/>
  <c r="AU3030" i="1"/>
  <c r="AU3071" i="1"/>
  <c r="AU3091" i="1"/>
  <c r="AU3133" i="1"/>
  <c r="AU3173" i="1"/>
  <c r="AU3193" i="1"/>
  <c r="AU3215" i="1"/>
  <c r="AU3236" i="1"/>
  <c r="AU3257" i="1"/>
  <c r="AU3279" i="1"/>
  <c r="AU3300" i="1"/>
  <c r="AU3321" i="1"/>
  <c r="AU3344" i="1"/>
  <c r="AU3411" i="1"/>
  <c r="AU3434" i="1"/>
  <c r="AU3481" i="1"/>
  <c r="AU3528" i="1"/>
  <c r="AU3575" i="1"/>
  <c r="AU3622" i="1"/>
  <c r="AU3667" i="1"/>
  <c r="AU3690" i="1"/>
  <c r="AU3714" i="1"/>
  <c r="AU3742" i="1"/>
  <c r="AU3767" i="1"/>
  <c r="AU3792" i="1"/>
  <c r="AU3817" i="1"/>
  <c r="AU3842" i="1"/>
  <c r="AU3870" i="1"/>
  <c r="AU3895" i="1"/>
  <c r="AU3920" i="1"/>
  <c r="AU3945" i="1"/>
  <c r="AU3970" i="1"/>
  <c r="AU3998" i="1"/>
  <c r="AU4024" i="1"/>
  <c r="AU4130" i="1"/>
  <c r="AU4270" i="1"/>
  <c r="AU4318" i="1"/>
  <c r="AU2954" i="1"/>
  <c r="AU3278" i="1"/>
  <c r="AU3766" i="1"/>
  <c r="AU3551" i="1"/>
  <c r="AU2763" i="1"/>
  <c r="AU2811" i="1"/>
  <c r="AU3050" i="1"/>
  <c r="AU3092" i="1"/>
  <c r="AU3112" i="1"/>
  <c r="AU3153" i="1"/>
  <c r="AU3174" i="1"/>
  <c r="AU3237" i="1"/>
  <c r="AU3301" i="1"/>
  <c r="AU3367" i="1"/>
  <c r="AU3390" i="1"/>
  <c r="AU3413" i="1"/>
  <c r="AU3437" i="1"/>
  <c r="AU3458" i="1"/>
  <c r="AU3505" i="1"/>
  <c r="AU3552" i="1"/>
  <c r="AU3599" i="1"/>
  <c r="AU3646" i="1"/>
  <c r="AU3669" i="1"/>
  <c r="AU3693" i="1"/>
  <c r="AU3715" i="1"/>
  <c r="AU3843" i="1"/>
  <c r="AU3971" i="1"/>
  <c r="AU4050" i="1"/>
  <c r="AU4079" i="1"/>
  <c r="AU4105" i="1"/>
  <c r="AU4134" i="1"/>
  <c r="AU4161" i="1"/>
  <c r="AU4193" i="1"/>
  <c r="AU4225" i="1"/>
  <c r="AU2826" i="1"/>
  <c r="AU3320" i="1"/>
  <c r="AU3741" i="1"/>
  <c r="AU3029" i="1"/>
  <c r="AU3235" i="1"/>
  <c r="AU2860" i="1"/>
  <c r="AU2924" i="1"/>
  <c r="AU2972" i="1"/>
  <c r="AU2991" i="1"/>
  <c r="AU3031" i="1"/>
  <c r="AU3051" i="1"/>
  <c r="AU3072" i="1"/>
  <c r="AU3134" i="1"/>
  <c r="AU3194" i="1"/>
  <c r="AU3216" i="1"/>
  <c r="AU3238" i="1"/>
  <c r="AU3258" i="1"/>
  <c r="AU3280" i="1"/>
  <c r="AU3302" i="1"/>
  <c r="AU3322" i="1"/>
  <c r="AU3345" i="1"/>
  <c r="AU3414" i="1"/>
  <c r="AU3459" i="1"/>
  <c r="AU3482" i="1"/>
  <c r="AU3529" i="1"/>
  <c r="AU3576" i="1"/>
  <c r="AU3623" i="1"/>
  <c r="AU3670" i="1"/>
  <c r="AU3718" i="1"/>
  <c r="AU3743" i="1"/>
  <c r="AU3768" i="1"/>
  <c r="AU3793" i="1"/>
  <c r="AU3821" i="1"/>
  <c r="AU3846" i="1"/>
  <c r="AU3871" i="1"/>
  <c r="AU3896" i="1"/>
  <c r="AU3921" i="1"/>
  <c r="AU3949" i="1"/>
  <c r="AU3974" i="1"/>
  <c r="AU3999" i="1"/>
  <c r="AU4025" i="1"/>
  <c r="AU4054" i="1"/>
  <c r="AU4271" i="1"/>
  <c r="AU4319" i="1"/>
  <c r="AU2794" i="1"/>
  <c r="AU2874" i="1"/>
  <c r="AU2922" i="1"/>
  <c r="AU3008" i="1"/>
  <c r="AU3172" i="1"/>
  <c r="AU3234" i="1"/>
  <c r="AU3386" i="1"/>
  <c r="AU3574" i="1"/>
  <c r="AU3869" i="1"/>
  <c r="AU3090" i="1"/>
  <c r="AU3152" i="1"/>
  <c r="AU3299" i="1"/>
  <c r="AU3410" i="1"/>
  <c r="AU2779" i="1"/>
  <c r="AU2780" i="1"/>
  <c r="AU2812" i="1"/>
  <c r="AU2844" i="1"/>
  <c r="AU2876" i="1"/>
  <c r="AU2908" i="1"/>
  <c r="AU2940" i="1"/>
  <c r="AU2956" i="1"/>
  <c r="AU3010" i="1"/>
  <c r="AU3011" i="1"/>
  <c r="AU3053" i="1"/>
  <c r="AU3093" i="1"/>
  <c r="AU3113" i="1"/>
  <c r="AU3154" i="1"/>
  <c r="AU3175" i="1"/>
  <c r="AU3195" i="1"/>
  <c r="AU3259" i="1"/>
  <c r="AU3325" i="1"/>
  <c r="AU3368" i="1"/>
  <c r="AU3391" i="1"/>
  <c r="AU3438" i="1"/>
  <c r="AU3461" i="1"/>
  <c r="AU3485" i="1"/>
  <c r="AU3506" i="1"/>
  <c r="AU3553" i="1"/>
  <c r="AU3600" i="1"/>
  <c r="AU3647" i="1"/>
  <c r="AU3694" i="1"/>
  <c r="AU4080" i="1"/>
  <c r="AU4109" i="1"/>
  <c r="AU4135" i="1"/>
  <c r="AU4162" i="1"/>
  <c r="AU4194" i="1"/>
  <c r="AU4230" i="1"/>
  <c r="AU3456" i="1"/>
  <c r="AU3618" i="1"/>
  <c r="AU2762" i="1"/>
  <c r="AU2842" i="1"/>
  <c r="AU2890" i="1"/>
  <c r="AU2970" i="1"/>
  <c r="AU3130" i="1"/>
  <c r="AU3214" i="1"/>
  <c r="AU3298" i="1"/>
  <c r="AU3433" i="1"/>
  <c r="AU3619" i="1"/>
  <c r="AU3713" i="1"/>
  <c r="AU3841" i="1"/>
  <c r="AU3111" i="1"/>
  <c r="AU3366" i="1"/>
  <c r="AU3621" i="1"/>
  <c r="AU2764" i="1"/>
  <c r="AU2796" i="1"/>
  <c r="AU2828" i="1"/>
  <c r="AU2892" i="1"/>
  <c r="AU2765" i="1"/>
  <c r="AU2781" i="1"/>
  <c r="AU2797" i="1"/>
  <c r="AU2813" i="1"/>
  <c r="AU2829" i="1"/>
  <c r="AU2845" i="1"/>
  <c r="AU2861" i="1"/>
  <c r="AU2877" i="1"/>
  <c r="AU2893" i="1"/>
  <c r="AU2909" i="1"/>
  <c r="AU2925" i="1"/>
  <c r="AU2941" i="1"/>
  <c r="AU2957" i="1"/>
  <c r="AU2973" i="1"/>
  <c r="AU2992" i="1"/>
  <c r="AU3012" i="1"/>
  <c r="AU3032" i="1"/>
  <c r="AU3073" i="1"/>
  <c r="AU3094" i="1"/>
  <c r="AU3135" i="1"/>
  <c r="AU3155" i="1"/>
  <c r="AU3197" i="1"/>
  <c r="AU3217" i="1"/>
  <c r="AU3239" i="1"/>
  <c r="AU3261" i="1"/>
  <c r="AU3281" i="1"/>
  <c r="AU3303" i="1"/>
  <c r="AU3346" i="1"/>
  <c r="AU3415" i="1"/>
  <c r="AU3462" i="1"/>
  <c r="AU3507" i="1"/>
  <c r="AU3530" i="1"/>
  <c r="AU3577" i="1"/>
  <c r="AU3624" i="1"/>
  <c r="AU3671" i="1"/>
  <c r="AU3719" i="1"/>
  <c r="AU3744" i="1"/>
  <c r="AU3769" i="1"/>
  <c r="AU3794" i="1"/>
  <c r="AU3822" i="1"/>
  <c r="AU3847" i="1"/>
  <c r="AU3872" i="1"/>
  <c r="AU3897" i="1"/>
  <c r="AU3922" i="1"/>
  <c r="AU3950" i="1"/>
  <c r="AU3975" i="1"/>
  <c r="AU4000" i="1"/>
  <c r="AU4029" i="1"/>
  <c r="AU4055" i="1"/>
  <c r="AU4166" i="1"/>
  <c r="AU4198" i="1"/>
  <c r="AU4272" i="1"/>
  <c r="AU4320" i="1"/>
  <c r="AU4321" i="1"/>
  <c r="AU4226" i="1"/>
  <c r="AU4242" i="1"/>
  <c r="AU4258" i="1"/>
  <c r="AU4274" i="1"/>
  <c r="AU4290" i="1"/>
  <c r="AU4306" i="1"/>
  <c r="AU4322" i="1"/>
  <c r="AU4003" i="1"/>
  <c r="AU4019" i="1"/>
  <c r="AU4035" i="1"/>
  <c r="AU4051" i="1"/>
  <c r="AU4067" i="1"/>
  <c r="AU4083" i="1"/>
  <c r="AU4099" i="1"/>
  <c r="AU4115" i="1"/>
  <c r="AU4131" i="1"/>
  <c r="AU4147" i="1"/>
  <c r="AU4163" i="1"/>
  <c r="AU4179" i="1"/>
  <c r="AU4195" i="1"/>
  <c r="AU4211" i="1"/>
  <c r="AU4227" i="1"/>
  <c r="AU4243" i="1"/>
  <c r="AU4259" i="1"/>
  <c r="AU4275" i="1"/>
  <c r="AU4291" i="1"/>
  <c r="AU4307" i="1"/>
  <c r="AU4323" i="1"/>
  <c r="AU3396" i="1"/>
  <c r="AU3412" i="1"/>
  <c r="AU3428" i="1"/>
  <c r="AU3444" i="1"/>
  <c r="AU3460" i="1"/>
  <c r="AU3476" i="1"/>
  <c r="AU3492" i="1"/>
  <c r="AU3508" i="1"/>
  <c r="AU3524" i="1"/>
  <c r="AU3540" i="1"/>
  <c r="AU3556" i="1"/>
  <c r="AU3572" i="1"/>
  <c r="AU3588" i="1"/>
  <c r="AU3604" i="1"/>
  <c r="AU3620" i="1"/>
  <c r="AU3636" i="1"/>
  <c r="AU3652" i="1"/>
  <c r="AU3668" i="1"/>
  <c r="AU3684" i="1"/>
  <c r="AU3700" i="1"/>
  <c r="AU3716" i="1"/>
  <c r="AU3732" i="1"/>
  <c r="AU3748" i="1"/>
  <c r="AU3764" i="1"/>
  <c r="AU3780" i="1"/>
  <c r="AU3796" i="1"/>
  <c r="AU3812" i="1"/>
  <c r="AU3828" i="1"/>
  <c r="AU3844" i="1"/>
  <c r="AU3860" i="1"/>
  <c r="AU3876" i="1"/>
  <c r="AU3892" i="1"/>
  <c r="AU3908" i="1"/>
  <c r="AU3924" i="1"/>
  <c r="AU3940" i="1"/>
  <c r="AU3956" i="1"/>
  <c r="AU3972" i="1"/>
  <c r="AU3988" i="1"/>
  <c r="AU4004" i="1"/>
  <c r="AU4020" i="1"/>
  <c r="AU4036" i="1"/>
  <c r="AU4052" i="1"/>
  <c r="AU4068" i="1"/>
  <c r="AU4084" i="1"/>
  <c r="AU4100" i="1"/>
  <c r="AU4116" i="1"/>
  <c r="AU4132" i="1"/>
  <c r="AU4148" i="1"/>
  <c r="AU4164" i="1"/>
  <c r="AU4180" i="1"/>
  <c r="AU4196" i="1"/>
  <c r="AU4212" i="1"/>
  <c r="AU4228" i="1"/>
  <c r="AU4244" i="1"/>
  <c r="AU4260" i="1"/>
  <c r="AU4276" i="1"/>
  <c r="AU4292" i="1"/>
  <c r="AU4308" i="1"/>
  <c r="AU4324" i="1"/>
  <c r="AU3701" i="1"/>
  <c r="AU3717" i="1"/>
  <c r="AU3733" i="1"/>
  <c r="AU3749" i="1"/>
  <c r="AU3765" i="1"/>
  <c r="AU3781" i="1"/>
  <c r="AU3797" i="1"/>
  <c r="AU3813" i="1"/>
  <c r="AU3829" i="1"/>
  <c r="AU3845" i="1"/>
  <c r="AU3861" i="1"/>
  <c r="AU3877" i="1"/>
  <c r="AU3893" i="1"/>
  <c r="AU3909" i="1"/>
  <c r="AU3925" i="1"/>
  <c r="AU3941" i="1"/>
  <c r="AU3957" i="1"/>
  <c r="AU3973" i="1"/>
  <c r="AU3989" i="1"/>
  <c r="AU4005" i="1"/>
  <c r="AU4021" i="1"/>
  <c r="AU4037" i="1"/>
  <c r="AU4053" i="1"/>
  <c r="AU4069" i="1"/>
  <c r="AU4085" i="1"/>
  <c r="AU4101" i="1"/>
  <c r="AU4117" i="1"/>
  <c r="AU4133" i="1"/>
  <c r="AU4149" i="1"/>
  <c r="AU4165" i="1"/>
  <c r="AU4181" i="1"/>
  <c r="AU4197" i="1"/>
  <c r="AU4213" i="1"/>
  <c r="AU4229" i="1"/>
  <c r="AU4245" i="1"/>
  <c r="AU4261" i="1"/>
  <c r="AU4277" i="1"/>
  <c r="AU4293" i="1"/>
  <c r="AU4309" i="1"/>
  <c r="AU4325" i="1"/>
  <c r="AU4310" i="1"/>
  <c r="AU4326" i="1"/>
  <c r="AU4279" i="1"/>
  <c r="AU4295" i="1"/>
  <c r="AU4311" i="1"/>
  <c r="AU4327" i="1"/>
  <c r="AU4232" i="1"/>
  <c r="AU4248" i="1"/>
  <c r="AU4264" i="1"/>
  <c r="AU4280" i="1"/>
  <c r="AU4296" i="1"/>
  <c r="AU4312" i="1"/>
  <c r="AU4328" i="1"/>
  <c r="AU4233" i="1"/>
  <c r="AU4249" i="1"/>
  <c r="AU4265" i="1"/>
  <c r="AU4281" i="1"/>
  <c r="AU4297" i="1"/>
  <c r="AU4313" i="1"/>
  <c r="AU4329" i="1"/>
  <c r="AU3722" i="1"/>
  <c r="AU3738" i="1"/>
  <c r="AU3754" i="1"/>
  <c r="AU3770" i="1"/>
  <c r="AU3786" i="1"/>
  <c r="AU3802" i="1"/>
  <c r="AU3818" i="1"/>
  <c r="AU3834" i="1"/>
  <c r="AU3850" i="1"/>
  <c r="AU3866" i="1"/>
  <c r="AU3882" i="1"/>
  <c r="AU3898" i="1"/>
  <c r="AU3914" i="1"/>
  <c r="AU3930" i="1"/>
  <c r="AU3946" i="1"/>
  <c r="AU3962" i="1"/>
  <c r="AU3978" i="1"/>
  <c r="AU3994" i="1"/>
  <c r="AU4010" i="1"/>
  <c r="AU4026" i="1"/>
  <c r="AU4042" i="1"/>
  <c r="AU4058" i="1"/>
  <c r="AU4074" i="1"/>
  <c r="AU4090" i="1"/>
  <c r="AU4106" i="1"/>
  <c r="AU4122" i="1"/>
  <c r="AU4138" i="1"/>
  <c r="AU4154" i="1"/>
  <c r="AU4170" i="1"/>
  <c r="AU4186" i="1"/>
  <c r="AU4202" i="1"/>
  <c r="AU4218" i="1"/>
  <c r="AU4234" i="1"/>
  <c r="AU4250" i="1"/>
  <c r="AU4266" i="1"/>
  <c r="AU4282" i="1"/>
  <c r="AU4298" i="1"/>
  <c r="AU4314" i="1"/>
  <c r="AU4330" i="1"/>
  <c r="AU3323" i="1"/>
  <c r="AU3339" i="1"/>
  <c r="AU3355" i="1"/>
  <c r="AU3371" i="1"/>
  <c r="AU3387" i="1"/>
  <c r="AU3403" i="1"/>
  <c r="AU3419" i="1"/>
  <c r="AU3435" i="1"/>
  <c r="AU3451" i="1"/>
  <c r="AU3467" i="1"/>
  <c r="AU3483" i="1"/>
  <c r="AU3499" i="1"/>
  <c r="AU3515" i="1"/>
  <c r="AU3531" i="1"/>
  <c r="AU3547" i="1"/>
  <c r="AU3563" i="1"/>
  <c r="AU3579" i="1"/>
  <c r="AU3595" i="1"/>
  <c r="AU3611" i="1"/>
  <c r="AU3627" i="1"/>
  <c r="AU3643" i="1"/>
  <c r="AU3659" i="1"/>
  <c r="AU3675" i="1"/>
  <c r="AU3691" i="1"/>
  <c r="AU3707" i="1"/>
  <c r="AU3723" i="1"/>
  <c r="AU3739" i="1"/>
  <c r="AU3755" i="1"/>
  <c r="AU3771" i="1"/>
  <c r="AU3787" i="1"/>
  <c r="AU3803" i="1"/>
  <c r="AU3819" i="1"/>
  <c r="AU3835" i="1"/>
  <c r="AU3851" i="1"/>
  <c r="AU3867" i="1"/>
  <c r="AU3883" i="1"/>
  <c r="AU3899" i="1"/>
  <c r="AU3915" i="1"/>
  <c r="AU3931" i="1"/>
  <c r="AU3947" i="1"/>
  <c r="AU3963" i="1"/>
  <c r="AU3979" i="1"/>
  <c r="AU3995" i="1"/>
  <c r="AU4011" i="1"/>
  <c r="AU4027" i="1"/>
  <c r="AU4043" i="1"/>
  <c r="AU4059" i="1"/>
  <c r="AU4075" i="1"/>
  <c r="AU4091" i="1"/>
  <c r="AU4107" i="1"/>
  <c r="AU4123" i="1"/>
  <c r="AU4139" i="1"/>
  <c r="AU4155" i="1"/>
  <c r="AU4171" i="1"/>
  <c r="AU4187" i="1"/>
  <c r="AU4203" i="1"/>
  <c r="AU4219" i="1"/>
  <c r="AU4235" i="1"/>
  <c r="AU4251" i="1"/>
  <c r="AU4267" i="1"/>
  <c r="AU4283" i="1"/>
  <c r="AU4299" i="1"/>
  <c r="AU4315" i="1"/>
  <c r="AU4331" i="1"/>
  <c r="AU3020" i="1"/>
  <c r="AU3036" i="1"/>
  <c r="AU3052" i="1"/>
  <c r="AU3068" i="1"/>
  <c r="AU3084" i="1"/>
  <c r="AU3100" i="1"/>
  <c r="AU3116" i="1"/>
  <c r="AU3132" i="1"/>
  <c r="AU3148" i="1"/>
  <c r="AU3164" i="1"/>
  <c r="AU3180" i="1"/>
  <c r="AU3196" i="1"/>
  <c r="AU3212" i="1"/>
  <c r="AU3228" i="1"/>
  <c r="AU3244" i="1"/>
  <c r="AU3260" i="1"/>
  <c r="AU3276" i="1"/>
  <c r="AU3292" i="1"/>
  <c r="AU3308" i="1"/>
  <c r="AU3324" i="1"/>
  <c r="AU3340" i="1"/>
  <c r="AU3356" i="1"/>
  <c r="AU3372" i="1"/>
  <c r="AU3388" i="1"/>
  <c r="AU3404" i="1"/>
  <c r="AU3420" i="1"/>
  <c r="AU3436" i="1"/>
  <c r="AU3452" i="1"/>
  <c r="AU3468" i="1"/>
  <c r="AU3484" i="1"/>
  <c r="AU3500" i="1"/>
  <c r="AU3516" i="1"/>
  <c r="AU3532" i="1"/>
  <c r="AU3548" i="1"/>
  <c r="AU3564" i="1"/>
  <c r="AU3580" i="1"/>
  <c r="AU3596" i="1"/>
  <c r="AU3612" i="1"/>
  <c r="AU3628" i="1"/>
  <c r="AU3644" i="1"/>
  <c r="AU3660" i="1"/>
  <c r="AU3676" i="1"/>
  <c r="AU3692" i="1"/>
  <c r="AU3708" i="1"/>
  <c r="AU3724" i="1"/>
  <c r="AU3740" i="1"/>
  <c r="AU3756" i="1"/>
  <c r="AU3772" i="1"/>
  <c r="AU3788" i="1"/>
  <c r="AU3804" i="1"/>
  <c r="AU3820" i="1"/>
  <c r="AU3836" i="1"/>
  <c r="AU3852" i="1"/>
  <c r="AU3868" i="1"/>
  <c r="AU3884" i="1"/>
  <c r="AU3900" i="1"/>
  <c r="AU3916" i="1"/>
  <c r="AU3932" i="1"/>
  <c r="AU3948" i="1"/>
  <c r="AU3964" i="1"/>
  <c r="AU3980" i="1"/>
  <c r="AU3996" i="1"/>
  <c r="AU4012" i="1"/>
  <c r="AU4028" i="1"/>
  <c r="AU4044" i="1"/>
  <c r="AU4060" i="1"/>
  <c r="AU4076" i="1"/>
  <c r="AU4092" i="1"/>
  <c r="AU4108" i="1"/>
  <c r="AU4124" i="1"/>
  <c r="AU4140" i="1"/>
  <c r="AU4156" i="1"/>
  <c r="AU4172" i="1"/>
  <c r="AU4188" i="1"/>
  <c r="AU4204" i="1"/>
  <c r="AU4220" i="1"/>
  <c r="AU4236" i="1"/>
  <c r="AU4252" i="1"/>
  <c r="AU4268" i="1"/>
  <c r="AU4284" i="1"/>
  <c r="AU4300" i="1"/>
  <c r="AU4316" i="1"/>
  <c r="AU4332" i="1"/>
  <c r="AU2753" i="1"/>
  <c r="AU2752" i="1"/>
  <c r="AU2751" i="1"/>
  <c r="AU2750" i="1"/>
  <c r="AU951" i="1" a="1"/>
  <c r="AU929" i="1" a="1"/>
  <c r="AU84" i="1" a="1"/>
  <c r="AU164" i="1" a="1"/>
  <c r="AU501" i="1" a="1"/>
  <c r="AU179" i="1" a="1"/>
  <c r="AU630" i="1" a="1"/>
  <c r="AU942" i="1" a="1"/>
  <c r="AU901" i="1" a="1"/>
  <c r="AU381" i="1" a="1"/>
  <c r="AU220" i="1" a="1"/>
  <c r="AU540" i="1" a="1"/>
  <c r="AU601" i="1" a="1"/>
  <c r="AU89" i="1" a="1"/>
  <c r="AU235" i="1" a="1"/>
  <c r="AU633" i="1" a="1"/>
  <c r="AU795" i="1" a="1"/>
  <c r="AU661" i="1" a="1"/>
  <c r="AU659" i="1" a="1"/>
  <c r="AU2301" i="1" a="1"/>
  <c r="AU1789" i="1" a="1"/>
  <c r="AU2636" i="1" a="1"/>
  <c r="AU2124" i="1" a="1"/>
  <c r="AU1612" i="1" a="1"/>
  <c r="AU2459" i="1" a="1"/>
  <c r="AU1947" i="1" a="1"/>
  <c r="AU2698" i="1" a="1"/>
  <c r="AU2186" i="1" a="1"/>
  <c r="AU2249" i="1" a="1"/>
  <c r="AU2312" i="1" a="1"/>
  <c r="AU2343" i="1" a="1"/>
  <c r="AU2342" i="1" a="1"/>
  <c r="AU1830" i="1" a="1"/>
  <c r="AU2677" i="1" a="1"/>
  <c r="AU2165" i="1" a="1"/>
  <c r="AU1653" i="1" a="1"/>
  <c r="AU2500" i="1" a="1"/>
  <c r="AU1988" i="1" a="1"/>
  <c r="AU1476" i="1" a="1"/>
  <c r="AU2275" i="1" a="1"/>
  <c r="AU1763" i="1" a="1"/>
  <c r="AU2370" i="1" a="1"/>
  <c r="AU2433" i="1" a="1"/>
  <c r="AU2496" i="1" a="1"/>
  <c r="AU2527" i="1" a="1"/>
  <c r="AU1616" i="1" a="1"/>
  <c r="AU1054" i="1" a="1"/>
  <c r="AU1824" i="1" a="1"/>
  <c r="AU1041" i="1" a="1"/>
  <c r="AU1761" i="1" a="1"/>
  <c r="AU1167" i="1" a="1"/>
  <c r="AU2130" i="1" a="1"/>
  <c r="AU1416" i="1" a="1"/>
  <c r="AU1999" i="1" a="1"/>
  <c r="AU1341" i="1" a="1"/>
  <c r="AU1550" i="1" a="1"/>
  <c r="AU1164" i="1" a="1"/>
  <c r="AU1993" i="1" a="1"/>
  <c r="AU1079" i="1" a="1"/>
  <c r="AU1092" i="1" a="1"/>
  <c r="AU1130" i="1" a="1"/>
  <c r="AU1029" i="1" a="1"/>
  <c r="AU1145" i="1" a="1"/>
  <c r="AU1078" i="1" a="1"/>
  <c r="AU1176" i="1" a="1"/>
  <c r="AU1403" i="1" a="1"/>
  <c r="AU1713" i="1" a="1"/>
  <c r="AU1270" i="1" a="1"/>
  <c r="AU1619" i="1" a="1"/>
  <c r="AU1592" i="1" a="1"/>
  <c r="AU1204" i="1" a="1"/>
  <c r="AU1706" i="1" a="1"/>
  <c r="AU1024" i="1" a="1"/>
  <c r="AU997" i="1" a="1"/>
  <c r="AU972" i="1" a="1"/>
  <c r="AU482" i="1" a="1"/>
  <c r="AU1876" i="1" a="1"/>
  <c r="AU2064" i="1" a="1"/>
  <c r="AU2097" i="1" a="1"/>
  <c r="AU2214" i="1" a="1"/>
  <c r="AU1635" i="1" a="1"/>
  <c r="AU1585" i="1" a="1"/>
  <c r="AU1583" i="1" a="1"/>
  <c r="AU1474" i="1" a="1"/>
  <c r="AU1048" i="1" a="1"/>
  <c r="AU2146" i="1" a="1"/>
  <c r="AU2198" i="1" a="1"/>
  <c r="AU2738" i="1" a="1"/>
  <c r="AU2526" i="1" a="1"/>
  <c r="AU1317" i="1" a="1"/>
  <c r="AU2367" i="1" a="1"/>
  <c r="AU1181" i="1" a="1"/>
  <c r="AU1929" i="1" a="1"/>
  <c r="AU1858" i="1" a="1"/>
  <c r="AU2257" i="1" a="1"/>
  <c r="AU2032" i="1" a="1"/>
  <c r="AU1339" i="1" a="1"/>
  <c r="AU1223" i="1" a="1"/>
  <c r="AU1315" i="1" a="1"/>
  <c r="AU1375" i="1" a="1"/>
  <c r="AU1323" i="1" a="1"/>
  <c r="AU1207" i="1" a="1"/>
  <c r="AU1299" i="1" a="1"/>
  <c r="AU1522" i="1" a="1"/>
  <c r="AU2112" i="1" a="1"/>
  <c r="AU1769" i="1" a="1"/>
  <c r="AU1904" i="1" a="1"/>
  <c r="AU1922" i="1" a="1"/>
  <c r="AU977" i="1" a="1"/>
  <c r="AU370" i="1" a="1"/>
  <c r="AU909" i="1" a="1"/>
  <c r="AU53" i="1" a="1"/>
  <c r="AU451" i="1" a="1"/>
  <c r="AU480" i="1" a="1"/>
  <c r="AU46" i="1" a="1"/>
  <c r="AU609" i="1" a="1"/>
  <c r="AU925" i="1" a="1"/>
  <c r="AU878" i="1" a="1"/>
  <c r="AU61" i="1" a="1"/>
  <c r="AU175" i="1" a="1"/>
  <c r="AU469" i="1" a="1"/>
  <c r="AU562" i="1" a="1"/>
  <c r="AU532" i="1" a="1"/>
  <c r="AU580" i="1" a="1"/>
  <c r="AU935" i="1" a="1"/>
  <c r="AU773" i="1" a="1"/>
  <c r="AU635" i="1" a="1"/>
  <c r="AU268" i="1" a="1"/>
  <c r="AU2285" i="1" a="1"/>
  <c r="AU1773" i="1" a="1"/>
  <c r="AU2620" i="1" a="1"/>
  <c r="AU2108" i="1" a="1"/>
  <c r="AU1596" i="1" a="1"/>
  <c r="AU2443" i="1" a="1"/>
  <c r="AU1931" i="1" a="1"/>
  <c r="AU2682" i="1" a="1"/>
  <c r="AU2745" i="1" a="1"/>
  <c r="AU2233" i="1" a="1"/>
  <c r="AU2296" i="1" a="1"/>
  <c r="AU2327" i="1" a="1"/>
  <c r="AU2326" i="1" a="1"/>
  <c r="AU1814" i="1" a="1"/>
  <c r="AU2661" i="1" a="1"/>
  <c r="AU2149" i="1" a="1"/>
  <c r="AU1637" i="1" a="1"/>
  <c r="AU2484" i="1" a="1"/>
  <c r="AU1972" i="1" a="1"/>
  <c r="AU1460" i="1" a="1"/>
  <c r="AU2259" i="1" a="1"/>
  <c r="AU1747" i="1" a="1"/>
  <c r="AU2354" i="1" a="1"/>
  <c r="AU2417" i="1" a="1"/>
  <c r="AU2480" i="1" a="1"/>
  <c r="AU2511" i="1" a="1"/>
  <c r="AU1586" i="1" a="1"/>
  <c r="AU1037" i="1" a="1"/>
  <c r="AU1793" i="1" a="1"/>
  <c r="AU1359" i="1" a="1"/>
  <c r="AU1730" i="1" a="1"/>
  <c r="AU1087" i="1" a="1"/>
  <c r="AU2074" i="1" a="1"/>
  <c r="AU1391" i="1" a="1"/>
  <c r="AU1968" i="1" a="1"/>
  <c r="AU1325" i="1" a="1"/>
  <c r="AU1465" i="1" a="1"/>
  <c r="AU1148" i="1" a="1"/>
  <c r="AU1962" i="1" a="1"/>
  <c r="AU1206" i="1" a="1"/>
  <c r="AU1977" i="1" a="1"/>
  <c r="AU1114" i="1" a="1"/>
  <c r="AU1060" i="1" a="1"/>
  <c r="AU1129" i="1" a="1"/>
  <c r="AU1093" i="1" a="1"/>
  <c r="AU1160" i="1" a="1"/>
  <c r="AU1287" i="1" a="1"/>
  <c r="AU1682" i="1" a="1"/>
  <c r="AU1254" i="1" a="1"/>
  <c r="AU1536" i="1" a="1"/>
  <c r="AU1562" i="1" a="1"/>
  <c r="AU1188" i="1" a="1"/>
  <c r="AU1678" i="1" a="1"/>
  <c r="AU1022" i="1" a="1"/>
  <c r="AU981" i="1" a="1"/>
  <c r="AU988" i="1" a="1"/>
  <c r="AU2524" i="1" a="1"/>
  <c r="AU1835" i="1" a="1"/>
  <c r="AU2743" i="1" a="1"/>
  <c r="AU2053" i="1" a="1"/>
  <c r="AU2258" i="1" a="1"/>
  <c r="AU2034" i="1" a="1"/>
  <c r="AU1759" i="1" a="1"/>
  <c r="AU1351" i="1" a="1"/>
  <c r="AU1402" i="1" a="1"/>
  <c r="AU949" i="1" a="1"/>
  <c r="AU2727" i="1" a="1"/>
  <c r="AU1860" i="1" a="1"/>
  <c r="AU2007" i="1" a="1"/>
  <c r="AU1213" i="1" a="1"/>
  <c r="AU1991" i="1" a="1"/>
  <c r="AU1333" i="1" a="1"/>
  <c r="AU1686" i="1" a="1"/>
  <c r="AU2289" i="1" a="1"/>
  <c r="AU1697" i="1" a="1"/>
  <c r="AU1960" i="1" a="1"/>
  <c r="AU1347" i="1" a="1"/>
  <c r="AU2273" i="1" a="1"/>
  <c r="AU1975" i="1" a="1"/>
  <c r="AU1966" i="1" a="1"/>
  <c r="AU1028" i="1" a="1"/>
  <c r="AU2098" i="1" a="1"/>
  <c r="AU994" i="1" a="1"/>
  <c r="AU2320" i="1" a="1"/>
  <c r="AU2120" i="1" a="1"/>
  <c r="AU1712" i="1" a="1"/>
  <c r="AU1552" i="1" a="1"/>
  <c r="AU2169" i="1" a="1"/>
  <c r="AU1984" i="1" a="1"/>
  <c r="AU1978" i="1" a="1"/>
  <c r="AU1280" i="1" a="1"/>
  <c r="AU2430" i="1" a="1"/>
  <c r="AU1014" i="1" a="1"/>
  <c r="AU1488" i="1" a="1"/>
  <c r="AU1623" i="1" a="1"/>
  <c r="AU1267" i="1" a="1"/>
  <c r="AU970" i="1" a="1"/>
  <c r="AU107" i="1" a="1"/>
  <c r="AU887" i="1" a="1"/>
  <c r="AU24" i="1" a="1"/>
  <c r="AU127" i="1" a="1"/>
  <c r="AU418" i="1" a="1"/>
  <c r="AU652" i="1" a="1"/>
  <c r="AU590" i="1" a="1"/>
  <c r="AU905" i="1" a="1"/>
  <c r="AU857" i="1" a="1"/>
  <c r="AU595" i="1" a="1"/>
  <c r="AU120" i="1" a="1"/>
  <c r="AU344" i="1" a="1"/>
  <c r="AU513" i="1" a="1"/>
  <c r="AU29" i="1" a="1"/>
  <c r="AU253" i="1" a="1"/>
  <c r="AU915" i="1" a="1"/>
  <c r="AU742" i="1" a="1"/>
  <c r="AU507" i="1" a="1"/>
  <c r="AU11" i="1" a="1"/>
  <c r="AU2269" i="1" a="1"/>
  <c r="AU1757" i="1" a="1"/>
  <c r="AU2604" i="1" a="1"/>
  <c r="AU2092" i="1" a="1"/>
  <c r="AU1580" i="1" a="1"/>
  <c r="AU2427" i="1" a="1"/>
  <c r="AU1915" i="1" a="1"/>
  <c r="AU2666" i="1" a="1"/>
  <c r="AU2729" i="1" a="1"/>
  <c r="AU2217" i="1" a="1"/>
  <c r="AU2280" i="1" a="1"/>
  <c r="AU2311" i="1" a="1"/>
  <c r="AU2310" i="1" a="1"/>
  <c r="AU1798" i="1" a="1"/>
  <c r="AU2645" i="1" a="1"/>
  <c r="AU2133" i="1" a="1"/>
  <c r="AU1621" i="1" a="1"/>
  <c r="AU2468" i="1" a="1"/>
  <c r="AU1956" i="1" a="1"/>
  <c r="AU1444" i="1" a="1"/>
  <c r="AU2243" i="1" a="1"/>
  <c r="AU1731" i="1" a="1"/>
  <c r="AU2338" i="1" a="1"/>
  <c r="AU2401" i="1" a="1"/>
  <c r="AU2464" i="1" a="1"/>
  <c r="AU2495" i="1" a="1"/>
  <c r="AU1503" i="1" a="1"/>
  <c r="AU2008" i="1" a="1"/>
  <c r="AU1762" i="1" a="1"/>
  <c r="AU1103" i="1" a="1"/>
  <c r="AU1703" i="1" a="1"/>
  <c r="AU1055" i="1" a="1"/>
  <c r="AU1791" i="1" a="1"/>
  <c r="AU2606" i="1" a="1"/>
  <c r="AU1937" i="1" a="1"/>
  <c r="AU1309" i="1" a="1"/>
  <c r="AU1439" i="1" a="1"/>
  <c r="AU1132" i="1" a="1"/>
  <c r="AU1934" i="1" a="1"/>
  <c r="AU1094" i="1" a="1"/>
  <c r="AU2478" i="1" a="1"/>
  <c r="AU1098" i="1" a="1"/>
  <c r="AU1946" i="1" a="1"/>
  <c r="AU1113" i="1" a="1"/>
  <c r="AU2414" i="1" a="1"/>
  <c r="AU1144" i="1" a="1"/>
  <c r="AU1175" i="1" a="1"/>
  <c r="AU1655" i="1" a="1"/>
  <c r="AU1238" i="1" a="1"/>
  <c r="AU1506" i="1" a="1"/>
  <c r="AU1425" i="1" a="1"/>
  <c r="AU1172" i="1" a="1"/>
  <c r="AU1617" i="1" a="1"/>
  <c r="AU1001" i="1" a="1"/>
  <c r="AU965" i="1" a="1"/>
  <c r="AU987" i="1" a="1"/>
  <c r="AU2189" i="1" a="1"/>
  <c r="AU2712" i="1" a="1"/>
  <c r="AU1541" i="1" a="1"/>
  <c r="AU2415" i="1" a="1"/>
  <c r="AU2654" i="1" a="1"/>
  <c r="AU1489" i="1" a="1"/>
  <c r="AU1986" i="1" a="1"/>
  <c r="AU2270" i="1" a="1"/>
  <c r="AU2570" i="1" a="1"/>
  <c r="AU2659" i="1" a="1"/>
  <c r="AU2033" i="1" a="1"/>
  <c r="AU2025" i="1" a="1"/>
  <c r="AU1335" i="1" a="1"/>
  <c r="AU1920" i="1" a="1"/>
  <c r="AU2533" i="1" a="1"/>
  <c r="AU2352" i="1" a="1"/>
  <c r="AU1197" i="1" a="1"/>
  <c r="AU1032" i="1" a="1"/>
  <c r="AU947" i="1" a="1"/>
  <c r="AU2336" i="1" a="1"/>
  <c r="AU1523" i="1" a="1"/>
  <c r="AU1902" i="1" a="1"/>
  <c r="AU1743" i="1" a="1"/>
  <c r="AU2351" i="1" a="1"/>
  <c r="AU1495" i="1" a="1"/>
  <c r="AU1898" i="1" a="1"/>
  <c r="AU1831" i="1" a="1"/>
  <c r="AU2001" i="1" a="1"/>
  <c r="AU1664" i="1" a="1"/>
  <c r="AU1838" i="1" a="1"/>
  <c r="AU1015" i="1" a="1"/>
  <c r="AU1633" i="1" a="1"/>
  <c r="AU1600" i="1" a="1"/>
  <c r="AU1253" i="1" a="1"/>
  <c r="AU1603" i="1" a="1"/>
  <c r="AU1570" i="1" a="1"/>
  <c r="AU1679" i="1" a="1"/>
  <c r="AU51" i="1" a="1"/>
  <c r="AU865" i="1" a="1"/>
  <c r="AU160" i="1" a="1"/>
  <c r="AU861" i="1" a="1"/>
  <c r="AU367" i="1" a="1"/>
  <c r="AU523" i="1" a="1"/>
  <c r="AU549" i="1" a="1"/>
  <c r="AU881" i="1" a="1"/>
  <c r="AU835" i="1" a="1"/>
  <c r="AU293" i="1" a="1"/>
  <c r="AU40" i="1" a="1"/>
  <c r="AU255" i="1" a="1"/>
  <c r="AU471" i="1" a="1"/>
  <c r="AU183" i="1" a="1"/>
  <c r="AU636" i="1" a="1"/>
  <c r="AU896" i="1" a="1"/>
  <c r="AU714" i="1" a="1"/>
  <c r="AU232" i="1" a="1"/>
  <c r="AU2754" i="1" a="1"/>
  <c r="AU2253" i="1" a="1"/>
  <c r="AU1741" i="1" a="1"/>
  <c r="AU2588" i="1" a="1"/>
  <c r="AU2076" i="1" a="1"/>
  <c r="AU1564" i="1" a="1"/>
  <c r="AU2411" i="1" a="1"/>
  <c r="AU1899" i="1" a="1"/>
  <c r="AU2650" i="1" a="1"/>
  <c r="AU2713" i="1" a="1"/>
  <c r="AU2201" i="1" a="1"/>
  <c r="AU2264" i="1" a="1"/>
  <c r="AU2295" i="1" a="1"/>
  <c r="AU2294" i="1" a="1"/>
  <c r="AU1782" i="1" a="1"/>
  <c r="AU2629" i="1" a="1"/>
  <c r="AU2117" i="1" a="1"/>
  <c r="AU1605" i="1" a="1"/>
  <c r="AU2452" i="1" a="1"/>
  <c r="AU1940" i="1" a="1"/>
  <c r="AU2739" i="1" a="1"/>
  <c r="AU2227" i="1" a="1"/>
  <c r="AU1715" i="1" a="1"/>
  <c r="AU2322" i="1" a="1"/>
  <c r="AU2385" i="1" a="1"/>
  <c r="AU2448" i="1" a="1"/>
  <c r="AU2479" i="1" a="1"/>
  <c r="AU1448" i="1" a="1"/>
  <c r="AU2718" i="1" a="1"/>
  <c r="AU1735" i="1" a="1"/>
  <c r="AU2088" i="1" a="1"/>
  <c r="AU1672" i="1" a="1"/>
  <c r="AU1150" i="1" a="1"/>
  <c r="AU1760" i="1" a="1"/>
  <c r="AU2192" i="1" a="1"/>
  <c r="AU1906" i="1" a="1"/>
  <c r="AU1293" i="1" a="1"/>
  <c r="AU1411" i="1" a="1"/>
  <c r="AU1116" i="1" a="1"/>
  <c r="AU1663" i="1" a="1"/>
  <c r="AU1045" i="1" a="1"/>
  <c r="AU2170" i="1" a="1"/>
  <c r="AU1082" i="1" a="1"/>
  <c r="AU2446" i="1" a="1"/>
  <c r="AU1097" i="1" a="1"/>
  <c r="AU2162" i="1" a="1"/>
  <c r="AU1128" i="1" a="1"/>
  <c r="AU1031" i="1" a="1"/>
  <c r="AU1624" i="1" a="1"/>
  <c r="AU1222" i="1" a="1"/>
  <c r="AU1480" i="1" a="1"/>
  <c r="AU1400" i="1" a="1"/>
  <c r="AU1156" i="1" a="1"/>
  <c r="AU1587" i="1" a="1"/>
  <c r="AU1020" i="1" a="1"/>
  <c r="AU971" i="1" a="1"/>
  <c r="AU986" i="1" a="1"/>
  <c r="AU1500" i="1" a="1"/>
  <c r="AU2649" i="1" a="1"/>
  <c r="AU1718" i="1" a="1"/>
  <c r="AU2163" i="1" a="1"/>
  <c r="AU2321" i="1" a="1"/>
  <c r="AU1346" i="1" a="1"/>
  <c r="AU1640" i="1" a="1"/>
  <c r="AU1560" i="1" a="1"/>
  <c r="AU1064" i="1" a="1"/>
  <c r="AU995" i="1" a="1"/>
  <c r="AU2696" i="1" a="1"/>
  <c r="AU1525" i="1" a="1"/>
  <c r="AU2368" i="1" a="1"/>
  <c r="AU1728" i="1" a="1"/>
  <c r="AU1959" i="1" a="1"/>
  <c r="AU979" i="1" a="1"/>
  <c r="AU2356" i="1" a="1"/>
  <c r="AU1976" i="1" a="1"/>
  <c r="AU1608" i="1" a="1"/>
  <c r="AU1174" i="1" a="1"/>
  <c r="AU2158" i="1" a="1"/>
  <c r="AU1007" i="1" a="1"/>
  <c r="AU2627" i="1" a="1"/>
  <c r="AU2078" i="1" a="1"/>
  <c r="AU1110" i="1" a="1"/>
  <c r="AU1017" i="1" a="1"/>
  <c r="AU1944" i="1" a="1"/>
  <c r="AU1695" i="1" a="1"/>
  <c r="AU1061" i="1" a="1"/>
  <c r="AU2009" i="1" a="1"/>
  <c r="AU1913" i="1" a="1"/>
  <c r="AU1601" i="1" a="1"/>
  <c r="AU1269" i="1" a="1"/>
  <c r="AU1440" i="1" a="1"/>
  <c r="AU2058" i="1" a="1"/>
  <c r="AU1650" i="1" a="1"/>
  <c r="AU1390" i="1" a="1"/>
  <c r="AU1927" i="1" a="1"/>
  <c r="AU159" i="1" a="1"/>
  <c r="AU845" i="1" a="1"/>
  <c r="AU21" i="1" a="1"/>
  <c r="AU589" i="1" a="1"/>
  <c r="AU320" i="1" a="1"/>
  <c r="AU442" i="1" a="1"/>
  <c r="AU525" i="1" a="1"/>
  <c r="AU859" i="1" a="1"/>
  <c r="AU803" i="1" a="1"/>
  <c r="AU328" i="1" a="1"/>
  <c r="AU173" i="1" a="1"/>
  <c r="AU118" i="1" a="1"/>
  <c r="AU395" i="1" a="1"/>
  <c r="AU897" i="1" a="1"/>
  <c r="AU271" i="1" a="1"/>
  <c r="AU873" i="1" a="1"/>
  <c r="AU536" i="1" a="1"/>
  <c r="AU552" i="1" a="1"/>
  <c r="AU2749" i="1" a="1"/>
  <c r="AU2237" i="1" a="1"/>
  <c r="AU1725" i="1" a="1"/>
  <c r="AU2572" i="1" a="1"/>
  <c r="AU2060" i="1" a="1"/>
  <c r="AU1548" i="1" a="1"/>
  <c r="AU2395" i="1" a="1"/>
  <c r="AU1883" i="1" a="1"/>
  <c r="AU2634" i="1" a="1"/>
  <c r="AU2697" i="1" a="1"/>
  <c r="AU2185" i="1" a="1"/>
  <c r="AU2248" i="1" a="1"/>
  <c r="AU2279" i="1" a="1"/>
  <c r="AU2278" i="1" a="1"/>
  <c r="AU1766" i="1" a="1"/>
  <c r="AU2613" i="1" a="1"/>
  <c r="AU2101" i="1" a="1"/>
  <c r="AU1589" i="1" a="1"/>
  <c r="AU2436" i="1" a="1"/>
  <c r="AU1924" i="1" a="1"/>
  <c r="AU2723" i="1" a="1"/>
  <c r="AU2211" i="1" a="1"/>
  <c r="AU1699" i="1" a="1"/>
  <c r="AU2306" i="1" a="1"/>
  <c r="AU2369" i="1" a="1"/>
  <c r="AU2432" i="1" a="1"/>
  <c r="AU2463" i="1" a="1"/>
  <c r="AU1422" i="1" a="1"/>
  <c r="AU2223" i="1" a="1"/>
  <c r="AU1704" i="1" a="1"/>
  <c r="AU2686" i="1" a="1"/>
  <c r="AU1641" i="1" a="1"/>
  <c r="AU1118" i="1" a="1"/>
  <c r="AU1729" i="1" a="1"/>
  <c r="AU2128" i="1" a="1"/>
  <c r="AU1879" i="1" a="1"/>
  <c r="AU1277" i="1" a="1"/>
  <c r="AU2542" i="1" a="1"/>
  <c r="AU1100" i="1" a="1"/>
  <c r="AU1632" i="1" a="1"/>
  <c r="AU1076" i="1" a="1"/>
  <c r="AU2113" i="1" a="1"/>
  <c r="AU1066" i="1" a="1"/>
  <c r="AU2168" i="1" a="1"/>
  <c r="AU1081" i="1" a="1"/>
  <c r="AU2106" i="1" a="1"/>
  <c r="AU1112" i="1" a="1"/>
  <c r="AU1062" i="1" a="1"/>
  <c r="AU1594" i="1" a="1"/>
  <c r="AU1142" i="1" a="1"/>
  <c r="AU1451" i="1" a="1"/>
  <c r="AU2286" i="1" a="1"/>
  <c r="AU1140" i="1" a="1"/>
  <c r="AU1504" i="1" a="1"/>
  <c r="AU1004" i="1" a="1"/>
  <c r="AU996" i="1" a="1"/>
  <c r="AU985" i="1" a="1"/>
  <c r="AU2012" i="1" a="1"/>
  <c r="AU2586" i="1" a="1"/>
  <c r="AU2230" i="1" a="1"/>
  <c r="AU2675" i="1" a="1"/>
  <c r="AU2384" i="1" a="1"/>
  <c r="AU2080" i="1" a="1"/>
  <c r="AU1786" i="1" a="1"/>
  <c r="AU2018" i="1" a="1"/>
  <c r="AU2382" i="1" a="1"/>
  <c r="AU1018" i="1" a="1"/>
  <c r="AU1819" i="1" a="1"/>
  <c r="AU2242" i="1" a="1"/>
  <c r="AU1961" i="1" a="1"/>
  <c r="AU1002" i="1" a="1"/>
  <c r="AU2131" i="1" a="1"/>
  <c r="AU1314" i="1" a="1"/>
  <c r="AU2002" i="1" a="1"/>
  <c r="AU1553" i="1" a="1"/>
  <c r="AU1371" i="1" a="1"/>
  <c r="AU1928" i="1" a="1"/>
  <c r="AU1889" i="1" a="1"/>
  <c r="AU2115" i="1" a="1"/>
  <c r="AU1328" i="1" a="1"/>
  <c r="AU2494" i="1" a="1"/>
  <c r="AU2047" i="1" a="1"/>
  <c r="AU1914" i="1" a="1"/>
  <c r="AU1165" i="1" a="1"/>
  <c r="AU2462" i="1" a="1"/>
  <c r="AU1285" i="1" a="1"/>
  <c r="AU1361" i="1" a="1"/>
  <c r="AU2114" i="1" a="1"/>
  <c r="AU1800" i="1" a="1"/>
  <c r="AU1935" i="1" a="1"/>
  <c r="AU1571" i="1" a="1"/>
  <c r="AU1953" i="1" a="1"/>
  <c r="AU1283" i="1" a="1"/>
  <c r="AU1415" i="1" a="1"/>
  <c r="AU1143" i="1" a="1"/>
  <c r="AU20" i="1" a="1"/>
  <c r="AU815" i="1" a="1"/>
  <c r="AU106" i="1" a="1"/>
  <c r="AU244" i="1" a="1"/>
  <c r="AU284" i="1" a="1"/>
  <c r="AU243" i="1" a="1"/>
  <c r="AU500" i="1" a="1"/>
  <c r="AU838" i="1" a="1"/>
  <c r="AU779" i="1" a="1"/>
  <c r="AU86" i="1" a="1"/>
  <c r="AU172" i="1" a="1"/>
  <c r="AU340" i="1" a="1"/>
  <c r="AU310" i="1" a="1"/>
  <c r="AU582" i="1" a="1"/>
  <c r="AU484" i="1" a="1"/>
  <c r="AU853" i="1" a="1"/>
  <c r="AU170" i="1" a="1"/>
  <c r="AU531" i="1" a="1"/>
  <c r="AU2733" i="1" a="1"/>
  <c r="AU2221" i="1" a="1"/>
  <c r="AU1709" i="1" a="1"/>
  <c r="AU2556" i="1" a="1"/>
  <c r="AU2044" i="1" a="1"/>
  <c r="AU1532" i="1" a="1"/>
  <c r="AU2379" i="1" a="1"/>
  <c r="AU1867" i="1" a="1"/>
  <c r="AU2618" i="1" a="1"/>
  <c r="AU2681" i="1" a="1"/>
  <c r="AU2744" i="1" a="1"/>
  <c r="AU2232" i="1" a="1"/>
  <c r="AU2263" i="1" a="1"/>
  <c r="AU2262" i="1" a="1"/>
  <c r="AU1750" i="1" a="1"/>
  <c r="AU2597" i="1" a="1"/>
  <c r="AU2085" i="1" a="1"/>
  <c r="AU1573" i="1" a="1"/>
  <c r="AU2420" i="1" a="1"/>
  <c r="AU1908" i="1" a="1"/>
  <c r="AU2707" i="1" a="1"/>
  <c r="AU2195" i="1" a="1"/>
  <c r="AU1683" i="1" a="1"/>
  <c r="AU2290" i="1" a="1"/>
  <c r="AU2353" i="1" a="1"/>
  <c r="AU2416" i="1" a="1"/>
  <c r="AU2447" i="1" a="1"/>
  <c r="AU1378" i="1" a="1"/>
  <c r="AU2142" i="1" a="1"/>
  <c r="AU1673" i="1" a="1"/>
  <c r="AU2215" i="1" a="1"/>
  <c r="AU1584" i="1" a="1"/>
  <c r="AU1038" i="1" a="1"/>
  <c r="AU1698" i="1" a="1"/>
  <c r="AU2072" i="1" a="1"/>
  <c r="AU1848" i="1" a="1"/>
  <c r="AU1261" i="1" a="1"/>
  <c r="AU2183" i="1" a="1"/>
  <c r="AU1084" i="1" a="1"/>
  <c r="AU1602" i="1" a="1"/>
  <c r="AU1918" i="1" a="1"/>
  <c r="AU2057" i="1" a="1"/>
  <c r="AU1050" i="1" a="1"/>
  <c r="AU2111" i="1" a="1"/>
  <c r="AU1065" i="1" a="1"/>
  <c r="AU2049" i="1" a="1"/>
  <c r="AU1096" i="1" a="1"/>
  <c r="AU1077" i="1" a="1"/>
  <c r="AU1511" i="1" a="1"/>
  <c r="AU2334" i="1" a="1"/>
  <c r="AU1381" i="1" a="1"/>
  <c r="AU2151" i="1" a="1"/>
  <c r="AU1124" i="1" a="1"/>
  <c r="AU1449" i="1" a="1"/>
  <c r="AU1019" i="1" a="1"/>
  <c r="AU980" i="1" a="1"/>
  <c r="AU984" i="1" a="1"/>
  <c r="AU2701" i="1" a="1"/>
  <c r="AU2388" i="1" a="1"/>
  <c r="AU1229" i="1" a="1"/>
  <c r="AU1951" i="1" a="1"/>
  <c r="AU1702" i="1" a="1"/>
  <c r="AU2147" i="1" a="1"/>
  <c r="AU2399" i="1" a="1"/>
  <c r="AU2206" i="1" a="1"/>
  <c r="AU1387" i="1" a="1"/>
  <c r="AU2160" i="1" a="1"/>
  <c r="AU1363" i="1" a="1"/>
  <c r="AU2021" i="1" a="1"/>
  <c r="AU2226" i="1" a="1"/>
  <c r="AU1344" i="1" a="1"/>
  <c r="AU1930" i="1" a="1"/>
  <c r="AU2014" i="1" a="1"/>
  <c r="AU1828" i="1" a="1"/>
  <c r="AU1666" i="1" a="1"/>
  <c r="AU1301" i="1" a="1"/>
  <c r="AU1312" i="1" a="1"/>
  <c r="AU2174" i="1" a="1"/>
  <c r="AU2015" i="1" a="1"/>
  <c r="AU1886" i="1" a="1"/>
  <c r="AU1395" i="1" a="1"/>
  <c r="AU1133" i="1" a="1"/>
  <c r="AU1599" i="1" a="1"/>
  <c r="AU1950" i="1" a="1"/>
  <c r="AU1117" i="1" a="1"/>
  <c r="AU2167" i="1" a="1"/>
  <c r="AU1006" i="1" a="1"/>
  <c r="AU882" i="1" a="1"/>
  <c r="AU787" i="1" a="1"/>
  <c r="AU50" i="1" a="1"/>
  <c r="AU627" i="1" a="1"/>
  <c r="AU264" i="1" a="1"/>
  <c r="AU178" i="1" a="1"/>
  <c r="AU479" i="1" a="1"/>
  <c r="AU807" i="1" a="1"/>
  <c r="AU751" i="1" a="1"/>
  <c r="AU612" i="1" a="1"/>
  <c r="AU510" i="1" a="1"/>
  <c r="AU117" i="1" a="1"/>
  <c r="AU256" i="1" a="1"/>
  <c r="AU393" i="1" a="1"/>
  <c r="AU187" i="1" a="1"/>
  <c r="AU823" i="1" a="1"/>
  <c r="AU377" i="1" a="1"/>
  <c r="AU931" i="1" a="1"/>
  <c r="AU2717" i="1" a="1"/>
  <c r="AU2205" i="1" a="1"/>
  <c r="AU1693" i="1" a="1"/>
  <c r="AU2540" i="1" a="1"/>
  <c r="AU2028" i="1" a="1"/>
  <c r="AU1516" i="1" a="1"/>
  <c r="AU2363" i="1" a="1"/>
  <c r="AU1851" i="1" a="1"/>
  <c r="AU2602" i="1" a="1"/>
  <c r="AU2665" i="1" a="1"/>
  <c r="AU2728" i="1" a="1"/>
  <c r="AU2216" i="1" a="1"/>
  <c r="AU2247" i="1" a="1"/>
  <c r="AU2246" i="1" a="1"/>
  <c r="AU1734" i="1" a="1"/>
  <c r="AU2581" i="1" a="1"/>
  <c r="AU2069" i="1" a="1"/>
  <c r="AU1557" i="1" a="1"/>
  <c r="AU2404" i="1" a="1"/>
  <c r="AU1892" i="1" a="1"/>
  <c r="AU2691" i="1" a="1"/>
  <c r="AU2179" i="1" a="1"/>
  <c r="AU1667" i="1" a="1"/>
  <c r="AU2274" i="1" a="1"/>
  <c r="AU2337" i="1" a="1"/>
  <c r="AU2400" i="1" a="1"/>
  <c r="AU2431" i="1" a="1"/>
  <c r="AU1362" i="1" a="1"/>
  <c r="AU2082" i="1" a="1"/>
  <c r="AU1642" i="1" a="1"/>
  <c r="AU2137" i="1" a="1"/>
  <c r="AU1554" i="1" a="1"/>
  <c r="AU2039" i="1" a="1"/>
  <c r="AU1671" i="1" a="1"/>
  <c r="AU2030" i="1" a="1"/>
  <c r="AU1817" i="1" a="1"/>
  <c r="AU1245" i="1" a="1"/>
  <c r="AU2121" i="1" a="1"/>
  <c r="AU1068" i="1" a="1"/>
  <c r="AU1519" i="1" a="1"/>
  <c r="AU1647" i="1" a="1"/>
  <c r="AU2023" i="1" a="1"/>
  <c r="AU1034" i="1" a="1"/>
  <c r="AU2055" i="1" a="1"/>
  <c r="AU1049" i="1" a="1"/>
  <c r="AU2017" i="1" a="1"/>
  <c r="AU1080" i="1" a="1"/>
  <c r="AU1044" i="1" a="1"/>
  <c r="AU1427" i="1" a="1"/>
  <c r="AU2154" i="1" a="1"/>
  <c r="AU1365" i="1" a="1"/>
  <c r="AU2094" i="1" a="1"/>
  <c r="AU1108" i="1" a="1"/>
  <c r="AU1396" i="1" a="1"/>
  <c r="AU1003" i="1" a="1"/>
  <c r="AU964" i="1" a="1"/>
  <c r="AU950" i="1" a="1"/>
  <c r="AU1677" i="1" a="1"/>
  <c r="AU2742" i="1" a="1"/>
  <c r="AU1651" i="1" a="1"/>
  <c r="AU1376" i="1" a="1"/>
  <c r="AU1052" i="1" a="1"/>
  <c r="AU1033" i="1" a="1"/>
  <c r="AU1379" i="1" a="1"/>
  <c r="AU2726" i="1" a="1"/>
  <c r="AU2037" i="1" a="1"/>
  <c r="AU2305" i="1" a="1"/>
  <c r="AU1360" i="1" a="1"/>
  <c r="AU1758" i="1" a="1"/>
  <c r="AU1095" i="1" a="1"/>
  <c r="AU2042" i="1" a="1"/>
  <c r="AU948" i="1" a="1"/>
  <c r="AU1509" i="1" a="1"/>
  <c r="AU2383" i="1" a="1"/>
  <c r="AU2135" i="1" a="1"/>
  <c r="AU1423" i="1" a="1"/>
  <c r="AU2104" i="1" a="1"/>
  <c r="AU963" i="1" a="1"/>
  <c r="AU2210" i="1" a="1"/>
  <c r="AU1945" i="1" a="1"/>
  <c r="AU1578" i="1" a="1"/>
  <c r="AU1355" i="1" a="1"/>
  <c r="AU1255" i="1" a="1"/>
  <c r="AU2040" i="1" a="1"/>
  <c r="AU2194" i="1" a="1"/>
  <c r="AU1470" i="1" a="1"/>
  <c r="AU1866" i="1" a="1"/>
  <c r="AU978" i="1" a="1"/>
  <c r="AU1466" i="1" a="1"/>
  <c r="AU1870" i="1" a="1"/>
  <c r="AU1681" i="1" a="1"/>
  <c r="AU962" i="1" a="1"/>
  <c r="AU1263" i="1" a="1"/>
  <c r="AU1954" i="1" a="1"/>
  <c r="AU993" i="1" a="1"/>
  <c r="AU1291" i="1" a="1"/>
  <c r="AU1237" i="1" a="1"/>
  <c r="AU784" i="1" a="1"/>
  <c r="AU765" i="1" a="1"/>
  <c r="AU840" i="1" a="1"/>
  <c r="AU281" i="1" a="1"/>
  <c r="AU246" i="1" a="1"/>
  <c r="AU104" i="1" a="1"/>
  <c r="AU449" i="1" a="1"/>
  <c r="AU783" i="1" a="1"/>
  <c r="AU720" i="1" a="1"/>
  <c r="AU938" i="1" a="1"/>
  <c r="AU272" i="1" a="1"/>
  <c r="AU685" i="1" a="1"/>
  <c r="AU219" i="1" a="1"/>
  <c r="AU196" i="1" a="1"/>
  <c r="AU269" i="1" a="1"/>
  <c r="AU774" i="1" a="1"/>
  <c r="AU2347" i="1" a="1"/>
  <c r="AU700" i="1" a="1"/>
  <c r="AU731" i="1" a="1"/>
  <c r="AU757" i="1" a="1"/>
  <c r="AU520" i="1" a="1"/>
  <c r="AU227" i="1" a="1"/>
  <c r="AU565" i="1" a="1"/>
  <c r="AU415" i="1" a="1"/>
  <c r="AU756" i="1" a="1"/>
  <c r="AU697" i="1" a="1"/>
  <c r="AU921" i="1" a="1"/>
  <c r="AU91" i="1" a="1"/>
  <c r="AU427" i="1" a="1"/>
  <c r="AU174" i="1" a="1"/>
  <c r="AU195" i="1" a="1"/>
  <c r="AU131" i="1" a="1"/>
  <c r="AU744" i="1" a="1"/>
  <c r="AU933" i="1" a="1"/>
  <c r="AU891" i="1" a="1"/>
  <c r="AU2685" i="1" a="1"/>
  <c r="AU2173" i="1" a="1"/>
  <c r="AU1661" i="1" a="1"/>
  <c r="AU2508" i="1" a="1"/>
  <c r="AU1996" i="1" a="1"/>
  <c r="AU1484" i="1" a="1"/>
  <c r="AU2331" i="1" a="1"/>
  <c r="AU2549" i="1" a="1"/>
  <c r="AU608" i="1" a="1"/>
  <c r="AU704" i="1" a="1"/>
  <c r="AU675" i="1" a="1"/>
  <c r="AU279" i="1" a="1"/>
  <c r="AU207" i="1" a="1"/>
  <c r="AU440" i="1" a="1"/>
  <c r="AU362" i="1" a="1"/>
  <c r="AU724" i="1" a="1"/>
  <c r="AU670" i="1" a="1"/>
  <c r="AU900" i="1" a="1"/>
  <c r="AU579" i="1" a="1"/>
  <c r="AU193" i="1" a="1"/>
  <c r="AU119" i="1" a="1"/>
  <c r="AU558" i="1" a="1"/>
  <c r="AU796" i="1" a="1"/>
  <c r="AU715" i="1" a="1"/>
  <c r="AU913" i="1" a="1"/>
  <c r="AU868" i="1" a="1"/>
  <c r="AU2669" i="1" a="1"/>
  <c r="AU2157" i="1" a="1"/>
  <c r="AU1645" i="1" a="1"/>
  <c r="AU2492" i="1" a="1"/>
  <c r="AU1980" i="1" a="1"/>
  <c r="AU1468" i="1" a="1"/>
  <c r="AU2315" i="1" a="1"/>
  <c r="AU1803" i="1" a="1"/>
  <c r="AU2554" i="1" a="1"/>
  <c r="AU2617" i="1" a="1"/>
  <c r="AU2680" i="1" a="1"/>
  <c r="AU2711" i="1" a="1"/>
  <c r="AU2710" i="1" a="1"/>
  <c r="AU2643" i="1" a="1"/>
  <c r="AU524" i="1" a="1"/>
  <c r="AU680" i="1" a="1"/>
  <c r="AU548" i="1" a="1"/>
  <c r="AU101" i="1" a="1"/>
  <c r="AU181" i="1" a="1"/>
  <c r="AU259" i="1" a="1"/>
  <c r="AU317" i="1" a="1"/>
  <c r="AU567" i="1" a="1"/>
  <c r="AU649" i="1" a="1"/>
  <c r="AU876" i="1" a="1"/>
  <c r="AU485" i="1" a="1"/>
  <c r="AU597" i="1" a="1"/>
  <c r="AU65" i="1" a="1"/>
  <c r="AU337" i="1" a="1"/>
  <c r="AU686" i="1" a="1"/>
  <c r="AU664" i="1" a="1"/>
  <c r="AU894" i="1" a="1"/>
  <c r="AU848" i="1" a="1"/>
  <c r="AU2653" i="1" a="1"/>
  <c r="AU2141" i="1" a="1"/>
  <c r="AU1629" i="1" a="1"/>
  <c r="AU2476" i="1" a="1"/>
  <c r="AU1964" i="1" a="1"/>
  <c r="AU1452" i="1" a="1"/>
  <c r="AU2299" i="1" a="1"/>
  <c r="AU1787" i="1" a="1"/>
  <c r="AU2538" i="1" a="1"/>
  <c r="AU2601" i="1" a="1"/>
  <c r="AU2664" i="1" a="1"/>
  <c r="AU2695" i="1" a="1"/>
  <c r="AU2694" i="1" a="1"/>
  <c r="AU2182" i="1" a="1"/>
  <c r="AU1670" i="1" a="1"/>
  <c r="AU2517" i="1" a="1"/>
  <c r="AU2005" i="1" a="1"/>
  <c r="AU1493" i="1" a="1"/>
  <c r="AU2340" i="1" a="1"/>
  <c r="AU1298" i="1" a="1"/>
  <c r="AU444" i="1" a="1"/>
  <c r="AU657" i="1" a="1"/>
  <c r="AU498" i="1" a="1"/>
  <c r="AU518" i="1" a="1"/>
  <c r="AU82" i="1" a="1"/>
  <c r="AU177" i="1" a="1"/>
  <c r="AU283" i="1" a="1"/>
  <c r="AU45" i="1" a="1"/>
  <c r="AU624" i="1" a="1"/>
  <c r="AU856" i="1" a="1"/>
  <c r="AU296" i="1" a="1"/>
  <c r="AU509" i="1" a="1"/>
  <c r="AU38" i="1" a="1"/>
  <c r="AU35" i="1" a="1"/>
  <c r="AU642" i="1" a="1"/>
  <c r="AU618" i="1" a="1"/>
  <c r="AU871" i="1" a="1"/>
  <c r="AU818" i="1" a="1"/>
  <c r="AU2637" i="1" a="1"/>
  <c r="AU2125" i="1" a="1"/>
  <c r="AU1613" i="1" a="1"/>
  <c r="AU2460" i="1" a="1"/>
  <c r="AU1948" i="1" a="1"/>
  <c r="AU1436" i="1" a="1"/>
  <c r="AU2283" i="1" a="1"/>
  <c r="AU1771" i="1" a="1"/>
  <c r="AU2522" i="1" a="1"/>
  <c r="AU2585" i="1" a="1"/>
  <c r="AU2648" i="1" a="1"/>
  <c r="AU2679" i="1" a="1"/>
  <c r="AU2678" i="1" a="1"/>
  <c r="AU2166" i="1" a="1"/>
  <c r="AU1654" i="1" a="1"/>
  <c r="AU2501" i="1" a="1"/>
  <c r="AU1989" i="1" a="1"/>
  <c r="AU1477" i="1" a="1"/>
  <c r="AU2324" i="1" a="1"/>
  <c r="AU1812" i="1" a="1"/>
  <c r="AU2611" i="1" a="1"/>
  <c r="AU2099" i="1" a="1"/>
  <c r="AU2706" i="1" a="1"/>
  <c r="AU1377" i="1" a="1"/>
  <c r="AU282" i="1" a="1"/>
  <c r="AU632" i="1" a="1"/>
  <c r="AU408" i="1" a="1"/>
  <c r="AU199" i="1" a="1"/>
  <c r="AU654" i="1" a="1"/>
  <c r="AU74" i="1" a="1"/>
  <c r="AU263" i="1" a="1"/>
  <c r="AU28" i="1" a="1"/>
  <c r="AU604" i="1" a="1"/>
  <c r="AU834" i="1" a="1"/>
  <c r="AU138" i="1" a="1"/>
  <c r="AU334" i="1" a="1"/>
  <c r="AU716" i="1" a="1"/>
  <c r="AU711" i="1" a="1"/>
  <c r="AU599" i="1" a="1"/>
  <c r="AU581" i="1" a="1"/>
  <c r="AU850" i="1" a="1"/>
  <c r="AU789" i="1" a="1"/>
  <c r="AU2621" i="1" a="1"/>
  <c r="AU2109" i="1" a="1"/>
  <c r="AU1597" i="1" a="1"/>
  <c r="AU2444" i="1" a="1"/>
  <c r="AU1932" i="1" a="1"/>
  <c r="AU1420" i="1" a="1"/>
  <c r="AU2267" i="1" a="1"/>
  <c r="AU1755" i="1" a="1"/>
  <c r="AU2506" i="1" a="1"/>
  <c r="AU2569" i="1" a="1"/>
  <c r="AU2632" i="1" a="1"/>
  <c r="AU2663" i="1" a="1"/>
  <c r="AU2662" i="1" a="1"/>
  <c r="AU2150" i="1" a="1"/>
  <c r="AU1638" i="1" a="1"/>
  <c r="AU2485" i="1" a="1"/>
  <c r="AU1973" i="1" a="1"/>
  <c r="AU1461" i="1" a="1"/>
  <c r="AU2308" i="1" a="1"/>
  <c r="AU1796" i="1" a="1"/>
  <c r="AU2595" i="1" a="1"/>
  <c r="AU2083" i="1" a="1"/>
  <c r="AU2690" i="1" a="1"/>
  <c r="AU2178" i="1" a="1"/>
  <c r="AU2241" i="1" a="1"/>
  <c r="AU2304" i="1" a="1"/>
  <c r="AU2335" i="1" a="1"/>
  <c r="AU1266" i="1" a="1"/>
  <c r="AU1149" i="1" a="1"/>
  <c r="AU158" i="1" a="1"/>
  <c r="AU611" i="1" a="1"/>
  <c r="AU224" i="1" a="1"/>
  <c r="AU553" i="1" a="1"/>
  <c r="AU262" i="1" a="1"/>
  <c r="AU437" i="1" a="1"/>
  <c r="AU245" i="1" a="1"/>
  <c r="AU941" i="1" a="1"/>
  <c r="AU585" i="1" a="1"/>
  <c r="AU799" i="1" a="1"/>
  <c r="AU614" i="1" a="1"/>
  <c r="AU115" i="1" a="1"/>
  <c r="AU600" i="1" a="1"/>
  <c r="AU188" i="1" a="1"/>
  <c r="AU559" i="1" a="1"/>
  <c r="AU539" i="1" a="1"/>
  <c r="AU820" i="1" a="1"/>
  <c r="AU770" i="1" a="1"/>
  <c r="AU2605" i="1" a="1"/>
  <c r="AU2093" i="1" a="1"/>
  <c r="AU1581" i="1" a="1"/>
  <c r="AU2428" i="1" a="1"/>
  <c r="AU1916" i="1" a="1"/>
  <c r="AU1404" i="1" a="1"/>
  <c r="AU2251" i="1" a="1"/>
  <c r="AU1739" i="1" a="1"/>
  <c r="AU2490" i="1" a="1"/>
  <c r="AU2553" i="1" a="1"/>
  <c r="AU2616" i="1" a="1"/>
  <c r="AU2647" i="1" a="1"/>
  <c r="AU2646" i="1" a="1"/>
  <c r="AU2134" i="1" a="1"/>
  <c r="AU1622" i="1" a="1"/>
  <c r="AU2469" i="1" a="1"/>
  <c r="AU1957" i="1" a="1"/>
  <c r="AU1445" i="1" a="1"/>
  <c r="AU2292" i="1" a="1"/>
  <c r="AU1780" i="1" a="1"/>
  <c r="AU2579" i="1" a="1"/>
  <c r="AU2067" i="1" a="1"/>
  <c r="AU2674" i="1" a="1"/>
  <c r="AU2737" i="1" a="1"/>
  <c r="AU2225" i="1" a="1"/>
  <c r="AU2288" i="1" a="1"/>
  <c r="AU2319" i="1" a="1"/>
  <c r="AU1250" i="1" a="1"/>
  <c r="AU1559" i="1" a="1"/>
  <c r="AU1345" i="1" a="1"/>
  <c r="AU1882" i="1" a="1"/>
  <c r="AU1307" i="1" a="1"/>
  <c r="AU105" i="1" a="1"/>
  <c r="AU592" i="1" a="1"/>
  <c r="AU125" i="1" a="1"/>
  <c r="AU928" i="1" a="1"/>
  <c r="AU588" i="1" a="1"/>
  <c r="AU312" i="1" a="1"/>
  <c r="AU225" i="1" a="1"/>
  <c r="AU924" i="1" a="1"/>
  <c r="AU564" i="1" a="1"/>
  <c r="AU777" i="1" a="1"/>
  <c r="AU251" i="1" a="1"/>
  <c r="AU578" i="1" a="1"/>
  <c r="AU512" i="1" a="1"/>
  <c r="AU424" i="1" a="1"/>
  <c r="AU511" i="1" a="1"/>
  <c r="AU468" i="1" a="1"/>
  <c r="AU791" i="1" a="1"/>
  <c r="AU737" i="1" a="1"/>
  <c r="AU2589" i="1" a="1"/>
  <c r="AU2077" i="1" a="1"/>
  <c r="AU1565" i="1" a="1"/>
  <c r="AU2412" i="1" a="1"/>
  <c r="AU1900" i="1" a="1"/>
  <c r="AU2747" i="1" a="1"/>
  <c r="AU2235" i="1" a="1"/>
  <c r="AU1723" i="1" a="1"/>
  <c r="AU2474" i="1" a="1"/>
  <c r="AU2537" i="1" a="1"/>
  <c r="AU2600" i="1" a="1"/>
  <c r="AU2631" i="1" a="1"/>
  <c r="AU2630" i="1" a="1"/>
  <c r="AU2118" i="1" a="1"/>
  <c r="AU1606" i="1" a="1"/>
  <c r="AU2453" i="1" a="1"/>
  <c r="AU1941" i="1" a="1"/>
  <c r="AU1429" i="1" a="1"/>
  <c r="AU2276" i="1" a="1"/>
  <c r="AU1764" i="1" a="1"/>
  <c r="AU2563" i="1" a="1"/>
  <c r="AU2051" i="1" a="1"/>
  <c r="AU2658" i="1" a="1"/>
  <c r="AU2721" i="1" a="1"/>
  <c r="AU2209" i="1" a="1"/>
  <c r="AU2272" i="1" a="1"/>
  <c r="AU2303" i="1" a="1"/>
  <c r="AU1234" i="1" a="1"/>
  <c r="AU1529" i="1" a="1"/>
  <c r="AU1329" i="1" a="1"/>
  <c r="AU1854" i="1" a="1"/>
  <c r="AU1264" i="1" a="1"/>
  <c r="AU1943" i="1" a="1"/>
  <c r="AU2622" i="1" a="1"/>
  <c r="AU2056" i="1" a="1"/>
  <c r="AU17" i="1" a="1"/>
  <c r="AU573" i="1" a="1"/>
  <c r="AU76" i="1" a="1"/>
  <c r="AU908" i="1" a="1"/>
  <c r="AU358" i="1" a="1"/>
  <c r="AU176" i="1" a="1"/>
  <c r="AU205" i="1" a="1"/>
  <c r="AU904" i="1" a="1"/>
  <c r="AU401" i="1" a="1"/>
  <c r="AU750" i="1" a="1"/>
  <c r="AU378" i="1" a="1"/>
  <c r="AU331" i="1" a="1"/>
  <c r="AU430" i="1" a="1"/>
  <c r="AU59" i="1" a="1"/>
  <c r="AU487" i="1" a="1"/>
  <c r="AU298" i="1" a="1"/>
  <c r="AU772" i="1" a="1"/>
  <c r="AU706" i="1" a="1"/>
  <c r="AU2573" i="1" a="1"/>
  <c r="AU2061" i="1" a="1"/>
  <c r="AU1549" i="1" a="1"/>
  <c r="AU2396" i="1" a="1"/>
  <c r="AU1884" i="1" a="1"/>
  <c r="AU2731" i="1" a="1"/>
  <c r="AU2219" i="1" a="1"/>
  <c r="AU1707" i="1" a="1"/>
  <c r="AU2458" i="1" a="1"/>
  <c r="AU2521" i="1" a="1"/>
  <c r="AU2584" i="1" a="1"/>
  <c r="AU2615" i="1" a="1"/>
  <c r="AU2614" i="1" a="1"/>
  <c r="AU2102" i="1" a="1"/>
  <c r="AU1590" i="1" a="1"/>
  <c r="AU2437" i="1" a="1"/>
  <c r="AU1925" i="1" a="1"/>
  <c r="AU1413" i="1" a="1"/>
  <c r="AU2260" i="1" a="1"/>
  <c r="AU1748" i="1" a="1"/>
  <c r="AU2547" i="1" a="1"/>
  <c r="AU2035" i="1" a="1"/>
  <c r="AU2642" i="1" a="1"/>
  <c r="AU2705" i="1" a="1"/>
  <c r="AU2193" i="1" a="1"/>
  <c r="AU2256" i="1" a="1"/>
  <c r="AU2287" i="1" a="1"/>
  <c r="AU1218" i="1" a="1"/>
  <c r="AU1502" i="1" a="1"/>
  <c r="AU1313" i="1" a="1"/>
  <c r="AU1614" i="1" a="1"/>
  <c r="AU1248" i="1" a="1"/>
  <c r="AU1912" i="1" a="1"/>
  <c r="AU2199" i="1" a="1"/>
  <c r="AU1374" i="1" a="1"/>
  <c r="AU2574" i="1" a="1"/>
  <c r="AU1101" i="1" a="1"/>
  <c r="AU1520" i="1" a="1"/>
  <c r="AU1873" i="1" a="1"/>
  <c r="AU1275" i="1" a="1"/>
  <c r="AU1872" i="1" a="1"/>
  <c r="AU1459" i="1" a="1"/>
  <c r="AU1871" i="1" a="1"/>
  <c r="AU1487" i="1" a="1"/>
  <c r="AU2110" i="1" a="1"/>
  <c r="AU1539" i="1" a="1"/>
  <c r="AU1047" i="1" a="1"/>
  <c r="AU1896" i="1" a="1"/>
  <c r="AU1895" i="1" a="1"/>
  <c r="AU1593" i="1" a="1"/>
  <c r="AU1221" i="1" a="1"/>
  <c r="AU1710" i="1" a="1"/>
  <c r="AU1648" i="1" a="1"/>
  <c r="AU1251" i="1" a="1"/>
  <c r="AU1013" i="1" a="1"/>
  <c r="AU961" i="1" a="1"/>
  <c r="AU1933" i="1" a="1"/>
  <c r="AU2330" i="1" a="1"/>
  <c r="AU2486" i="1" a="1"/>
  <c r="AU1907" i="1" a="1"/>
  <c r="AU1887" i="1" a="1"/>
  <c r="AU1880" i="1" a="1"/>
  <c r="AU1147" i="1" a="1"/>
  <c r="AU1776" i="1" a="1"/>
  <c r="AU1123" i="1" a="1"/>
  <c r="AU2440" i="1" a="1"/>
  <c r="AU2116" i="1" a="1"/>
  <c r="AU1856" i="1" a="1"/>
  <c r="AU1849" i="1" a="1"/>
  <c r="AU1464" i="1" a="1"/>
  <c r="AU1745" i="1" a="1"/>
  <c r="AU1107" i="1" a="1"/>
  <c r="AU2100" i="1" a="1"/>
  <c r="AU2608" i="1" a="1"/>
  <c r="AU1088" i="1" a="1"/>
  <c r="AU1435" i="1" a="1"/>
  <c r="AU1543" i="1" a="1"/>
  <c r="AU1316" i="1" a="1"/>
  <c r="AU2466" i="1" a="1"/>
  <c r="AU2670" i="1" a="1"/>
  <c r="AU1410" i="1" a="1"/>
  <c r="AU1272" i="1" a="1"/>
  <c r="AU1888" i="1" a="1"/>
  <c r="AU2576" i="1" a="1"/>
  <c r="AU1491" i="1" a="1"/>
  <c r="AU1256" i="1" a="1"/>
  <c r="AU974" i="1" a="1"/>
  <c r="AU1412" i="1" a="1"/>
  <c r="AU1194" i="1" a="1"/>
  <c r="AU1334" i="1" a="1"/>
  <c r="AU966" i="1" a="1"/>
  <c r="AU2191" i="1" a="1"/>
  <c r="AU1319" i="1" a="1"/>
  <c r="AU1711" i="1" a="1"/>
  <c r="AU2062" i="1" a="1"/>
  <c r="AU1271" i="1" a="1"/>
  <c r="AU1768" i="1" a="1"/>
  <c r="AU699" i="1" a="1"/>
  <c r="AU551" i="1" a="1"/>
  <c r="AU674" i="1" a="1"/>
  <c r="AU884" i="1" a="1"/>
  <c r="AU123" i="1" a="1"/>
  <c r="AU42" i="1" a="1"/>
  <c r="AU180" i="1" a="1"/>
  <c r="AU879" i="1" a="1"/>
  <c r="AU100" i="1" a="1"/>
  <c r="AU719" i="1" a="1"/>
  <c r="AU111" i="1" a="1"/>
  <c r="AU113" i="1" a="1"/>
  <c r="AU301" i="1" a="1"/>
  <c r="AU249" i="1" a="1"/>
  <c r="AU428" i="1" a="1"/>
  <c r="AU142" i="1" a="1"/>
  <c r="AU741" i="1" a="1"/>
  <c r="AU682" i="1" a="1"/>
  <c r="AU2557" i="1" a="1"/>
  <c r="AU2045" i="1" a="1"/>
  <c r="AU1533" i="1" a="1"/>
  <c r="AU2380" i="1" a="1"/>
  <c r="AU1868" i="1" a="1"/>
  <c r="AU2715" i="1" a="1"/>
  <c r="AU2203" i="1" a="1"/>
  <c r="AU1691" i="1" a="1"/>
  <c r="AU2442" i="1" a="1"/>
  <c r="AU2505" i="1" a="1"/>
  <c r="AU2568" i="1" a="1"/>
  <c r="AU2599" i="1" a="1"/>
  <c r="AU2598" i="1" a="1"/>
  <c r="AU2086" i="1" a="1"/>
  <c r="AU1574" i="1" a="1"/>
  <c r="AU2421" i="1" a="1"/>
  <c r="AU1909" i="1" a="1"/>
  <c r="AU1397" i="1" a="1"/>
  <c r="AU2244" i="1" a="1"/>
  <c r="AU1732" i="1" a="1"/>
  <c r="AU2531" i="1" a="1"/>
  <c r="AU2019" i="1" a="1"/>
  <c r="AU2626" i="1" a="1"/>
  <c r="AU2689" i="1" a="1"/>
  <c r="AU2177" i="1" a="1"/>
  <c r="AU2240" i="1" a="1"/>
  <c r="AU2271" i="1" a="1"/>
  <c r="AU1202" i="1" a="1"/>
  <c r="AU1473" i="1" a="1"/>
  <c r="AU1297" i="1" a="1"/>
  <c r="AU1528" i="1" a="1"/>
  <c r="AU1232" i="1" a="1"/>
  <c r="AU1881" i="1" a="1"/>
  <c r="AU2129" i="1" a="1"/>
  <c r="AU1358" i="1" a="1"/>
  <c r="AU2190" i="1" a="1"/>
  <c r="AU1085" i="1" a="1"/>
  <c r="AU1490" i="1" a="1"/>
  <c r="AU1842" i="1" a="1"/>
  <c r="AU1259" i="1" a="1"/>
  <c r="AU1841" i="1" a="1"/>
  <c r="AU1386" i="1" a="1"/>
  <c r="AU1840" i="1" a="1"/>
  <c r="AU1458" i="1" a="1"/>
  <c r="AU2050" i="1" a="1"/>
  <c r="AU1483" i="1" a="1"/>
  <c r="AU1190" i="1" a="1"/>
  <c r="AU1865" i="1" a="1"/>
  <c r="AU1864" i="1" a="1"/>
  <c r="AU1566" i="1" a="1"/>
  <c r="AU1205" i="1" a="1"/>
  <c r="AU1618" i="1" a="1"/>
  <c r="AU1591" i="1" a="1"/>
  <c r="AU1235" i="1" a="1"/>
  <c r="AU1005" i="1" a="1"/>
  <c r="AU956" i="1" a="1"/>
  <c r="AU893" i="1" a="1"/>
  <c r="AU2644" i="1" a="1"/>
  <c r="AU1120" i="1" a="1"/>
  <c r="AU1320" i="1" a="1"/>
  <c r="AU2314" i="1" a="1"/>
  <c r="AU2293" i="1" a="1"/>
  <c r="AU2561" i="1" a="1"/>
  <c r="AU1166" i="1" a="1"/>
  <c r="AU1634" i="1" a="1"/>
  <c r="AU1545" i="1" a="1"/>
  <c r="AU1383" i="1" a="1"/>
  <c r="AU959" i="1" a="1"/>
  <c r="AU2612" i="1" a="1"/>
  <c r="AU2545" i="1" a="1"/>
  <c r="AU1053" i="1" a="1"/>
  <c r="AU1847" i="1" a="1"/>
  <c r="AU1257" i="1" a="1"/>
  <c r="AU1919" i="1" a="1"/>
  <c r="AU2592" i="1" a="1"/>
  <c r="AU1790" i="1" a="1"/>
  <c r="AU1463" i="1" a="1"/>
  <c r="AU2366" i="1" a="1"/>
  <c r="AU990" i="1" a="1"/>
  <c r="AU1121" i="1" a="1"/>
  <c r="AU1134" i="1" a="1"/>
  <c r="AU1408" i="1" a="1"/>
  <c r="AU1284" i="1" a="1"/>
  <c r="AU2136" i="1" a="1"/>
  <c r="AU1067" i="1" a="1"/>
  <c r="AU1832" i="1" a="1"/>
  <c r="AU1496" i="1" a="1"/>
  <c r="AU1193" i="1" a="1"/>
  <c r="AU1252" i="1" a="1"/>
  <c r="AU2127" i="1" a="1"/>
  <c r="AU1302" i="1" a="1"/>
  <c r="AU496" i="1" a="1"/>
  <c r="AU528" i="1" a="1"/>
  <c r="AU547" i="1" a="1"/>
  <c r="AU864" i="1" a="1"/>
  <c r="AU495" i="1" a="1"/>
  <c r="AU594" i="1" a="1"/>
  <c r="AU80" i="1" a="1"/>
  <c r="AU858" i="1" a="1"/>
  <c r="AU603" i="1" a="1"/>
  <c r="AU696" i="1" a="1"/>
  <c r="AU593" i="1" a="1"/>
  <c r="AU423" i="1" a="1"/>
  <c r="AU218" i="1" a="1"/>
  <c r="AU229" i="1" a="1"/>
  <c r="AU392" i="1" a="1"/>
  <c r="AU598" i="1" a="1"/>
  <c r="AU534" i="1" a="1"/>
  <c r="AU660" i="1" a="1"/>
  <c r="AU2541" i="1" a="1"/>
  <c r="AU2029" i="1" a="1"/>
  <c r="AU1517" i="1" a="1"/>
  <c r="AU2364" i="1" a="1"/>
  <c r="AU1852" i="1" a="1"/>
  <c r="AU2699" i="1" a="1"/>
  <c r="AU2187" i="1" a="1"/>
  <c r="AU1675" i="1" a="1"/>
  <c r="AU2426" i="1" a="1"/>
  <c r="AU2489" i="1" a="1"/>
  <c r="AU2552" i="1" a="1"/>
  <c r="AU2583" i="1" a="1"/>
  <c r="AU2582" i="1" a="1"/>
  <c r="AU2070" i="1" a="1"/>
  <c r="AU1558" i="1" a="1"/>
  <c r="AU2405" i="1" a="1"/>
  <c r="AU1893" i="1" a="1"/>
  <c r="AU2740" i="1" a="1"/>
  <c r="AU2228" i="1" a="1"/>
  <c r="AU1716" i="1" a="1"/>
  <c r="AU2515" i="1" a="1"/>
  <c r="AU2003" i="1" a="1"/>
  <c r="AU2610" i="1" a="1"/>
  <c r="AU2673" i="1" a="1"/>
  <c r="AU2736" i="1" a="1"/>
  <c r="AU2224" i="1" a="1"/>
  <c r="AU2255" i="1" a="1"/>
  <c r="AU1186" i="1" a="1"/>
  <c r="AU1419" i="1" a="1"/>
  <c r="AU1281" i="1" a="1"/>
  <c r="AU1498" i="1" a="1"/>
  <c r="AU1216" i="1" a="1"/>
  <c r="AU1850" i="1" a="1"/>
  <c r="AU2073" i="1" a="1"/>
  <c r="AU1342" i="1" a="1"/>
  <c r="AU2126" i="1" a="1"/>
  <c r="AU2558" i="1" a="1"/>
  <c r="AU1438" i="1" a="1"/>
  <c r="AU1815" i="1" a="1"/>
  <c r="AU1243" i="1" a="1"/>
  <c r="AU1810" i="1" a="1"/>
  <c r="AU1370" i="1" a="1"/>
  <c r="AU1809" i="1" a="1"/>
  <c r="AU1385" i="1" a="1"/>
  <c r="AU1839" i="1" a="1"/>
  <c r="AU1457" i="1" a="1"/>
  <c r="AU1030" i="1" a="1"/>
  <c r="AU1834" i="1" a="1"/>
  <c r="AU1833" i="1" a="1"/>
  <c r="AU1454" i="1" a="1"/>
  <c r="AU1189" i="1" a="1"/>
  <c r="AU1535" i="1" a="1"/>
  <c r="AU1561" i="1" a="1"/>
  <c r="AU1219" i="1" a="1"/>
  <c r="AU1012" i="1" a="1"/>
  <c r="AU953" i="1" a="1"/>
  <c r="AU2268" i="1" a="1"/>
  <c r="AU2091" i="1" a="1"/>
  <c r="AU2393" i="1" a="1"/>
  <c r="AU1974" i="1" a="1"/>
  <c r="AU1620" i="1" a="1"/>
  <c r="AU2640" i="1" a="1"/>
  <c r="AU1039" i="1" a="1"/>
  <c r="AU1246" i="1" a="1"/>
  <c r="AU1546" i="1" a="1"/>
  <c r="AU1289" i="1" a="1"/>
  <c r="AU1428" i="1" a="1"/>
  <c r="AU983" i="1" a="1"/>
  <c r="AU2377" i="1" a="1"/>
  <c r="AU1891" i="1" a="1"/>
  <c r="AU1104" i="1" a="1"/>
  <c r="AU1544" i="1" a="1"/>
  <c r="AU1952" i="1" a="1"/>
  <c r="AU2277" i="1" a="1"/>
  <c r="AU2482" i="1" a="1"/>
  <c r="AU1392" i="1" a="1"/>
  <c r="AU1242" i="1" a="1"/>
  <c r="AU1921" i="1" a="1"/>
  <c r="AU2371" i="1" a="1"/>
  <c r="AU1198" i="1" a="1"/>
  <c r="AU1513" i="1" a="1"/>
  <c r="AU1075" i="1" a="1"/>
  <c r="AU2702" i="1" a="1"/>
  <c r="AU1609" i="1" a="1"/>
  <c r="AU1210" i="1" a="1"/>
  <c r="AU1863" i="1" a="1"/>
  <c r="AU2222" i="1" a="1"/>
  <c r="AU1432" i="1" a="1"/>
  <c r="AU958" i="1" a="1"/>
  <c r="AU2119" i="1" a="1"/>
  <c r="AU1598" i="1" a="1"/>
  <c r="AU1799" i="1" a="1"/>
  <c r="AU1607" i="1" a="1"/>
  <c r="AU1512" i="1" a="1"/>
  <c r="AU405" i="1" a="1"/>
  <c r="AU502" i="1" a="1"/>
  <c r="AU477" i="1" a="1"/>
  <c r="AU843" i="1" a="1"/>
  <c r="AU313" i="1" a="1"/>
  <c r="AU185" i="1" a="1"/>
  <c r="AU629" i="1" a="1"/>
  <c r="AU836" i="1" a="1"/>
  <c r="AU311" i="1" a="1"/>
  <c r="AU669" i="1" a="1"/>
  <c r="AU875" i="1" a="1"/>
  <c r="AU57" i="1" a="1"/>
  <c r="AU143" i="1" a="1"/>
  <c r="AU936" i="1" a="1"/>
  <c r="AU273" i="1" a="1"/>
  <c r="AU234" i="1" a="1"/>
  <c r="AU169" i="1" a="1"/>
  <c r="AU634" i="1" a="1"/>
  <c r="AU2525" i="1" a="1"/>
  <c r="AU2013" i="1" a="1"/>
  <c r="AU1501" i="1" a="1"/>
  <c r="AU2348" i="1" a="1"/>
  <c r="AU1836" i="1" a="1"/>
  <c r="AU2683" i="1" a="1"/>
  <c r="AU2171" i="1" a="1"/>
  <c r="AU1659" i="1" a="1"/>
  <c r="AU2410" i="1" a="1"/>
  <c r="AU2473" i="1" a="1"/>
  <c r="AU2536" i="1" a="1"/>
  <c r="AU2567" i="1" a="1"/>
  <c r="AU2566" i="1" a="1"/>
  <c r="AU2054" i="1" a="1"/>
  <c r="AU1542" i="1" a="1"/>
  <c r="AU2389" i="1" a="1"/>
  <c r="AU1877" i="1" a="1"/>
  <c r="AU2724" i="1" a="1"/>
  <c r="AU2212" i="1" a="1"/>
  <c r="AU1700" i="1" a="1"/>
  <c r="AU2499" i="1" a="1"/>
  <c r="AU1987" i="1" a="1"/>
  <c r="AU2594" i="1" a="1"/>
  <c r="AU2657" i="1" a="1"/>
  <c r="AU2720" i="1" a="1"/>
  <c r="AU2208" i="1" a="1"/>
  <c r="AU2239" i="1" a="1"/>
  <c r="AU1170" i="1" a="1"/>
  <c r="AU1394" i="1" a="1"/>
  <c r="AU1265" i="1" a="1"/>
  <c r="AU1472" i="1" a="1"/>
  <c r="AU1200" i="1" a="1"/>
  <c r="AU1822" i="1" a="1"/>
  <c r="AU2031" i="1" a="1"/>
  <c r="AU1326" i="1" a="1"/>
  <c r="AU2066" i="1" a="1"/>
  <c r="AU2184" i="1" a="1"/>
  <c r="AU1388" i="1" a="1"/>
  <c r="AU1784" i="1" a="1"/>
  <c r="AU1227" i="1" a="1"/>
  <c r="AU1783" i="1" a="1"/>
  <c r="AU1354" i="1" a="1"/>
  <c r="AU1778" i="1" a="1"/>
  <c r="AU1369" i="1" a="1"/>
  <c r="AU1808" i="1" a="1"/>
  <c r="AU1406" i="1" a="1"/>
  <c r="AU2398" i="1" a="1"/>
  <c r="AU1806" i="1" a="1"/>
  <c r="AU1802" i="1" a="1"/>
  <c r="AU1426" i="1" a="1"/>
  <c r="AU1173" i="1" a="1"/>
  <c r="AU1505" i="1" a="1"/>
  <c r="AU1534" i="1" a="1"/>
  <c r="AU1203" i="1" a="1"/>
  <c r="AU1011" i="1" a="1"/>
  <c r="AU992" i="1" a="1"/>
  <c r="AU1756" i="1" a="1"/>
  <c r="AU1579" i="1" a="1"/>
  <c r="AU2487" i="1" a="1"/>
  <c r="AU1462" i="1" a="1"/>
  <c r="AU2419" i="1" a="1"/>
  <c r="AU2577" i="1" a="1"/>
  <c r="AU1090" i="1" a="1"/>
  <c r="AU1442" i="1" a="1"/>
  <c r="AU1308" i="1" a="1"/>
  <c r="AU1657" i="1" a="1"/>
  <c r="AU1348" i="1" a="1"/>
  <c r="AU2075" i="1" a="1"/>
  <c r="AU2498" i="1" a="1"/>
  <c r="AU1131" i="1" a="1"/>
  <c r="AU1332" i="1" a="1"/>
  <c r="AU1875" i="1" a="1"/>
  <c r="AU1825" i="1" a="1"/>
  <c r="AU1818" i="1" a="1"/>
  <c r="AU1115" i="1" a="1"/>
  <c r="AU1714" i="1" a="1"/>
  <c r="AU1091" i="1" a="1"/>
  <c r="AU1572" i="1" a="1"/>
  <c r="AU1816" i="1" a="1"/>
  <c r="AU1890" i="1" a="1"/>
  <c r="AU2207" i="1" a="1"/>
  <c r="AU1135" i="1" a="1"/>
  <c r="AU1083" i="1" a="1"/>
  <c r="AU1656" i="1" a="1"/>
  <c r="AU982" i="1" a="1"/>
  <c r="AU1040" i="1" a="1"/>
  <c r="AU1303" i="1" a="1"/>
  <c r="AU1982" i="1" a="1"/>
  <c r="AU1389" i="1" a="1"/>
  <c r="AU1127" i="1" a="1"/>
  <c r="AU1801" i="1" a="1"/>
  <c r="AU1373" i="1" a="1"/>
  <c r="AU1236" i="1" a="1"/>
  <c r="AU223" i="1" a="1"/>
  <c r="AU481" i="1" a="1"/>
  <c r="AU260" i="1" a="1"/>
  <c r="AU814" i="1" a="1"/>
  <c r="AU154" i="1" a="1"/>
  <c r="AU248" i="1" a="1"/>
  <c r="AU203" i="1" a="1"/>
  <c r="AU806" i="1" a="1"/>
  <c r="AU239" i="1" a="1"/>
  <c r="AU648" i="1" a="1"/>
  <c r="AU645" i="1" a="1"/>
  <c r="AU574" i="1" a="1"/>
  <c r="AU37" i="1" a="1"/>
  <c r="AU918" i="1" a="1"/>
  <c r="AU92" i="1" a="1"/>
  <c r="AU684" i="1" a="1"/>
  <c r="AU421" i="1" a="1"/>
  <c r="AU575" i="1" a="1"/>
  <c r="AU2509" i="1" a="1"/>
  <c r="AU1997" i="1" a="1"/>
  <c r="AU1485" i="1" a="1"/>
  <c r="AU2332" i="1" a="1"/>
  <c r="AU1820" i="1" a="1"/>
  <c r="AU2667" i="1" a="1"/>
  <c r="AU2155" i="1" a="1"/>
  <c r="AU1643" i="1" a="1"/>
  <c r="AU2394" i="1" a="1"/>
  <c r="AU2457" i="1" a="1"/>
  <c r="AU2520" i="1" a="1"/>
  <c r="AU2551" i="1" a="1"/>
  <c r="AU2550" i="1" a="1"/>
  <c r="AU2038" i="1" a="1"/>
  <c r="AU1526" i="1" a="1"/>
  <c r="AU2373" i="1" a="1"/>
  <c r="AU1861" i="1" a="1"/>
  <c r="AU2708" i="1" a="1"/>
  <c r="AU2196" i="1" a="1"/>
  <c r="AU1684" i="1" a="1"/>
  <c r="AU2483" i="1" a="1"/>
  <c r="AU1971" i="1" a="1"/>
  <c r="AU2578" i="1" a="1"/>
  <c r="AU2641" i="1" a="1"/>
  <c r="AU2704" i="1" a="1"/>
  <c r="AU2735" i="1" a="1"/>
  <c r="AU2734" i="1" a="1"/>
  <c r="AU1154" i="1" a="1"/>
  <c r="AU1279" i="1" a="1"/>
  <c r="AU1249" i="1" a="1"/>
  <c r="AU1443" i="1" a="1"/>
  <c r="AU1184" i="1" a="1"/>
  <c r="AU1610" i="1" a="1"/>
  <c r="AU2000" i="1" a="1"/>
  <c r="AU1310" i="1" a="1"/>
  <c r="AU2026" i="1" a="1"/>
  <c r="AU2122" i="1" a="1"/>
  <c r="AU1372" i="1" a="1"/>
  <c r="AU1753" i="1" a="1"/>
  <c r="AU1211" i="1" a="1"/>
  <c r="AU1752" i="1" a="1"/>
  <c r="AU1338" i="1" a="1"/>
  <c r="AU1751" i="1" a="1"/>
  <c r="AU1353" i="1" a="1"/>
  <c r="AU1777" i="1" a="1"/>
  <c r="AU1384" i="1" a="1"/>
  <c r="AU2161" i="1" a="1"/>
  <c r="AU1568" i="1" a="1"/>
  <c r="AU1774" i="1" a="1"/>
  <c r="AU1401" i="1" a="1"/>
  <c r="AU1157" i="1" a="1"/>
  <c r="AU1479" i="1" a="1"/>
  <c r="AU1475" i="1" a="1"/>
  <c r="AU1187" i="1" a="1"/>
  <c r="AU1009" i="1" a="1"/>
  <c r="AU976" i="1" a="1"/>
  <c r="AU1421" i="1" a="1"/>
  <c r="AU2456" i="1" a="1"/>
  <c r="AU2132" i="1" a="1"/>
  <c r="AU2671" i="1" a="1"/>
  <c r="AU1151" i="1" a="1"/>
  <c r="AU1905" i="1" a="1"/>
  <c r="AU1630" i="1" a="1"/>
  <c r="AU1481" i="1" a="1"/>
  <c r="AU975" i="1" a="1"/>
  <c r="AU2471" i="1" a="1"/>
  <c r="AU2628" i="1" a="1"/>
  <c r="AU2655" i="1" a="1"/>
  <c r="AU1417" i="1" a="1"/>
  <c r="AU1292" i="1" a="1"/>
  <c r="AU1304" i="1" a="1"/>
  <c r="AU967" i="1" a="1"/>
  <c r="AU1765" i="1" a="1"/>
  <c r="AU1102" i="1" a="1"/>
  <c r="AU1276" i="1" a="1"/>
  <c r="AU1239" i="1" a="1"/>
  <c r="AU954" i="1" a="1"/>
  <c r="AU1794" i="1" a="1"/>
  <c r="AU2144" i="1" a="1"/>
  <c r="AU1521" i="1" a="1"/>
  <c r="AU1226" i="1" a="1"/>
  <c r="AU1366" i="1" a="1"/>
  <c r="AU1767" i="1" a="1"/>
  <c r="AU1434" i="1" a="1"/>
  <c r="AU2010" i="1" a="1"/>
  <c r="AU1105" i="1" a="1"/>
  <c r="AU1209" i="1" a="1"/>
  <c r="AU1043" i="1" a="1"/>
  <c r="AU1212" i="1" a="1"/>
  <c r="AU1178" i="1" a="1"/>
  <c r="AU1318" i="1" a="1"/>
  <c r="AU973" i="1" a="1"/>
  <c r="AU1035" i="1" a="1"/>
  <c r="AU1775" i="1" a="1"/>
  <c r="AU989" i="1" a="1"/>
  <c r="AU155" i="1" a="1"/>
  <c r="AU454" i="1" a="1"/>
  <c r="AU202" i="1" a="1"/>
  <c r="AU786" i="1" a="1"/>
  <c r="AU494" i="1" a="1"/>
  <c r="AU927" i="1" a="1"/>
  <c r="AU607" i="1" a="1"/>
  <c r="AU781" i="1" a="1"/>
  <c r="AU198" i="1" a="1"/>
  <c r="AU622" i="1" a="1"/>
  <c r="AU583" i="1" a="1"/>
  <c r="AU937" i="1" a="1"/>
  <c r="AU254" i="1" a="1"/>
  <c r="AU874" i="1" a="1"/>
  <c r="AU663" i="1" a="1"/>
  <c r="AU214" i="1" a="1"/>
  <c r="AU503" i="1" a="1"/>
  <c r="AU167" i="1" a="1"/>
  <c r="AU2493" i="1" a="1"/>
  <c r="AU1981" i="1" a="1"/>
  <c r="AU1469" i="1" a="1"/>
  <c r="AU2316" i="1" a="1"/>
  <c r="AU1804" i="1" a="1"/>
  <c r="AU2651" i="1" a="1"/>
  <c r="AU2139" i="1" a="1"/>
  <c r="AU1627" i="1" a="1"/>
  <c r="AU2378" i="1" a="1"/>
  <c r="AU2441" i="1" a="1"/>
  <c r="AU2504" i="1" a="1"/>
  <c r="AU2535" i="1" a="1"/>
  <c r="AU2534" i="1" a="1"/>
  <c r="AU2022" i="1" a="1"/>
  <c r="AU1510" i="1" a="1"/>
  <c r="AU2357" i="1" a="1"/>
  <c r="AU1845" i="1" a="1"/>
  <c r="AU2692" i="1" a="1"/>
  <c r="AU2180" i="1" a="1"/>
  <c r="AU1668" i="1" a="1"/>
  <c r="AU2467" i="1" a="1"/>
  <c r="AU1955" i="1" a="1"/>
  <c r="AU2562" i="1" a="1"/>
  <c r="AU2625" i="1" a="1"/>
  <c r="AU2688" i="1" a="1"/>
  <c r="AU2719" i="1" a="1"/>
  <c r="AU2231" i="1" a="1"/>
  <c r="AU1138" i="1" a="1"/>
  <c r="AU1231" i="1" a="1"/>
  <c r="AU1233" i="1" a="1"/>
  <c r="AU1418" i="1" a="1"/>
  <c r="AU1168" i="1" a="1"/>
  <c r="AU1527" i="1" a="1"/>
  <c r="AU1969" i="1" a="1"/>
  <c r="AU1294" i="1" a="1"/>
  <c r="AU1998" i="1" a="1"/>
  <c r="AU2065" i="1" a="1"/>
  <c r="AU1356" i="1" a="1"/>
  <c r="AU1722" i="1" a="1"/>
  <c r="AU1195" i="1" a="1"/>
  <c r="AU1721" i="1" a="1"/>
  <c r="AU1322" i="1" a="1"/>
  <c r="AU1720" i="1" a="1"/>
  <c r="AU1337" i="1" a="1"/>
  <c r="AU1746" i="1" a="1"/>
  <c r="AU1368" i="1" a="1"/>
  <c r="AU2105" i="1" a="1"/>
  <c r="AU1538" i="1" a="1"/>
  <c r="AU1567" i="1" a="1"/>
  <c r="AU2318" i="1" a="1"/>
  <c r="AU1141" i="1" a="1"/>
  <c r="AU1450" i="1" a="1"/>
  <c r="AU1424" i="1" a="1"/>
  <c r="AU1171" i="1" a="1"/>
  <c r="AU1010" i="1" a="1"/>
  <c r="AU960" i="1" a="1"/>
  <c r="AU889" i="1" a="1"/>
  <c r="AU2309" i="1" a="1"/>
  <c r="AU1185" i="1" a="1"/>
  <c r="AU1575" i="1" a="1"/>
  <c r="AU1983" i="1" a="1"/>
  <c r="AU1563" i="1" a="1"/>
  <c r="AU1604" i="1" a="1"/>
  <c r="AU1086" i="1" a="1"/>
  <c r="AU1273" i="1" a="1"/>
  <c r="AU2089" i="1" a="1"/>
  <c r="AU2387" i="1" a="1"/>
  <c r="AU1058" i="1" a="1"/>
  <c r="AU1214" i="1" a="1"/>
  <c r="AU1514" i="1" a="1"/>
  <c r="AU1382" i="1" a="1"/>
  <c r="AU969" i="1" a="1"/>
  <c r="AU2623" i="1" a="1"/>
  <c r="AU1072" i="1" a="1"/>
  <c r="AU1099" i="1" a="1"/>
  <c r="AU1687" i="1" a="1"/>
  <c r="AU998" i="1" a="1"/>
  <c r="AU1026" i="1" a="1"/>
  <c r="AU1244" i="1" a="1"/>
  <c r="AU1486" i="1" a="1"/>
  <c r="AU1059" i="1" a="1"/>
  <c r="AU1582" i="1" a="1"/>
  <c r="AU1228" i="1" a="1"/>
  <c r="AU1240" i="1" a="1"/>
  <c r="AU1826" i="1" a="1"/>
  <c r="AU1726" i="1" a="1"/>
  <c r="AU1224" i="1" a="1"/>
  <c r="AU1027" i="1" a="1"/>
  <c r="AU1196" i="1" a="1"/>
  <c r="AU1208" i="1" a="1"/>
  <c r="AU2238" i="1" a="1"/>
  <c r="AU545" i="1" a="1"/>
  <c r="AU419" i="1" a="1"/>
  <c r="AU75" i="1" a="1"/>
  <c r="AU764" i="1" a="1"/>
  <c r="AU258" i="1" a="1"/>
  <c r="AU907" i="1" a="1"/>
  <c r="AU315" i="1" a="1"/>
  <c r="AU754" i="1" a="1"/>
  <c r="AU149" i="1" a="1"/>
  <c r="AU584" i="1" a="1"/>
  <c r="AU541" i="1" a="1"/>
  <c r="AU920" i="1" a="1"/>
  <c r="AU63" i="1" a="1"/>
  <c r="AU854" i="1" a="1"/>
  <c r="AU467" i="1" a="1"/>
  <c r="AU461" i="1" a="1"/>
  <c r="AU932" i="1" a="1"/>
  <c r="AU930" i="1" a="1"/>
  <c r="AU2477" i="1" a="1"/>
  <c r="AU1965" i="1" a="1"/>
  <c r="AU1453" i="1" a="1"/>
  <c r="AU2300" i="1" a="1"/>
  <c r="AU1788" i="1" a="1"/>
  <c r="AU2635" i="1" a="1"/>
  <c r="AU2123" i="1" a="1"/>
  <c r="AU1611" i="1" a="1"/>
  <c r="AU2362" i="1" a="1"/>
  <c r="AU2425" i="1" a="1"/>
  <c r="AU2488" i="1" a="1"/>
  <c r="AU2519" i="1" a="1"/>
  <c r="AU2518" i="1" a="1"/>
  <c r="AU2006" i="1" a="1"/>
  <c r="AU1494" i="1" a="1"/>
  <c r="AU2341" i="1" a="1"/>
  <c r="AU1829" i="1" a="1"/>
  <c r="AU2676" i="1" a="1"/>
  <c r="AU2164" i="1" a="1"/>
  <c r="AU1652" i="1" a="1"/>
  <c r="AU2451" i="1" a="1"/>
  <c r="AU1939" i="1" a="1"/>
  <c r="AU2546" i="1" a="1"/>
  <c r="AU2609" i="1" a="1"/>
  <c r="AU2672" i="1" a="1"/>
  <c r="AU2703" i="1" a="1"/>
  <c r="AU2143" i="1" a="1"/>
  <c r="AU1122" i="1" a="1"/>
  <c r="AU1183" i="1" a="1"/>
  <c r="AU1217" i="1" a="1"/>
  <c r="AU1393" i="1" a="1"/>
  <c r="AU1152" i="1" a="1"/>
  <c r="AU1497" i="1" a="1"/>
  <c r="AU1938" i="1" a="1"/>
  <c r="AU1278" i="1" a="1"/>
  <c r="AU1727" i="1" a="1"/>
  <c r="AU1967" i="1" a="1"/>
  <c r="AU1340" i="1" a="1"/>
  <c r="AU1694" i="1" a="1"/>
  <c r="AU1179" i="1" a="1"/>
  <c r="AU1690" i="1" a="1"/>
  <c r="AU1306" i="1" a="1"/>
  <c r="AU1689" i="1" a="1"/>
  <c r="AU1321" i="1" a="1"/>
  <c r="AU1719" i="1" a="1"/>
  <c r="AU1352" i="1" a="1"/>
  <c r="AU2048" i="1" a="1"/>
  <c r="AU1482" i="1" a="1"/>
  <c r="AU1537" i="1" a="1"/>
  <c r="AU2153" i="1" a="1"/>
  <c r="AU1125" i="1" a="1"/>
  <c r="AU1380" i="1" a="1"/>
  <c r="AU1399" i="1" a="1"/>
  <c r="AU1155" i="1" a="1"/>
  <c r="AU1008" i="1" a="1"/>
  <c r="AU952" i="1" a="1"/>
  <c r="AU2445" i="1" a="1"/>
  <c r="AU1797" i="1" a="1"/>
  <c r="AU1665" i="1" a="1"/>
  <c r="AU2302" i="1" a="1"/>
  <c r="AU1446" i="1" a="1"/>
  <c r="AU2403" i="1" a="1"/>
  <c r="AU1074" i="1" a="1"/>
  <c r="AU1230" i="1" a="1"/>
  <c r="AU1258" i="1" a="1"/>
  <c r="AU1455" i="1" a="1"/>
  <c r="AU1430" i="1" a="1"/>
  <c r="AU2639" i="1" a="1"/>
  <c r="AU1551" i="1" a="1"/>
  <c r="AU1288" i="1" a="1"/>
  <c r="AU2529" i="1" a="1"/>
  <c r="AU1137" i="1" a="1"/>
  <c r="AU1260" i="1" a="1"/>
  <c r="AU1241" i="1" a="1"/>
  <c r="AU1300" i="1" a="1"/>
  <c r="AU1056" i="1" a="1"/>
  <c r="AU2510" i="1" a="1"/>
  <c r="AU1225" i="1" a="1"/>
  <c r="AU1857" i="1" a="1"/>
  <c r="AU1070" i="1" a="1"/>
  <c r="AU2175" i="1" a="1"/>
  <c r="AU2103" i="1" a="1"/>
  <c r="AU1069" i="1" a="1"/>
  <c r="AU1407" i="1" a="1"/>
  <c r="AU955" i="1" a="1"/>
  <c r="AU1063" i="1" a="1"/>
  <c r="AU1770" i="1" a="1"/>
  <c r="AU403" i="1" a="1"/>
  <c r="AU325" i="1" a="1"/>
  <c r="AU606" i="1" a="1"/>
  <c r="AU730" i="1" a="1"/>
  <c r="AU69" i="1" a="1"/>
  <c r="AU883" i="1" a="1"/>
  <c r="AU12" i="1" a="1"/>
  <c r="AU722" i="1" a="1"/>
  <c r="AU98" i="1" a="1"/>
  <c r="AU563" i="1" a="1"/>
  <c r="AU492" i="1" a="1"/>
  <c r="AU899" i="1" a="1"/>
  <c r="AU616" i="1" a="1"/>
  <c r="AU824" i="1" a="1"/>
  <c r="AU215" i="1" a="1"/>
  <c r="AU213" i="1" a="1"/>
  <c r="AU912" i="1" a="1"/>
  <c r="AU910" i="1" a="1"/>
  <c r="AU2461" i="1" a="1"/>
  <c r="AU1949" i="1" a="1"/>
  <c r="AU1437" i="1" a="1"/>
  <c r="AU2284" i="1" a="1"/>
  <c r="AU1772" i="1" a="1"/>
  <c r="AU2619" i="1" a="1"/>
  <c r="AU2107" i="1" a="1"/>
  <c r="AU1595" i="1" a="1"/>
  <c r="AU2346" i="1" a="1"/>
  <c r="AU2409" i="1" a="1"/>
  <c r="AU2472" i="1" a="1"/>
  <c r="AU2503" i="1" a="1"/>
  <c r="AU2502" i="1" a="1"/>
  <c r="AU1990" i="1" a="1"/>
  <c r="AU1478" i="1" a="1"/>
  <c r="AU2325" i="1" a="1"/>
  <c r="AU1813" i="1" a="1"/>
  <c r="AU2660" i="1" a="1"/>
  <c r="AU2148" i="1" a="1"/>
  <c r="AU1636" i="1" a="1"/>
  <c r="AU2435" i="1" a="1"/>
  <c r="AU1923" i="1" a="1"/>
  <c r="AU2530" i="1" a="1"/>
  <c r="AU2593" i="1" a="1"/>
  <c r="AU2656" i="1" a="1"/>
  <c r="AU2687" i="1" a="1"/>
  <c r="AU2087" i="1" a="1"/>
  <c r="AU1106" i="1" a="1"/>
  <c r="AU1119" i="1" a="1"/>
  <c r="AU1201" i="1" a="1"/>
  <c r="AU1295" i="1" a="1"/>
  <c r="AU1136" i="1" a="1"/>
  <c r="AU1471" i="1" a="1"/>
  <c r="AU1911" i="1" a="1"/>
  <c r="AU1262" i="1" a="1"/>
  <c r="AU1696" i="1" a="1"/>
  <c r="AU1936" i="1" a="1"/>
  <c r="AU1324" i="1" a="1"/>
  <c r="AU1576" i="1" a="1"/>
  <c r="AU1163" i="1" a="1"/>
  <c r="AU1662" i="1" a="1"/>
  <c r="AU1290" i="1" a="1"/>
  <c r="AU1658" i="1" a="1"/>
  <c r="AU1305" i="1" a="1"/>
  <c r="AU1688" i="1" a="1"/>
  <c r="AU1336" i="1" a="1"/>
  <c r="AU1807" i="1" a="1"/>
  <c r="AU1456" i="1" a="1"/>
  <c r="AU1507" i="1" a="1"/>
  <c r="AU2096" i="1" a="1"/>
  <c r="AU1109" i="1" a="1"/>
  <c r="AU1364" i="1" a="1"/>
  <c r="AU2254" i="1" a="1"/>
  <c r="AU1139" i="1" a="1"/>
  <c r="AU999" i="1" a="1"/>
  <c r="AU991" i="1" a="1"/>
  <c r="AU231" i="1" a="1"/>
  <c r="AU2514" i="1" a="1"/>
  <c r="AU1274" i="1" a="1"/>
  <c r="AU2145" i="1" a="1"/>
  <c r="AU1958" i="1" a="1"/>
  <c r="AU1781" i="1" a="1"/>
  <c r="AU2624" i="1" a="1"/>
  <c r="AU1169" i="1" a="1"/>
  <c r="AU1874" i="1" a="1"/>
  <c r="AU1626" i="1" a="1"/>
  <c r="AU2152" i="1" a="1"/>
  <c r="AU1942" i="1" a="1"/>
  <c r="AU1153" i="1" a="1"/>
  <c r="AU1518" i="1" a="1"/>
  <c r="AU2095" i="1" a="1"/>
  <c r="AU1859" i="1" a="1"/>
  <c r="AU1327" i="1" a="1"/>
  <c r="AU1433" i="1" a="1"/>
  <c r="AU2041" i="1" a="1"/>
  <c r="AU2513" i="1" a="1"/>
  <c r="AU1785" i="1" a="1"/>
  <c r="AU1350" i="1" a="1"/>
  <c r="AU2590" i="1" a="1"/>
  <c r="AU1409" i="1" a="1"/>
  <c r="AU1625" i="1" a="1"/>
  <c r="AU1268" i="1" a="1"/>
  <c r="AU1311" i="1" a="1"/>
  <c r="AU2046" i="1" a="1"/>
  <c r="AU1162" i="1" a="1"/>
  <c r="AU1177" i="1" a="1"/>
  <c r="AU1680" i="1" a="1"/>
  <c r="AU242" i="1" a="1"/>
  <c r="AU288" i="1" a="1"/>
  <c r="AU357" i="1" a="1"/>
  <c r="AU703" i="1" a="1"/>
  <c r="AU483" i="1" a="1"/>
  <c r="AU862" i="1" a="1"/>
  <c r="AU586" i="1" a="1"/>
  <c r="AU698" i="1" a="1"/>
  <c r="AU67" i="1" a="1"/>
  <c r="AU543" i="1" a="1"/>
  <c r="AU435" i="1" a="1"/>
  <c r="AU855" i="1" a="1"/>
  <c r="AU486" i="1" a="1"/>
  <c r="AU797" i="1" a="1"/>
  <c r="AU62" i="1" a="1"/>
  <c r="AU2603" i="1" a="1"/>
  <c r="AU122" i="1" a="1"/>
  <c r="AU267" i="1" a="1"/>
  <c r="AU200" i="1" a="1"/>
  <c r="AU679" i="1" a="1"/>
  <c r="AU209" i="1" a="1"/>
  <c r="AU841" i="1" a="1"/>
  <c r="AU222" i="1" a="1"/>
  <c r="AU673" i="1" a="1"/>
  <c r="AU237" i="1" a="1"/>
  <c r="AU516" i="1" a="1"/>
  <c r="AU348" i="1" a="1"/>
  <c r="AU829" i="1" a="1"/>
  <c r="AU297" i="1" a="1"/>
  <c r="AU775" i="1" a="1"/>
  <c r="AU615" i="1" a="1"/>
  <c r="AU327" i="1" a="1"/>
  <c r="AU870" i="1" a="1"/>
  <c r="AU866" i="1" a="1"/>
  <c r="AU2429" i="1" a="1"/>
  <c r="AU1917" i="1" a="1"/>
  <c r="AU1405" i="1" a="1"/>
  <c r="AU2252" i="1" a="1"/>
  <c r="AU1740" i="1" a="1"/>
  <c r="AU2587" i="1" a="1"/>
  <c r="AU2470" i="1" a="1"/>
  <c r="AU356" i="1" a="1"/>
  <c r="AU247" i="1" a="1"/>
  <c r="AU43" i="1" a="1"/>
  <c r="AU656" i="1" a="1"/>
  <c r="AU569" i="1" a="1"/>
  <c r="AU813" i="1" a="1"/>
  <c r="AU544" i="1" a="1"/>
  <c r="AU651" i="1" a="1"/>
  <c r="AU64" i="1" a="1"/>
  <c r="AU493" i="1" a="1"/>
  <c r="AU275" i="1" a="1"/>
  <c r="AU798" i="1" a="1"/>
  <c r="AU140" i="1" a="1"/>
  <c r="AU691" i="1" a="1"/>
  <c r="AU465" i="1" a="1"/>
  <c r="AU455" i="1" a="1"/>
  <c r="AU849" i="1" a="1"/>
  <c r="AU847" i="1" a="1"/>
  <c r="AU2413" i="1" a="1"/>
  <c r="AU1901" i="1" a="1"/>
  <c r="AU2748" i="1" a="1"/>
  <c r="AU2236" i="1" a="1"/>
  <c r="AU1724" i="1" a="1"/>
  <c r="AU2571" i="1" a="1"/>
  <c r="AU2059" i="1" a="1"/>
  <c r="AU1547" i="1" a="1"/>
  <c r="AU2298" i="1" a="1"/>
  <c r="AU2361" i="1" a="1"/>
  <c r="AU2424" i="1" a="1"/>
  <c r="AU2455" i="1" a="1"/>
  <c r="AU2454" i="1" a="1"/>
  <c r="AU1588" i="1" a="1"/>
  <c r="AU240" i="1" a="1"/>
  <c r="AU228" i="1" a="1"/>
  <c r="AU474" i="1" a="1"/>
  <c r="AU631" i="1" a="1"/>
  <c r="AU126" i="1" a="1"/>
  <c r="AU785" i="1" a="1"/>
  <c r="AU221" i="1" a="1"/>
  <c r="AU626" i="1" a="1"/>
  <c r="AU216" i="1" a="1"/>
  <c r="AU472" i="1" a="1"/>
  <c r="AU238" i="1" a="1"/>
  <c r="AU776" i="1" a="1"/>
  <c r="AU556" i="1" a="1"/>
  <c r="AU665" i="1" a="1"/>
  <c r="AU233" i="1" a="1"/>
  <c r="AU934" i="1" a="1"/>
  <c r="AU819" i="1" a="1"/>
  <c r="AU817" i="1" a="1"/>
  <c r="AU2397" i="1" a="1"/>
  <c r="AU1885" i="1" a="1"/>
  <c r="AU2732" i="1" a="1"/>
  <c r="AU2220" i="1" a="1"/>
  <c r="AU1708" i="1" a="1"/>
  <c r="AU2555" i="1" a="1"/>
  <c r="AU2043" i="1" a="1"/>
  <c r="AU1531" i="1" a="1"/>
  <c r="AU2282" i="1" a="1"/>
  <c r="AU2345" i="1" a="1"/>
  <c r="AU2408" i="1" a="1"/>
  <c r="AU2439" i="1" a="1"/>
  <c r="AU2438" i="1" a="1"/>
  <c r="AU1926" i="1" a="1"/>
  <c r="AU1414" i="1" a="1"/>
  <c r="AU2261" i="1" a="1"/>
  <c r="AU1749" i="1" a="1"/>
  <c r="AU2596" i="1" a="1"/>
  <c r="AU2084" i="1" a="1"/>
  <c r="AU1042" i="1" a="1"/>
  <c r="AU121" i="1" a="1"/>
  <c r="AU208" i="1" a="1"/>
  <c r="AU277" i="1" a="1"/>
  <c r="AU610" i="1" a="1"/>
  <c r="AU906" i="1" a="1"/>
  <c r="AU763" i="1" a="1"/>
  <c r="AU457" i="1" a="1"/>
  <c r="AU476" i="1" a="1"/>
  <c r="AU36" i="1" a="1"/>
  <c r="AU436" i="1" a="1"/>
  <c r="AU197" i="1" a="1"/>
  <c r="AU746" i="1" a="1"/>
  <c r="AU426" i="1" a="1"/>
  <c r="AU644" i="1" a="1"/>
  <c r="AU33" i="1" a="1"/>
  <c r="AU914" i="1" a="1"/>
  <c r="AU790" i="1" a="1"/>
  <c r="AU788" i="1" a="1"/>
  <c r="AU2381" i="1" a="1"/>
  <c r="AU1869" i="1" a="1"/>
  <c r="AU2716" i="1" a="1"/>
  <c r="AU2204" i="1" a="1"/>
  <c r="AU1692" i="1" a="1"/>
  <c r="AU2539" i="1" a="1"/>
  <c r="AU2027" i="1" a="1"/>
  <c r="AU1515" i="1" a="1"/>
  <c r="AU2266" i="1" a="1"/>
  <c r="AU2329" i="1" a="1"/>
  <c r="AU2392" i="1" a="1"/>
  <c r="AU2423" i="1" a="1"/>
  <c r="AU2422" i="1" a="1"/>
  <c r="AU1910" i="1" a="1"/>
  <c r="AU1398" i="1" a="1"/>
  <c r="AU2245" i="1" a="1"/>
  <c r="AU1733" i="1" a="1"/>
  <c r="AU2580" i="1" a="1"/>
  <c r="AU2068" i="1" a="1"/>
  <c r="AU1556" i="1" a="1"/>
  <c r="AU2355" i="1" a="1"/>
  <c r="AU1843" i="1" a="1"/>
  <c r="AU2450" i="1" a="1"/>
  <c r="AU2607" i="1" a="1"/>
  <c r="AU2159" i="1" a="1"/>
  <c r="AU137" i="1" a="1"/>
  <c r="AU182" i="1" a="1"/>
  <c r="AU152" i="1" a="1"/>
  <c r="AU591" i="1" a="1"/>
  <c r="AU725" i="1" a="1"/>
  <c r="AU729" i="1" a="1"/>
  <c r="AU289" i="1" a="1"/>
  <c r="AU54" i="1" a="1"/>
  <c r="AU637" i="1" a="1"/>
  <c r="AU398" i="1" a="1"/>
  <c r="AU148" i="1" a="1"/>
  <c r="AU718" i="1" a="1"/>
  <c r="AU252" i="1" a="1"/>
  <c r="AU560" i="1" a="1"/>
  <c r="AU555" i="1" a="1"/>
  <c r="AU895" i="1" a="1"/>
  <c r="AU771" i="1" a="1"/>
  <c r="AU767" i="1" a="1"/>
  <c r="AU2365" i="1" a="1"/>
  <c r="AU1853" i="1" a="1"/>
  <c r="AU2700" i="1" a="1"/>
  <c r="AU2188" i="1" a="1"/>
  <c r="AU1676" i="1" a="1"/>
  <c r="AU2523" i="1" a="1"/>
  <c r="AU2011" i="1" a="1"/>
  <c r="AU1499" i="1" a="1"/>
  <c r="AU2250" i="1" a="1"/>
  <c r="AU2313" i="1" a="1"/>
  <c r="AU2376" i="1" a="1"/>
  <c r="AU2407" i="1" a="1"/>
  <c r="AU2406" i="1" a="1"/>
  <c r="AU1894" i="1" a="1"/>
  <c r="AU2741" i="1" a="1"/>
  <c r="AU2229" i="1" a="1"/>
  <c r="AU1717" i="1" a="1"/>
  <c r="AU2564" i="1" a="1"/>
  <c r="AU2052" i="1" a="1"/>
  <c r="AU1540" i="1" a="1"/>
  <c r="AU2339" i="1" a="1"/>
  <c r="AU1827" i="1" a="1"/>
  <c r="AU2434" i="1" a="1"/>
  <c r="AU2497" i="1" a="1"/>
  <c r="AU2560" i="1" a="1"/>
  <c r="AU2591" i="1" a="1"/>
  <c r="AU1736" i="1" a="1"/>
  <c r="AU1343" i="1" a="1"/>
  <c r="AU1754" i="1" a="1"/>
  <c r="AU504" i="1" a="1"/>
  <c r="AU161" i="1" a="1"/>
  <c r="AU30" i="1" a="1"/>
  <c r="AU572" i="1" a="1"/>
  <c r="AU568" i="1" a="1"/>
  <c r="AU701" i="1" a="1"/>
  <c r="AU926" i="1" a="1"/>
  <c r="AU85" i="1" a="1"/>
  <c r="AU388" i="1" a="1"/>
  <c r="AU349" i="1" a="1"/>
  <c r="AU95" i="1" a="1"/>
  <c r="AU692" i="1" a="1"/>
  <c r="AU90" i="1" a="1"/>
  <c r="AU489" i="1" a="1"/>
  <c r="AU380" i="1" a="1"/>
  <c r="AU872" i="1" a="1"/>
  <c r="AU739" i="1" a="1"/>
  <c r="AU732" i="1" a="1"/>
  <c r="AU2349" i="1" a="1"/>
  <c r="AU1837" i="1" a="1"/>
  <c r="AU2684" i="1" a="1"/>
  <c r="AU2172" i="1" a="1"/>
  <c r="AU1660" i="1" a="1"/>
  <c r="AU2507" i="1" a="1"/>
  <c r="AU1995" i="1" a="1"/>
  <c r="AU2746" i="1" a="1"/>
  <c r="AU2234" i="1" a="1"/>
  <c r="AU2297" i="1" a="1"/>
  <c r="AU2360" i="1" a="1"/>
  <c r="AU2391" i="1" a="1"/>
  <c r="AU2390" i="1" a="1"/>
  <c r="AU1878" i="1" a="1"/>
  <c r="AU2725" i="1" a="1"/>
  <c r="AU2213" i="1" a="1"/>
  <c r="AU1701" i="1" a="1"/>
  <c r="AU2548" i="1" a="1"/>
  <c r="AU2036" i="1" a="1"/>
  <c r="AU1524" i="1" a="1"/>
  <c r="AU2323" i="1" a="1"/>
  <c r="AU1811" i="1" a="1"/>
  <c r="AU2418" i="1" a="1"/>
  <c r="AU2481" i="1" a="1"/>
  <c r="AU2544" i="1" a="1"/>
  <c r="AU2575" i="1" a="1"/>
  <c r="AU1705" i="1" a="1"/>
  <c r="AU1215" i="1" a="1"/>
  <c r="AU2138" i="1" a="1"/>
  <c r="AU1089" i="1" a="1"/>
  <c r="AU2079" i="1" a="1"/>
  <c r="AU1051" i="1" a="1"/>
  <c r="AU135" i="1" a="1"/>
  <c r="AU128" i="1" a="1"/>
  <c r="AU613" i="1" a="1"/>
  <c r="AU550" i="1" a="1"/>
  <c r="AU478" i="1" a="1"/>
  <c r="AU677" i="1" a="1"/>
  <c r="AU810" i="1" a="1"/>
  <c r="AU940" i="1" a="1"/>
  <c r="AU116" i="1" a="1"/>
  <c r="AU276" i="1" a="1"/>
  <c r="AU745" i="1" a="1"/>
  <c r="AU666" i="1" a="1"/>
  <c r="AU533" i="1" a="1"/>
  <c r="AU274" i="1" a="1"/>
  <c r="AU168" i="1" a="1"/>
  <c r="AU852" i="1" a="1"/>
  <c r="AU710" i="1" a="1"/>
  <c r="AU705" i="1" a="1"/>
  <c r="AU2333" i="1" a="1"/>
  <c r="AU1821" i="1" a="1"/>
  <c r="AU2668" i="1" a="1"/>
  <c r="AU2156" i="1" a="1"/>
  <c r="AU1644" i="1" a="1"/>
  <c r="AU2491" i="1" a="1"/>
  <c r="AU1979" i="1" a="1"/>
  <c r="AU2730" i="1" a="1"/>
  <c r="AU2218" i="1" a="1"/>
  <c r="AU2281" i="1" a="1"/>
  <c r="AU2344" i="1" a="1"/>
  <c r="AU2375" i="1" a="1"/>
  <c r="AU2374" i="1" a="1"/>
  <c r="AU1862" i="1" a="1"/>
  <c r="AU2709" i="1" a="1"/>
  <c r="AU2197" i="1" a="1"/>
  <c r="AU1685" i="1" a="1"/>
  <c r="AU2532" i="1" a="1"/>
  <c r="AU2020" i="1" a="1"/>
  <c r="AU1508" i="1" a="1"/>
  <c r="AU2307" i="1" a="1"/>
  <c r="AU1795" i="1" a="1"/>
  <c r="AU2402" i="1" a="1"/>
  <c r="AU2465" i="1" a="1"/>
  <c r="AU2528" i="1" a="1"/>
  <c r="AU2559" i="1" a="1"/>
  <c r="AU1674" i="1" a="1"/>
  <c r="AU1071" i="1" a="1"/>
  <c r="AU2081" i="1" a="1"/>
  <c r="AU1073" i="1" a="1"/>
  <c r="AU1823" i="1" a="1"/>
  <c r="AU1247" i="1" a="1"/>
  <c r="AU2638" i="1" a="1"/>
  <c r="AU1467" i="1" a="1"/>
  <c r="AU1158" i="1" a="1"/>
  <c r="AU110" i="1" a="1"/>
  <c r="AU109" i="1" a="1"/>
  <c r="AU211" i="1" a="1"/>
  <c r="AU526" i="1" a="1"/>
  <c r="AU316" i="1" a="1"/>
  <c r="AU655" i="1" a="1"/>
  <c r="AU359" i="1" a="1"/>
  <c r="AU922" i="1" a="1"/>
  <c r="AU662" i="1" a="1"/>
  <c r="AU257" i="1" a="1"/>
  <c r="AU619" i="1" a="1"/>
  <c r="AU620" i="1" a="1"/>
  <c r="AU270" i="1" a="1"/>
  <c r="AU93" i="1" a="1"/>
  <c r="AU292" i="1" a="1"/>
  <c r="AU822" i="1" a="1"/>
  <c r="AU683" i="1" a="1"/>
  <c r="AU681" i="1" a="1"/>
  <c r="AU2317" i="1" a="1"/>
  <c r="AU1805" i="1" a="1"/>
  <c r="AU2652" i="1" a="1"/>
  <c r="AU2140" i="1" a="1"/>
  <c r="AU1628" i="1" a="1"/>
  <c r="AU2475" i="1" a="1"/>
  <c r="AU1963" i="1" a="1"/>
  <c r="AU2714" i="1" a="1"/>
  <c r="AU2202" i="1" a="1"/>
  <c r="AU2265" i="1" a="1"/>
  <c r="AU2328" i="1" a="1"/>
  <c r="AU2359" i="1" a="1"/>
  <c r="AU2358" i="1" a="1"/>
  <c r="AU1846" i="1" a="1"/>
  <c r="AU2693" i="1" a="1"/>
  <c r="AU2181" i="1" a="1"/>
  <c r="AU1669" i="1" a="1"/>
  <c r="AU2516" i="1" a="1"/>
  <c r="AU2004" i="1" a="1"/>
  <c r="AU1492" i="1" a="1"/>
  <c r="AU2291" i="1" a="1"/>
  <c r="AU1779" i="1" a="1"/>
  <c r="AU2386" i="1" a="1"/>
  <c r="AU2449" i="1" a="1"/>
  <c r="AU2512" i="1" a="1"/>
  <c r="AU2543" i="1" a="1"/>
  <c r="AU1646" i="1" a="1"/>
  <c r="AU1182" i="1" a="1"/>
  <c r="AU1855" i="1" a="1"/>
  <c r="AU1057" i="1" a="1"/>
  <c r="AU1792" i="1" a="1"/>
  <c r="AU1199" i="1" a="1"/>
  <c r="AU2200" i="1" a="1"/>
  <c r="AU1441" i="1" a="1"/>
  <c r="AU2071" i="1" a="1"/>
  <c r="AU1357" i="1" a="1"/>
  <c r="AU1577" i="1" a="1"/>
  <c r="AU1180" i="1" a="1"/>
  <c r="AU2024" i="1" a="1"/>
  <c r="AU1367" i="1" a="1"/>
  <c r="AU1126" i="1" a="1"/>
  <c r="AU1146" i="1" a="1"/>
  <c r="AU1046" i="1" a="1"/>
  <c r="AU1161" i="1" a="1"/>
  <c r="AU1159" i="1" a="1"/>
  <c r="AU1192" i="1" a="1"/>
  <c r="AU1431" i="1" a="1"/>
  <c r="AU1744" i="1" a="1"/>
  <c r="AU1286" i="1" a="1"/>
  <c r="AU1742" i="1" a="1"/>
  <c r="AU1649" i="1" a="1"/>
  <c r="AU1220" i="1" a="1"/>
  <c r="AU1737" i="1" a="1"/>
  <c r="AU1530" i="1" a="1"/>
  <c r="AU968" i="1" a="1"/>
  <c r="AU957" i="1" a="1"/>
  <c r="AU911" i="1" a="1"/>
  <c r="AU2565" i="1" a="1"/>
  <c r="AU1615" i="1" a="1"/>
  <c r="AU1992" i="1" a="1"/>
  <c r="AU1349" i="1" a="1"/>
  <c r="AU2633" i="1" a="1"/>
  <c r="AU2372" i="1" a="1"/>
  <c r="AU1330" i="1" a="1"/>
  <c r="AU1036" i="1" a="1"/>
  <c r="AU2350" i="1" a="1"/>
  <c r="AU1844" i="1" a="1"/>
  <c r="AU1555" i="1" a="1"/>
  <c r="AU1994" i="1" a="1"/>
  <c r="AU1111" i="1" a="1"/>
  <c r="AU2090" i="1" a="1"/>
  <c r="AU2722" i="1" a="1"/>
  <c r="AU1447" i="1" a="1"/>
  <c r="AU2176" i="1" a="1"/>
  <c r="AU1897" i="1" a="1"/>
  <c r="AU1331" i="1" a="1"/>
  <c r="AU1282" i="1" a="1"/>
  <c r="AU1639" i="1" a="1"/>
  <c r="AU1631" i="1" a="1"/>
  <c r="AU2016" i="1" a="1"/>
  <c r="AU1016" i="1" a="1"/>
  <c r="AU1296" i="1" a="1"/>
  <c r="AU2063" i="1" a="1"/>
  <c r="AU1985" i="1" a="1"/>
  <c r="AU1970" i="1" a="1"/>
  <c r="AU1191" i="1" a="1"/>
  <c r="AU1903" i="1" a="1"/>
  <c r="AU1569" i="1" a="1"/>
  <c r="AU1738" i="1" a="1"/>
  <c r="AE3990" i="1" l="1"/>
  <c r="AE4305" i="1"/>
  <c r="AE3798" i="1"/>
  <c r="AE3841" i="1"/>
  <c r="AE4152" i="1"/>
  <c r="AE3782" i="1"/>
  <c r="AE3693" i="1"/>
  <c r="AE3939" i="1"/>
  <c r="AE3260" i="1"/>
  <c r="AE4121" i="1"/>
  <c r="AE4284" i="1"/>
  <c r="AE3547" i="1"/>
  <c r="AE3975" i="1"/>
  <c r="AE3908" i="1"/>
  <c r="AE3933" i="1"/>
  <c r="AE4119" i="1"/>
  <c r="AE3991" i="1"/>
  <c r="AE3308" i="1"/>
  <c r="AE3601" i="1"/>
  <c r="AE3445" i="1"/>
  <c r="AE3592" i="1"/>
  <c r="AE4069" i="1"/>
  <c r="AE2984" i="1"/>
  <c r="AE3085" i="1"/>
  <c r="AE3058" i="1"/>
  <c r="AE3464" i="1"/>
  <c r="AE3206" i="1"/>
  <c r="AE2971" i="1"/>
  <c r="AE2960" i="1"/>
  <c r="AE3050" i="1"/>
  <c r="AE3422" i="1"/>
  <c r="AE3376" i="1"/>
  <c r="AE2545" i="1"/>
  <c r="AE2598" i="1"/>
  <c r="AE2683" i="1"/>
  <c r="AE3062" i="1"/>
  <c r="AE2724" i="1"/>
  <c r="AE2777" i="1"/>
  <c r="AE2830" i="1"/>
  <c r="AE2808" i="1"/>
  <c r="AE2406" i="1"/>
  <c r="AE1848" i="1"/>
  <c r="AE4105" i="1"/>
  <c r="AE4268" i="1"/>
  <c r="AE3531" i="1"/>
  <c r="AE3914" i="1"/>
  <c r="AE3959" i="1"/>
  <c r="AE4100" i="1"/>
  <c r="AE4055" i="1"/>
  <c r="AE3911" i="1"/>
  <c r="AE3740" i="1"/>
  <c r="AE3569" i="1"/>
  <c r="AE3429" i="1"/>
  <c r="AE3471" i="1"/>
  <c r="AE3508" i="1"/>
  <c r="AE3548" i="1"/>
  <c r="AE3598" i="1"/>
  <c r="AE3957" i="1"/>
  <c r="AE3540" i="1"/>
  <c r="AE3190" i="1"/>
  <c r="AE2955" i="1"/>
  <c r="AE3392" i="1"/>
  <c r="AE3353" i="1"/>
  <c r="AE2529" i="1"/>
  <c r="AE2582" i="1"/>
  <c r="AE3015" i="1"/>
  <c r="AE2708" i="1"/>
  <c r="AE2761" i="1"/>
  <c r="AE2814" i="1"/>
  <c r="AE2873" i="1"/>
  <c r="AE1914" i="1"/>
  <c r="AE1874" i="1"/>
  <c r="AE4089" i="1"/>
  <c r="AE4252" i="1"/>
  <c r="AE4276" i="1"/>
  <c r="AE3772" i="1"/>
  <c r="AE3981" i="1"/>
  <c r="AE3789" i="1"/>
  <c r="AE3901" i="1"/>
  <c r="AE3952" i="1"/>
  <c r="AE4050" i="1"/>
  <c r="AE3677" i="1"/>
  <c r="AE3413" i="1"/>
  <c r="AE3402" i="1"/>
  <c r="AE3868" i="1"/>
  <c r="AE2952" i="1"/>
  <c r="AE3053" i="1"/>
  <c r="AE3026" i="1"/>
  <c r="AE3456" i="1"/>
  <c r="AE3174" i="1"/>
  <c r="AE2939" i="1"/>
  <c r="AE3018" i="1"/>
  <c r="AE3278" i="1"/>
  <c r="AE2513" i="1"/>
  <c r="AE2566" i="1"/>
  <c r="AE3451" i="1"/>
  <c r="AE2692" i="1"/>
  <c r="AE2745" i="1"/>
  <c r="AE2798" i="1"/>
  <c r="AE3185" i="1"/>
  <c r="AE1734" i="1"/>
  <c r="AE4073" i="1"/>
  <c r="AE4236" i="1"/>
  <c r="AE3909" i="1"/>
  <c r="AE3722" i="1"/>
  <c r="AE4036" i="1"/>
  <c r="AE3510" i="1"/>
  <c r="AE3397" i="1"/>
  <c r="AE3386" i="1"/>
  <c r="AE3433" i="1"/>
  <c r="AE3158" i="1"/>
  <c r="AE2923" i="1"/>
  <c r="AE3294" i="1"/>
  <c r="AE3248" i="1"/>
  <c r="AE2497" i="1"/>
  <c r="AE2550" i="1"/>
  <c r="AE2676" i="1"/>
  <c r="AE2729" i="1"/>
  <c r="AE2782" i="1"/>
  <c r="AE1718" i="1"/>
  <c r="AE1184" i="1"/>
  <c r="AE4057" i="1"/>
  <c r="AE4220" i="1"/>
  <c r="AE3885" i="1"/>
  <c r="AE4239" i="1"/>
  <c r="AE3716" i="1"/>
  <c r="AE3770" i="1"/>
  <c r="AE3657" i="1"/>
  <c r="AE3629" i="1"/>
  <c r="AE3381" i="1"/>
  <c r="AE3370" i="1"/>
  <c r="AE3460" i="1"/>
  <c r="AE3497" i="1"/>
  <c r="AE3811" i="1"/>
  <c r="AE3792" i="1"/>
  <c r="AE2994" i="1"/>
  <c r="AE3358" i="1"/>
  <c r="AE2907" i="1"/>
  <c r="AE2986" i="1"/>
  <c r="AE3264" i="1"/>
  <c r="AE3225" i="1"/>
  <c r="AE2481" i="1"/>
  <c r="AE3054" i="1"/>
  <c r="AE2660" i="1"/>
  <c r="AE2713" i="1"/>
  <c r="AE2766" i="1"/>
  <c r="AE2352" i="1"/>
  <c r="AE2363" i="1"/>
  <c r="AE1168" i="1"/>
  <c r="AE4041" i="1"/>
  <c r="AE4204" i="1"/>
  <c r="AE4183" i="1"/>
  <c r="AE3698" i="1"/>
  <c r="AE3674" i="1"/>
  <c r="AE3965" i="1"/>
  <c r="AE4260" i="1"/>
  <c r="AE3650" i="1"/>
  <c r="AE3583" i="1"/>
  <c r="AE3228" i="1"/>
  <c r="AE3365" i="1"/>
  <c r="AE3354" i="1"/>
  <c r="AE3444" i="1"/>
  <c r="AE3783" i="1"/>
  <c r="AE2978" i="1"/>
  <c r="AE3328" i="1"/>
  <c r="AE3470" i="1"/>
  <c r="AE2891" i="1"/>
  <c r="AE2880" i="1"/>
  <c r="AE2970" i="1"/>
  <c r="AE3214" i="1"/>
  <c r="AE2465" i="1"/>
  <c r="AE2518" i="1"/>
  <c r="AE2603" i="1"/>
  <c r="AE3007" i="1"/>
  <c r="AE2644" i="1"/>
  <c r="AE2697" i="1"/>
  <c r="AE2750" i="1"/>
  <c r="AE2544" i="1"/>
  <c r="AE2326" i="1"/>
  <c r="AE2160" i="1"/>
  <c r="AE1497" i="1"/>
  <c r="AE1152" i="1"/>
  <c r="AE4025" i="1"/>
  <c r="AE4188" i="1"/>
  <c r="AE3956" i="1"/>
  <c r="AE3730" i="1"/>
  <c r="AE4146" i="1"/>
  <c r="AE3852" i="1"/>
  <c r="AE3692" i="1"/>
  <c r="AE3668" i="1"/>
  <c r="AE3630" i="1"/>
  <c r="AE3887" i="1"/>
  <c r="AE3349" i="1"/>
  <c r="AE3338" i="1"/>
  <c r="AE3428" i="1"/>
  <c r="AE4020" i="1"/>
  <c r="AE3572" i="1"/>
  <c r="AE3750" i="1"/>
  <c r="AE2888" i="1"/>
  <c r="AE2962" i="1"/>
  <c r="AE3432" i="1"/>
  <c r="AE2875" i="1"/>
  <c r="AE2864" i="1"/>
  <c r="AE2949" i="1"/>
  <c r="AE2954" i="1"/>
  <c r="AE3198" i="1"/>
  <c r="AE3270" i="1"/>
  <c r="AE2502" i="1"/>
  <c r="AE2587" i="1"/>
  <c r="AE2628" i="1"/>
  <c r="AE2681" i="1"/>
  <c r="AE2734" i="1"/>
  <c r="AE2744" i="1"/>
  <c r="AE2323" i="1"/>
  <c r="AE1119" i="1"/>
  <c r="AE4009" i="1"/>
  <c r="AE4172" i="1"/>
  <c r="AE3936" i="1"/>
  <c r="AE4103" i="1"/>
  <c r="AE3651" i="1"/>
  <c r="AE3932" i="1"/>
  <c r="AE3623" i="1"/>
  <c r="AE3978" i="1"/>
  <c r="AE3836" i="1"/>
  <c r="AE3684" i="1"/>
  <c r="AE3333" i="1"/>
  <c r="AE3322" i="1"/>
  <c r="AE3375" i="1"/>
  <c r="AE3523" i="1"/>
  <c r="AE2872" i="1"/>
  <c r="AE2946" i="1"/>
  <c r="AE3230" i="1"/>
  <c r="AE2859" i="1"/>
  <c r="AE2933" i="1"/>
  <c r="AE3204" i="1"/>
  <c r="AE3182" i="1"/>
  <c r="AE3118" i="1"/>
  <c r="AE2486" i="1"/>
  <c r="AE2571" i="1"/>
  <c r="AE3046" i="1"/>
  <c r="AE2612" i="1"/>
  <c r="AE2665" i="1"/>
  <c r="AE2718" i="1"/>
  <c r="AE2698" i="1"/>
  <c r="AE2357" i="1"/>
  <c r="AE1465" i="1"/>
  <c r="AE1396" i="1"/>
  <c r="AE4097" i="1"/>
  <c r="AE3791" i="1"/>
  <c r="AE3412" i="1"/>
  <c r="AE3418" i="1"/>
  <c r="AE3423" i="1"/>
  <c r="AE2936" i="1"/>
  <c r="AE3652" i="1"/>
  <c r="AE3336" i="1"/>
  <c r="AE4083" i="1"/>
  <c r="AE4317" i="1"/>
  <c r="AE4129" i="1"/>
  <c r="AE3907" i="1"/>
  <c r="AE3367" i="1"/>
  <c r="AE3556" i="1"/>
  <c r="AE3244" i="1"/>
  <c r="AE3411" i="1"/>
  <c r="AE4168" i="1"/>
  <c r="AE4282" i="1"/>
  <c r="AE3814" i="1"/>
  <c r="AE4115" i="1"/>
  <c r="AE3734" i="1"/>
  <c r="AE3526" i="1"/>
  <c r="AE3236" i="1"/>
  <c r="AE3013" i="1"/>
  <c r="AE4033" i="1"/>
  <c r="AE3976" i="1"/>
  <c r="AE4293" i="1"/>
  <c r="AE4174" i="1"/>
  <c r="AE3713" i="1"/>
  <c r="AE3292" i="1"/>
  <c r="AE4096" i="1"/>
  <c r="AE4065" i="1"/>
  <c r="AE3664" i="1"/>
  <c r="AE3963" i="1"/>
  <c r="AE3305" i="1"/>
  <c r="AE3243" i="1"/>
  <c r="AE3854" i="1"/>
  <c r="AE3942" i="1"/>
  <c r="AE4264" i="1"/>
  <c r="AE3974" i="1"/>
  <c r="AE4051" i="1"/>
  <c r="AE4070" i="1"/>
  <c r="AE4015" i="1"/>
  <c r="AE3834" i="1"/>
  <c r="AE3950" i="1"/>
  <c r="AE4034" i="1"/>
  <c r="AE3505" i="1"/>
  <c r="AE3516" i="1"/>
  <c r="AE4333" i="1"/>
  <c r="AE4032" i="1"/>
  <c r="AE4246" i="1"/>
  <c r="AE3926" i="1"/>
  <c r="AE3899" i="1"/>
  <c r="AE3476" i="1"/>
  <c r="AE2912" i="1"/>
  <c r="AE2" i="1"/>
  <c r="AE3910" i="1"/>
  <c r="AE4238" i="1"/>
  <c r="AE3806" i="1"/>
  <c r="AE3893" i="1"/>
  <c r="AE3604" i="1"/>
  <c r="AE3431" i="1"/>
  <c r="AE3865" i="1"/>
  <c r="AE4028" i="1"/>
  <c r="AE4090" i="1"/>
  <c r="AE4308" i="1"/>
  <c r="AE3552" i="1"/>
  <c r="AE3989" i="1"/>
  <c r="AE4159" i="1"/>
  <c r="AE3820" i="1"/>
  <c r="AE4261" i="1"/>
  <c r="AE3458" i="1"/>
  <c r="AE4133" i="1"/>
  <c r="AE3669" i="1"/>
  <c r="AE3805" i="1"/>
  <c r="AE3231" i="1"/>
  <c r="AE3554" i="1"/>
  <c r="AE3262" i="1"/>
  <c r="AE3382" i="1"/>
  <c r="AE3395" i="1"/>
  <c r="AE3229" i="1"/>
  <c r="AE3216" i="1"/>
  <c r="AE3318" i="1"/>
  <c r="AE3438" i="1"/>
  <c r="AE3453" i="1"/>
  <c r="AE2801" i="1"/>
  <c r="AE2916" i="1"/>
  <c r="AE3086" i="1"/>
  <c r="AE2983" i="1"/>
  <c r="AE2468" i="1"/>
  <c r="AE2521" i="1"/>
  <c r="AE2675" i="1"/>
  <c r="AE1915" i="1"/>
  <c r="AE1489" i="1"/>
  <c r="AE3849" i="1"/>
  <c r="AE4012" i="1"/>
  <c r="AE4266" i="1"/>
  <c r="AE3536" i="1"/>
  <c r="AE3605" i="1"/>
  <c r="AE4143" i="1"/>
  <c r="AE4135" i="1"/>
  <c r="AE4250" i="1"/>
  <c r="AE3442" i="1"/>
  <c r="AE3463" i="1"/>
  <c r="AE3533" i="1"/>
  <c r="AE3943" i="1"/>
  <c r="AE3588" i="1"/>
  <c r="AE3654" i="1"/>
  <c r="AE3762" i="1"/>
  <c r="AE3842" i="1"/>
  <c r="AE4244" i="1"/>
  <c r="AE3585" i="1"/>
  <c r="AE3232" i="1"/>
  <c r="AE3352" i="1"/>
  <c r="AE3419" i="1"/>
  <c r="AE3373" i="1"/>
  <c r="AE3211" i="1"/>
  <c r="AE3200" i="1"/>
  <c r="AE3408" i="1"/>
  <c r="AE3430" i="1"/>
  <c r="AE3339" i="1"/>
  <c r="AE2785" i="1"/>
  <c r="AE2854" i="1"/>
  <c r="AE2846" i="1"/>
  <c r="AE3039" i="1"/>
  <c r="AE3203" i="1"/>
  <c r="AE2452" i="1"/>
  <c r="AE2505" i="1"/>
  <c r="AE1473" i="1"/>
  <c r="AE3833" i="1"/>
  <c r="AE3998" i="1"/>
  <c r="AE3996" i="1"/>
  <c r="AE4026" i="1"/>
  <c r="AE3935" i="1"/>
  <c r="AE4213" i="1"/>
  <c r="AE4130" i="1"/>
  <c r="AE3764" i="1"/>
  <c r="AE3876" i="1"/>
  <c r="AE4071" i="1"/>
  <c r="AE3426" i="1"/>
  <c r="AE3447" i="1"/>
  <c r="AE3527" i="1"/>
  <c r="AE3931" i="1"/>
  <c r="AE3647" i="1"/>
  <c r="AE3746" i="1"/>
  <c r="AE3729" i="1"/>
  <c r="AE4084" i="1"/>
  <c r="AE3924" i="1"/>
  <c r="AE3208" i="1"/>
  <c r="AE3329" i="1"/>
  <c r="AE3350" i="1"/>
  <c r="AE3195" i="1"/>
  <c r="AE3184" i="1"/>
  <c r="AE3265" i="1"/>
  <c r="AE3385" i="1"/>
  <c r="AE3400" i="1"/>
  <c r="AE2769" i="1"/>
  <c r="AE2822" i="1"/>
  <c r="AE3315" i="1"/>
  <c r="AE2993" i="1"/>
  <c r="AE3123" i="1"/>
  <c r="AE3187" i="1"/>
  <c r="AE2489" i="1"/>
  <c r="AE2341" i="1"/>
  <c r="AE2058" i="1"/>
  <c r="AE4329" i="1"/>
  <c r="AE3817" i="1"/>
  <c r="AE3980" i="1"/>
  <c r="AE3949" i="1"/>
  <c r="AE4215" i="1"/>
  <c r="AE3573" i="1"/>
  <c r="AE4197" i="1"/>
  <c r="AE4116" i="1"/>
  <c r="AE3680" i="1"/>
  <c r="AE4007" i="1"/>
  <c r="AE3410" i="1"/>
  <c r="AE3732" i="1"/>
  <c r="AE3538" i="1"/>
  <c r="AE3620" i="1"/>
  <c r="AE3738" i="1"/>
  <c r="AE3667" i="1"/>
  <c r="AE3786" i="1"/>
  <c r="AE3984" i="1"/>
  <c r="AE3192" i="1"/>
  <c r="AE3307" i="1"/>
  <c r="AE3344" i="1"/>
  <c r="AE3389" i="1"/>
  <c r="AE3320" i="1"/>
  <c r="AE3179" i="1"/>
  <c r="AE3168" i="1"/>
  <c r="AE3310" i="1"/>
  <c r="AE3309" i="1"/>
  <c r="AE2753" i="1"/>
  <c r="AE2806" i="1"/>
  <c r="AE3094" i="1"/>
  <c r="AE2985" i="1"/>
  <c r="AE3084" i="1"/>
  <c r="AE3107" i="1"/>
  <c r="AE2473" i="1"/>
  <c r="AE2627" i="1"/>
  <c r="AE1867" i="1"/>
  <c r="AE1696" i="1"/>
  <c r="AE4313" i="1"/>
  <c r="AE3801" i="1"/>
  <c r="AE3964" i="1"/>
  <c r="AE3930" i="1"/>
  <c r="AE4207" i="1"/>
  <c r="AE3860" i="1"/>
  <c r="AE3884" i="1"/>
  <c r="AE4167" i="1"/>
  <c r="AE4066" i="1"/>
  <c r="AE4303" i="1"/>
  <c r="AE3863" i="1"/>
  <c r="AE4324" i="1"/>
  <c r="AE3394" i="1"/>
  <c r="AE3415" i="1"/>
  <c r="AE3532" i="1"/>
  <c r="AE3607" i="1"/>
  <c r="AE3778" i="1"/>
  <c r="AE3660" i="1"/>
  <c r="AE3880" i="1"/>
  <c r="AE3176" i="1"/>
  <c r="AE3299" i="1"/>
  <c r="AE3366" i="1"/>
  <c r="AE3297" i="1"/>
  <c r="AE3163" i="1"/>
  <c r="AE3152" i="1"/>
  <c r="AE3280" i="1"/>
  <c r="AE3355" i="1"/>
  <c r="AE2737" i="1"/>
  <c r="AE2790" i="1"/>
  <c r="AE2931" i="1"/>
  <c r="AE3022" i="1"/>
  <c r="AE3068" i="1"/>
  <c r="AE2457" i="1"/>
  <c r="AE1769" i="1"/>
  <c r="AE1614" i="1"/>
  <c r="AE4297" i="1"/>
  <c r="AE3785" i="1"/>
  <c r="AE3917" i="1"/>
  <c r="AE4199" i="1"/>
  <c r="AE4052" i="1"/>
  <c r="AE4212" i="1"/>
  <c r="AE3826" i="1"/>
  <c r="AE3813" i="1"/>
  <c r="AE4178" i="1"/>
  <c r="AE3378" i="1"/>
  <c r="AE3683" i="1"/>
  <c r="AE3633" i="1"/>
  <c r="AE3646" i="1"/>
  <c r="AE3869" i="1"/>
  <c r="AE3759" i="1"/>
  <c r="AE3160" i="1"/>
  <c r="AE3277" i="1"/>
  <c r="AE3246" i="1"/>
  <c r="AE3275" i="1"/>
  <c r="AE3147" i="1"/>
  <c r="AE3136" i="1"/>
  <c r="AE3221" i="1"/>
  <c r="AE2721" i="1"/>
  <c r="AE2774" i="1"/>
  <c r="AE2892" i="1"/>
  <c r="AE3006" i="1"/>
  <c r="AE3293" i="1"/>
  <c r="AE2988" i="1"/>
  <c r="AE2302" i="1"/>
  <c r="AE1835" i="1"/>
  <c r="AE1904" i="1"/>
  <c r="AE4281" i="1"/>
  <c r="AE3769" i="1"/>
  <c r="AE3898" i="1"/>
  <c r="AE4132" i="1"/>
  <c r="AE3828" i="1"/>
  <c r="AE4002" i="1"/>
  <c r="AE4196" i="1"/>
  <c r="AE3807" i="1"/>
  <c r="AE4085" i="1"/>
  <c r="AE4170" i="1"/>
  <c r="AE3362" i="1"/>
  <c r="AE3383" i="1"/>
  <c r="AE3468" i="1"/>
  <c r="AE3675" i="1"/>
  <c r="AE3626" i="1"/>
  <c r="AE3639" i="1"/>
  <c r="AE3743" i="1"/>
  <c r="AE3144" i="1"/>
  <c r="AE3218" i="1"/>
  <c r="AE3313" i="1"/>
  <c r="AE3267" i="1"/>
  <c r="AE3131" i="1"/>
  <c r="AE3120" i="1"/>
  <c r="AE3210" i="1"/>
  <c r="AE3325" i="1"/>
  <c r="AE2705" i="1"/>
  <c r="AE2838" i="1"/>
  <c r="AE3140" i="1"/>
  <c r="AE3076" i="1"/>
  <c r="AE3145" i="1"/>
  <c r="AE2478" i="1"/>
  <c r="AE1525" i="1"/>
  <c r="AE4265" i="1"/>
  <c r="AE3753" i="1"/>
  <c r="AE4154" i="1"/>
  <c r="AE3810" i="1"/>
  <c r="AE3809" i="1"/>
  <c r="AE4109" i="1"/>
  <c r="AE3988" i="1"/>
  <c r="AE4173" i="1"/>
  <c r="AE3788" i="1"/>
  <c r="AE4021" i="1"/>
  <c r="AE3346" i="1"/>
  <c r="AE3452" i="1"/>
  <c r="AE3613" i="1"/>
  <c r="AE3555" i="1"/>
  <c r="AE3606" i="1"/>
  <c r="AE3586" i="1"/>
  <c r="AE3726" i="1"/>
  <c r="AE3128" i="1"/>
  <c r="AE3202" i="1"/>
  <c r="AE3291" i="1"/>
  <c r="AE3245" i="1"/>
  <c r="AE3115" i="1"/>
  <c r="AE3104" i="1"/>
  <c r="AE3189" i="1"/>
  <c r="AE2689" i="1"/>
  <c r="AE2742" i="1"/>
  <c r="AE3078" i="1"/>
  <c r="AE3014" i="1"/>
  <c r="AE2913" i="1"/>
  <c r="AE3091" i="1"/>
  <c r="AE2462" i="1"/>
  <c r="AE2270" i="1"/>
  <c r="AE2618" i="1"/>
  <c r="AE1721" i="1"/>
  <c r="AE1291" i="1"/>
  <c r="AE3724" i="1"/>
  <c r="AE3755" i="1"/>
  <c r="AE3544" i="1"/>
  <c r="AE4106" i="1"/>
  <c r="AE3776" i="1"/>
  <c r="AE3819" i="1"/>
  <c r="AE3760" i="1"/>
  <c r="AE3407" i="1"/>
  <c r="AE4277" i="1"/>
  <c r="AE3702" i="1"/>
  <c r="AE3449" i="1"/>
  <c r="AE3492" i="1"/>
  <c r="AE2904" i="1"/>
  <c r="AE3793" i="1"/>
  <c r="AE2651" i="1"/>
  <c r="AE2758" i="1"/>
  <c r="AE4221" i="1"/>
  <c r="AE3797" i="1"/>
  <c r="AE3434" i="1"/>
  <c r="AE3478" i="1"/>
  <c r="AE3487" i="1"/>
  <c r="AE2534" i="1"/>
  <c r="AE3848" i="1"/>
  <c r="AE3832" i="1"/>
  <c r="AE3741" i="1"/>
  <c r="AE3558" i="1"/>
  <c r="AE3439" i="1"/>
  <c r="AE3391" i="1"/>
  <c r="AE2900" i="1"/>
  <c r="AE2549" i="1"/>
  <c r="AE2520" i="1"/>
  <c r="AE2059" i="1"/>
  <c r="AE2599" i="1"/>
  <c r="AE2093" i="1"/>
  <c r="AE1481" i="1"/>
  <c r="AE2476" i="1"/>
  <c r="AE2359" i="1"/>
  <c r="AE2380" i="1"/>
  <c r="AE2433" i="1"/>
  <c r="AE2883" i="1"/>
  <c r="AE1795" i="1"/>
  <c r="AE2065" i="1"/>
  <c r="AE2134" i="1"/>
  <c r="AE2631" i="1"/>
  <c r="AE1703" i="1"/>
  <c r="AE1724" i="1"/>
  <c r="AE1745" i="1"/>
  <c r="AE1975" i="1"/>
  <c r="AE1187" i="1"/>
  <c r="AE1304" i="1"/>
  <c r="AE1094" i="1"/>
  <c r="AE1695" i="1"/>
  <c r="AE1610" i="1"/>
  <c r="AE1586" i="1"/>
  <c r="AE801" i="1"/>
  <c r="AE902" i="1"/>
  <c r="AE1287" i="1"/>
  <c r="AE1105" i="1"/>
  <c r="AE895" i="1"/>
  <c r="AE692" i="1"/>
  <c r="AE777" i="1"/>
  <c r="AE1121" i="1"/>
  <c r="AE941" i="1"/>
  <c r="AE917" i="1"/>
  <c r="AE848" i="1"/>
  <c r="AE444" i="1"/>
  <c r="AE3059" i="1"/>
  <c r="AE2460" i="1"/>
  <c r="AE2623" i="1"/>
  <c r="AE2950" i="1"/>
  <c r="AE2343" i="1"/>
  <c r="AE2364" i="1"/>
  <c r="AE2417" i="1"/>
  <c r="AE2810" i="1"/>
  <c r="AE2277" i="1"/>
  <c r="AE2049" i="1"/>
  <c r="AE2118" i="1"/>
  <c r="AE1913" i="1"/>
  <c r="AE1687" i="1"/>
  <c r="AE1708" i="1"/>
  <c r="AE1171" i="1"/>
  <c r="AE1288" i="1"/>
  <c r="AE1690" i="1"/>
  <c r="AE1599" i="1"/>
  <c r="AE1199" i="1"/>
  <c r="AE1555" i="1"/>
  <c r="AE1679" i="1"/>
  <c r="AE1372" i="1"/>
  <c r="AE785" i="1"/>
  <c r="AE886" i="1"/>
  <c r="AE1409" i="1"/>
  <c r="AE879" i="1"/>
  <c r="AE676" i="1"/>
  <c r="AE1089" i="1"/>
  <c r="AE925" i="1"/>
  <c r="AE922" i="1"/>
  <c r="AE840" i="1"/>
  <c r="AE70" i="1"/>
  <c r="AE2852" i="1"/>
  <c r="AE2615" i="1"/>
  <c r="AE2940" i="1"/>
  <c r="AE2327" i="1"/>
  <c r="AE2348" i="1"/>
  <c r="AE2401" i="1"/>
  <c r="AE2386" i="1"/>
  <c r="AE2538" i="1"/>
  <c r="AE2794" i="1"/>
  <c r="AE2033" i="1"/>
  <c r="AE2102" i="1"/>
  <c r="AE1897" i="1"/>
  <c r="AE1572" i="1"/>
  <c r="AE1545" i="1"/>
  <c r="AE1501" i="1"/>
  <c r="AE1671" i="1"/>
  <c r="AE1692" i="1"/>
  <c r="AE1820" i="1"/>
  <c r="AE1155" i="1"/>
  <c r="AE1272" i="1"/>
  <c r="AE1616" i="1"/>
  <c r="AE1301" i="1"/>
  <c r="AE1482" i="1"/>
  <c r="AE1605" i="1"/>
  <c r="AE1626" i="1"/>
  <c r="AE769" i="1"/>
  <c r="AE1393" i="1"/>
  <c r="AE863" i="1"/>
  <c r="AE660" i="1"/>
  <c r="AE654" i="1"/>
  <c r="AE909" i="1"/>
  <c r="AE911" i="1"/>
  <c r="AE832" i="1"/>
  <c r="AE246" i="1"/>
  <c r="AE54" i="1"/>
  <c r="AE2958" i="1"/>
  <c r="AE3049" i="1"/>
  <c r="AE2786" i="1"/>
  <c r="AE2311" i="1"/>
  <c r="AE2332" i="1"/>
  <c r="AE2385" i="1"/>
  <c r="AE2655" i="1"/>
  <c r="AE2378" i="1"/>
  <c r="AE2639" i="1"/>
  <c r="AE2017" i="1"/>
  <c r="AE2086" i="1"/>
  <c r="AE1881" i="1"/>
  <c r="AE1485" i="1"/>
  <c r="AE1655" i="1"/>
  <c r="AE1676" i="1"/>
  <c r="AE1697" i="1"/>
  <c r="AE2100" i="1"/>
  <c r="AE1812" i="1"/>
  <c r="AE1139" i="1"/>
  <c r="AE1256" i="1"/>
  <c r="AE1717" i="1"/>
  <c r="AE1554" i="1"/>
  <c r="AE1285" i="1"/>
  <c r="AE1080" i="1"/>
  <c r="AE1471" i="1"/>
  <c r="AE1594" i="1"/>
  <c r="AE753" i="1"/>
  <c r="AE847" i="1"/>
  <c r="AE644" i="1"/>
  <c r="AE729" i="1"/>
  <c r="AE638" i="1"/>
  <c r="AE903" i="1"/>
  <c r="AE605" i="1"/>
  <c r="AE466" i="1"/>
  <c r="AE574" i="1"/>
  <c r="AE192" i="1"/>
  <c r="AE38" i="1"/>
  <c r="AE2966" i="1"/>
  <c r="AE2995" i="1"/>
  <c r="AE2295" i="1"/>
  <c r="AE2316" i="1"/>
  <c r="AE2369" i="1"/>
  <c r="AE2647" i="1"/>
  <c r="AE2370" i="1"/>
  <c r="AE2001" i="1"/>
  <c r="AE2070" i="1"/>
  <c r="AE1469" i="1"/>
  <c r="AE1639" i="1"/>
  <c r="AE1660" i="1"/>
  <c r="AE2122" i="1"/>
  <c r="AE1123" i="1"/>
  <c r="AE1240" i="1"/>
  <c r="AE1293" i="1"/>
  <c r="AE1663" i="1"/>
  <c r="AE2060" i="1"/>
  <c r="AE1589" i="1"/>
  <c r="AE1664" i="1"/>
  <c r="AE1711" i="1"/>
  <c r="AE737" i="1"/>
  <c r="AE831" i="1"/>
  <c r="AE628" i="1"/>
  <c r="AE713" i="1"/>
  <c r="AE887" i="1"/>
  <c r="AE589" i="1"/>
  <c r="AE450" i="1"/>
  <c r="AE47" i="1"/>
  <c r="AE390" i="1"/>
  <c r="AE3142" i="1"/>
  <c r="AE2530" i="1"/>
  <c r="AE2522" i="1"/>
  <c r="AE2279" i="1"/>
  <c r="AE2300" i="1"/>
  <c r="AE2353" i="1"/>
  <c r="AE2362" i="1"/>
  <c r="AE1985" i="1"/>
  <c r="AE2054" i="1"/>
  <c r="AE2091" i="1"/>
  <c r="AE1524" i="1"/>
  <c r="AE1623" i="1"/>
  <c r="AE1644" i="1"/>
  <c r="AE1107" i="1"/>
  <c r="AE1224" i="1"/>
  <c r="AE1277" i="1"/>
  <c r="AE1624" i="1"/>
  <c r="AE1662" i="1"/>
  <c r="AE1535" i="1"/>
  <c r="AE1579" i="1"/>
  <c r="AE1544" i="1"/>
  <c r="AE721" i="1"/>
  <c r="AE815" i="1"/>
  <c r="AE1337" i="1"/>
  <c r="AE697" i="1"/>
  <c r="AE1449" i="1"/>
  <c r="AE871" i="1"/>
  <c r="AE573" i="1"/>
  <c r="AE919" i="1"/>
  <c r="AE31" i="1"/>
  <c r="AE321" i="1"/>
  <c r="AE2436" i="1"/>
  <c r="AE2263" i="1"/>
  <c r="AE2284" i="1"/>
  <c r="AE2337" i="1"/>
  <c r="AE2285" i="1"/>
  <c r="AE1969" i="1"/>
  <c r="AE2038" i="1"/>
  <c r="AE1833" i="1"/>
  <c r="AE1607" i="1"/>
  <c r="AE1628" i="1"/>
  <c r="AE1649" i="1"/>
  <c r="AE1866" i="1"/>
  <c r="AE1091" i="1"/>
  <c r="AE1208" i="1"/>
  <c r="AE1562" i="1"/>
  <c r="AE1600" i="1"/>
  <c r="AE1496" i="1"/>
  <c r="AE1070" i="1"/>
  <c r="AE1073" i="1"/>
  <c r="AE1292" i="1"/>
  <c r="AE705" i="1"/>
  <c r="AE799" i="1"/>
  <c r="AE1305" i="1"/>
  <c r="AE681" i="1"/>
  <c r="AE855" i="1"/>
  <c r="AE557" i="1"/>
  <c r="AE177" i="1"/>
  <c r="AE15" i="1"/>
  <c r="AE2420" i="1"/>
  <c r="AE2247" i="1"/>
  <c r="AE2268" i="1"/>
  <c r="AE2934" i="1"/>
  <c r="AE1953" i="1"/>
  <c r="AE2022" i="1"/>
  <c r="AE1817" i="1"/>
  <c r="AE2127" i="1"/>
  <c r="AE1591" i="1"/>
  <c r="AE1612" i="1"/>
  <c r="AE1775" i="1"/>
  <c r="AE1192" i="1"/>
  <c r="AE1523" i="1"/>
  <c r="AE1701" i="1"/>
  <c r="AE1538" i="1"/>
  <c r="AE1054" i="1"/>
  <c r="AE1057" i="1"/>
  <c r="AE1276" i="1"/>
  <c r="AE689" i="1"/>
  <c r="AE783" i="1"/>
  <c r="AE1273" i="1"/>
  <c r="AE1303" i="1"/>
  <c r="AE839" i="1"/>
  <c r="AE541" i="1"/>
  <c r="AE558" i="1"/>
  <c r="AE3057" i="1"/>
  <c r="AE3113" i="1"/>
  <c r="AE2736" i="1"/>
  <c r="AE2704" i="1"/>
  <c r="AE2826" i="1"/>
  <c r="AE2578" i="1"/>
  <c r="AE2621" i="1"/>
  <c r="AE1561" i="1"/>
  <c r="AE3993" i="1"/>
  <c r="AE4156" i="1"/>
  <c r="AE3904" i="1"/>
  <c r="AE4039" i="1"/>
  <c r="AE4263" i="1"/>
  <c r="AE4292" i="1"/>
  <c r="AE3635" i="1"/>
  <c r="AE3745" i="1"/>
  <c r="AE3900" i="1"/>
  <c r="AE4180" i="1"/>
  <c r="AE3808" i="1"/>
  <c r="AE3708" i="1"/>
  <c r="AE3317" i="1"/>
  <c r="AE3306" i="1"/>
  <c r="AE3387" i="1"/>
  <c r="AE2843" i="1"/>
  <c r="AE3166" i="1"/>
  <c r="AE2470" i="1"/>
  <c r="AE2596" i="1"/>
  <c r="AE2649" i="1"/>
  <c r="AE2702" i="1"/>
  <c r="AE3398" i="1"/>
  <c r="AE2886" i="1"/>
  <c r="AE2404" i="1"/>
  <c r="AE2514" i="1"/>
  <c r="AE2942" i="1"/>
  <c r="AE2231" i="1"/>
  <c r="AE2252" i="1"/>
  <c r="AE2305" i="1"/>
  <c r="AE2956" i="1"/>
  <c r="AE2142" i="1"/>
  <c r="AE2269" i="1"/>
  <c r="AE1260" i="1"/>
  <c r="AE774" i="1"/>
  <c r="AE875" i="1"/>
  <c r="AE469" i="1"/>
  <c r="AE145" i="1"/>
  <c r="AE326" i="1"/>
  <c r="AE3020" i="1"/>
  <c r="AE2696" i="1"/>
  <c r="AE2579" i="1"/>
  <c r="AE2563" i="1"/>
  <c r="AE2200" i="1"/>
  <c r="AE2381" i="1"/>
  <c r="AE2072" i="1"/>
  <c r="AE1633" i="1"/>
  <c r="AE3977" i="1"/>
  <c r="AE4140" i="1"/>
  <c r="AE3879" i="1"/>
  <c r="AE3619" i="1"/>
  <c r="AE3799" i="1"/>
  <c r="AE3575" i="1"/>
  <c r="AE3301" i="1"/>
  <c r="AE3728" i="1"/>
  <c r="AE3379" i="1"/>
  <c r="AE3462" i="1"/>
  <c r="AE4005" i="1"/>
  <c r="AE3150" i="1"/>
  <c r="AE3025" i="1"/>
  <c r="AE2454" i="1"/>
  <c r="AE3219" i="1"/>
  <c r="AE2580" i="1"/>
  <c r="AE2633" i="1"/>
  <c r="AE2686" i="1"/>
  <c r="AE3155" i="1"/>
  <c r="AE2388" i="1"/>
  <c r="AE2441" i="1"/>
  <c r="AE3240" i="1"/>
  <c r="AE2215" i="1"/>
  <c r="AE2236" i="1"/>
  <c r="AE2289" i="1"/>
  <c r="AE2126" i="1"/>
  <c r="AE1244" i="1"/>
  <c r="AE758" i="1"/>
  <c r="AE859" i="1"/>
  <c r="AE749" i="1"/>
  <c r="AE2749" i="1"/>
  <c r="AE2762" i="1"/>
  <c r="AE2711" i="1"/>
  <c r="AE2261" i="1"/>
  <c r="AE2319" i="1"/>
  <c r="AE2040" i="1"/>
  <c r="AE1588" i="1"/>
  <c r="AE1855" i="1"/>
  <c r="AE1540" i="1"/>
  <c r="AE3961" i="1"/>
  <c r="AE4124" i="1"/>
  <c r="AE3829" i="1"/>
  <c r="AE3648" i="1"/>
  <c r="AE3700" i="1"/>
  <c r="AE4101" i="1"/>
  <c r="AE3603" i="1"/>
  <c r="AE3844" i="1"/>
  <c r="AE3285" i="1"/>
  <c r="AE3970" i="1"/>
  <c r="AE3357" i="1"/>
  <c r="AE3454" i="1"/>
  <c r="AE3126" i="1"/>
  <c r="AE3017" i="1"/>
  <c r="AE3485" i="1"/>
  <c r="AE3139" i="1"/>
  <c r="AE2564" i="1"/>
  <c r="AE2617" i="1"/>
  <c r="AE2372" i="1"/>
  <c r="AE2425" i="1"/>
  <c r="AE2899" i="1"/>
  <c r="AE2199" i="1"/>
  <c r="AE2220" i="1"/>
  <c r="AE968" i="1"/>
  <c r="AE951" i="1"/>
  <c r="AE2595" i="1"/>
  <c r="AE2494" i="1"/>
  <c r="AE2161" i="1"/>
  <c r="AE2424" i="1"/>
  <c r="AE2733" i="1"/>
  <c r="AE2746" i="1"/>
  <c r="AE2695" i="1"/>
  <c r="AE2245" i="1"/>
  <c r="AE2197" i="1"/>
  <c r="AE2205" i="1"/>
  <c r="AE2280" i="1"/>
  <c r="AE3945" i="1"/>
  <c r="AE4108" i="1"/>
  <c r="AE3823" i="1"/>
  <c r="AE3632" i="1"/>
  <c r="AE4037" i="1"/>
  <c r="AE3587" i="1"/>
  <c r="AE3671" i="1"/>
  <c r="AE3520" i="1"/>
  <c r="AE3269" i="1"/>
  <c r="AE3858" i="1"/>
  <c r="AE3528" i="1"/>
  <c r="AE3334" i="1"/>
  <c r="AE3424" i="1"/>
  <c r="AE2963" i="1"/>
  <c r="AE3102" i="1"/>
  <c r="AE2548" i="1"/>
  <c r="AE2601" i="1"/>
  <c r="AE2356" i="1"/>
  <c r="AE2409" i="1"/>
  <c r="AE2921" i="1"/>
  <c r="AE2878" i="1"/>
  <c r="AE2183" i="1"/>
  <c r="AE2204" i="1"/>
  <c r="AE952" i="1"/>
  <c r="AE1675" i="1"/>
  <c r="AE935" i="1"/>
  <c r="AE733" i="1"/>
  <c r="AE338" i="1"/>
  <c r="AE97" i="1"/>
  <c r="AE214" i="1"/>
  <c r="AE561" i="1"/>
  <c r="AE2881" i="1"/>
  <c r="AE2926" i="1"/>
  <c r="AE2536" i="1"/>
  <c r="AE2607" i="1"/>
  <c r="AE2730" i="1"/>
  <c r="AE2075" i="1"/>
  <c r="AE2229" i="1"/>
  <c r="AE2226" i="1"/>
  <c r="AE2056" i="1"/>
  <c r="AE2202" i="1"/>
  <c r="AE2140" i="1"/>
  <c r="AE2148" i="1"/>
  <c r="AE1115" i="1"/>
  <c r="AE3012" i="1"/>
  <c r="AE2776" i="1"/>
  <c r="AE2815" i="1"/>
  <c r="AE2594" i="1"/>
  <c r="AE2668" i="1"/>
  <c r="AE2334" i="1"/>
  <c r="AE2144" i="1"/>
  <c r="AE1968" i="1"/>
  <c r="AE1577" i="1"/>
  <c r="AE2055" i="1"/>
  <c r="AE1552" i="1"/>
  <c r="AE2996" i="1"/>
  <c r="AE2720" i="1"/>
  <c r="AE2799" i="1"/>
  <c r="AE2315" i="1"/>
  <c r="AE2558" i="1"/>
  <c r="AE2652" i="1"/>
  <c r="AE2088" i="1"/>
  <c r="AE2314" i="1"/>
  <c r="AE2124" i="1"/>
  <c r="AE2089" i="1"/>
  <c r="AE1450" i="1"/>
  <c r="AE1255" i="1"/>
  <c r="AE1018" i="1"/>
  <c r="AE2911" i="1"/>
  <c r="AE2659" i="1"/>
  <c r="AE2712" i="1"/>
  <c r="AE2722" i="1"/>
  <c r="AE2321" i="1"/>
  <c r="AE2490" i="1"/>
  <c r="AE2128" i="1"/>
  <c r="AE2034" i="1"/>
  <c r="AE2073" i="1"/>
  <c r="AE1839" i="1"/>
  <c r="AE1357" i="1"/>
  <c r="AE2732" i="1"/>
  <c r="AE2276" i="1"/>
  <c r="AE2329" i="1"/>
  <c r="AE2783" i="1"/>
  <c r="AE2759" i="1"/>
  <c r="AE2867" i="1"/>
  <c r="AE2915" i="1"/>
  <c r="AE2367" i="1"/>
  <c r="AE2014" i="1"/>
  <c r="AE2051" i="1"/>
  <c r="AE1809" i="1"/>
  <c r="AE1878" i="1"/>
  <c r="AE2095" i="1"/>
  <c r="AE1468" i="1"/>
  <c r="AE1443" i="1"/>
  <c r="AE1720" i="1"/>
  <c r="AE1712" i="1"/>
  <c r="AE1350" i="1"/>
  <c r="AE1403" i="1"/>
  <c r="AE2293" i="1"/>
  <c r="AE1310" i="1"/>
  <c r="AE1474" i="1"/>
  <c r="AE913" i="1"/>
  <c r="AE1583" i="1"/>
  <c r="AE1477" i="1"/>
  <c r="AE646" i="1"/>
  <c r="AE747" i="1"/>
  <c r="AE1042" i="1"/>
  <c r="AE639" i="1"/>
  <c r="AE1033" i="1"/>
  <c r="AE1154" i="1"/>
  <c r="AE1226" i="1"/>
  <c r="AE695" i="1"/>
  <c r="AE693" i="1"/>
  <c r="AE447" i="1"/>
  <c r="AE720" i="1"/>
  <c r="AE208" i="1"/>
  <c r="AE2716" i="1"/>
  <c r="AE2260" i="1"/>
  <c r="AE2775" i="1"/>
  <c r="AE2351" i="1"/>
  <c r="AE1998" i="1"/>
  <c r="AE2035" i="1"/>
  <c r="AE2437" i="1"/>
  <c r="AE1793" i="1"/>
  <c r="AE1862" i="1"/>
  <c r="AE1773" i="1"/>
  <c r="AE2079" i="1"/>
  <c r="AE2063" i="1"/>
  <c r="AE1494" i="1"/>
  <c r="AE1427" i="1"/>
  <c r="AE1658" i="1"/>
  <c r="AE1650" i="1"/>
  <c r="AE1334" i="1"/>
  <c r="AE1762" i="1"/>
  <c r="AE1294" i="1"/>
  <c r="AE1506" i="1"/>
  <c r="AE1698" i="1"/>
  <c r="AE1353" i="1"/>
  <c r="AE630" i="1"/>
  <c r="AE731" i="1"/>
  <c r="AE623" i="1"/>
  <c r="AE1017" i="1"/>
  <c r="AE1122" i="1"/>
  <c r="AE1194" i="1"/>
  <c r="AE679" i="1"/>
  <c r="AE431" i="1"/>
  <c r="AE712" i="1"/>
  <c r="AE348" i="1"/>
  <c r="AE2244" i="1"/>
  <c r="AE2297" i="1"/>
  <c r="AE2751" i="1"/>
  <c r="AE2335" i="1"/>
  <c r="AE1982" i="1"/>
  <c r="AE2019" i="1"/>
  <c r="AE1846" i="1"/>
  <c r="AE1943" i="1"/>
  <c r="AE2047" i="1"/>
  <c r="AE1411" i="1"/>
  <c r="AE1619" i="1"/>
  <c r="AE1518" i="1"/>
  <c r="AE1318" i="1"/>
  <c r="AE1371" i="1"/>
  <c r="AE1456" i="1"/>
  <c r="AE1754" i="1"/>
  <c r="AE1278" i="1"/>
  <c r="AE1683" i="1"/>
  <c r="AE1512" i="1"/>
  <c r="AE1321" i="1"/>
  <c r="AE1076" i="1"/>
  <c r="AE1026" i="1"/>
  <c r="AE1361" i="1"/>
  <c r="AE1001" i="1"/>
  <c r="AE1162" i="1"/>
  <c r="AE663" i="1"/>
  <c r="AE677" i="1"/>
  <c r="AE704" i="1"/>
  <c r="AE268" i="1"/>
  <c r="AE66" i="1"/>
  <c r="AE553" i="1"/>
  <c r="AE2281" i="1"/>
  <c r="AE2666" i="1"/>
  <c r="AE2743" i="1"/>
  <c r="AE1966" i="1"/>
  <c r="AE2003" i="1"/>
  <c r="AE2181" i="1"/>
  <c r="AE2421" i="1"/>
  <c r="AE1830" i="1"/>
  <c r="AE1936" i="1"/>
  <c r="AE2137" i="1"/>
  <c r="AE1741" i="1"/>
  <c r="AE1823" i="1"/>
  <c r="AE1807" i="1"/>
  <c r="AE1395" i="1"/>
  <c r="AE1743" i="1"/>
  <c r="AE1302" i="1"/>
  <c r="AE1355" i="1"/>
  <c r="AE1440" i="1"/>
  <c r="AE1615" i="1"/>
  <c r="AE1746" i="1"/>
  <c r="AE1653" i="1"/>
  <c r="AE1470" i="1"/>
  <c r="AE1289" i="1"/>
  <c r="AE1060" i="1"/>
  <c r="AE900" i="1"/>
  <c r="AE985" i="1"/>
  <c r="AE894" i="1"/>
  <c r="AE647" i="1"/>
  <c r="AE519" i="1"/>
  <c r="AE50" i="1"/>
  <c r="AE3027" i="1"/>
  <c r="AE2212" i="1"/>
  <c r="AE2265" i="1"/>
  <c r="AE2682" i="1"/>
  <c r="AE1950" i="1"/>
  <c r="AE1987" i="1"/>
  <c r="AE2429" i="1"/>
  <c r="AE1814" i="1"/>
  <c r="AE1788" i="1"/>
  <c r="AE1725" i="1"/>
  <c r="AE1791" i="1"/>
  <c r="AE1379" i="1"/>
  <c r="AE1557" i="1"/>
  <c r="AE1634" i="1"/>
  <c r="AE1286" i="1"/>
  <c r="AE1424" i="1"/>
  <c r="AE1576" i="1"/>
  <c r="AE1246" i="1"/>
  <c r="AE1075" i="1"/>
  <c r="AE1078" i="1"/>
  <c r="AE1520" i="1"/>
  <c r="AE1257" i="1"/>
  <c r="AE1044" i="1"/>
  <c r="AE1010" i="1"/>
  <c r="AE884" i="1"/>
  <c r="AE969" i="1"/>
  <c r="AE631" i="1"/>
  <c r="AE333" i="1"/>
  <c r="AE661" i="1"/>
  <c r="AE34" i="1"/>
  <c r="AE2196" i="1"/>
  <c r="AE2249" i="1"/>
  <c r="AE2511" i="1"/>
  <c r="AE1971" i="1"/>
  <c r="AE2165" i="1"/>
  <c r="AE1798" i="1"/>
  <c r="AE1780" i="1"/>
  <c r="AE1753" i="1"/>
  <c r="AE1709" i="1"/>
  <c r="AE2087" i="1"/>
  <c r="AE1363" i="1"/>
  <c r="AE1503" i="1"/>
  <c r="AE1642" i="1"/>
  <c r="AE1502" i="1"/>
  <c r="AE1270" i="1"/>
  <c r="AE1408" i="1"/>
  <c r="AE1514" i="1"/>
  <c r="AE1059" i="1"/>
  <c r="AE1062" i="1"/>
  <c r="AE1225" i="1"/>
  <c r="AE1068" i="1"/>
  <c r="AE1028" i="1"/>
  <c r="AE868" i="1"/>
  <c r="AE953" i="1"/>
  <c r="AE1385" i="1"/>
  <c r="AE1369" i="1"/>
  <c r="AE867" i="1"/>
  <c r="AE238" i="1"/>
  <c r="AE422" i="1"/>
  <c r="AE179" i="1"/>
  <c r="AE18" i="1"/>
  <c r="AE3443" i="1"/>
  <c r="AE2180" i="1"/>
  <c r="AE2233" i="1"/>
  <c r="AE2929" i="1"/>
  <c r="AE2503" i="1"/>
  <c r="AE2650" i="1"/>
  <c r="AE1918" i="1"/>
  <c r="AE1955" i="1"/>
  <c r="AE2274" i="1"/>
  <c r="AE1782" i="1"/>
  <c r="AE1764" i="1"/>
  <c r="AE2071" i="1"/>
  <c r="AE1347" i="1"/>
  <c r="AE1464" i="1"/>
  <c r="AE1254" i="1"/>
  <c r="AE1307" i="1"/>
  <c r="AE1392" i="1"/>
  <c r="AE1490" i="1"/>
  <c r="AE1214" i="1"/>
  <c r="AE1043" i="1"/>
  <c r="AE1046" i="1"/>
  <c r="AE1035" i="1"/>
  <c r="AE1193" i="1"/>
  <c r="AE1052" i="1"/>
  <c r="AE1012" i="1"/>
  <c r="AE852" i="1"/>
  <c r="AE937" i="1"/>
  <c r="AE959" i="1"/>
  <c r="AE1744" i="1"/>
  <c r="AE1077" i="1"/>
  <c r="AE851" i="1"/>
  <c r="AE2620" i="1"/>
  <c r="AE2164" i="1"/>
  <c r="AE2217" i="1"/>
  <c r="AE1902" i="1"/>
  <c r="AE1939" i="1"/>
  <c r="AE2266" i="1"/>
  <c r="AE2554" i="1"/>
  <c r="AE1748" i="1"/>
  <c r="AE1677" i="1"/>
  <c r="AE1932" i="1"/>
  <c r="AE2116" i="1"/>
  <c r="AE1331" i="1"/>
  <c r="AE1448" i="1"/>
  <c r="AE1727" i="1"/>
  <c r="AE1238" i="1"/>
  <c r="AE1376" i="1"/>
  <c r="AE1796" i="1"/>
  <c r="AE1198" i="1"/>
  <c r="AE1691" i="1"/>
  <c r="AE1030" i="1"/>
  <c r="AE1019" i="1"/>
  <c r="AE1161" i="1"/>
  <c r="AE1036" i="1"/>
  <c r="AE996" i="1"/>
  <c r="AE836" i="1"/>
  <c r="AE921" i="1"/>
  <c r="AE943" i="1"/>
  <c r="AE1539" i="1"/>
  <c r="AE188" i="1"/>
  <c r="AE396" i="1"/>
  <c r="AE601" i="1"/>
  <c r="AE2322" i="1"/>
  <c r="AE2301" i="1"/>
  <c r="AE2434" i="1"/>
  <c r="AE1604" i="1"/>
  <c r="AE1980" i="1"/>
  <c r="AE4249" i="1"/>
  <c r="AE3737" i="1"/>
  <c r="AE3773" i="1"/>
  <c r="AE4068" i="1"/>
  <c r="AE3967" i="1"/>
  <c r="AE4151" i="1"/>
  <c r="AE3972" i="1"/>
  <c r="AE3330" i="1"/>
  <c r="AE3796" i="1"/>
  <c r="AE3695" i="1"/>
  <c r="AE3112" i="1"/>
  <c r="AE3099" i="1"/>
  <c r="AE3088" i="1"/>
  <c r="AE2673" i="1"/>
  <c r="AE2726" i="1"/>
  <c r="AE2905" i="1"/>
  <c r="AE3052" i="1"/>
  <c r="AE3323" i="1"/>
  <c r="AE2604" i="1"/>
  <c r="AE3134" i="1"/>
  <c r="AE2201" i="1"/>
  <c r="AE2495" i="1"/>
  <c r="AE1886" i="1"/>
  <c r="AE1275" i="1"/>
  <c r="AE1003" i="1"/>
  <c r="AE190" i="1"/>
  <c r="AE532" i="1"/>
  <c r="AE2805" i="1"/>
  <c r="AE2725" i="1"/>
  <c r="AE2453" i="1"/>
  <c r="AE2184" i="1"/>
  <c r="AE2255" i="1"/>
  <c r="AE4233" i="1"/>
  <c r="AE3721" i="1"/>
  <c r="AE3659" i="1"/>
  <c r="AE4125" i="1"/>
  <c r="AE3748" i="1"/>
  <c r="AE4228" i="1"/>
  <c r="AE3919" i="1"/>
  <c r="AE3314" i="1"/>
  <c r="AE3756" i="1"/>
  <c r="AE3543" i="1"/>
  <c r="AE3096" i="1"/>
  <c r="AE3261" i="1"/>
  <c r="AE3083" i="1"/>
  <c r="AE3072" i="1"/>
  <c r="AE2657" i="1"/>
  <c r="AE2710" i="1"/>
  <c r="AE3421" i="1"/>
  <c r="AE2836" i="1"/>
  <c r="AE2851" i="1"/>
  <c r="AE2990" i="1"/>
  <c r="AE3171" i="1"/>
  <c r="AE2588" i="1"/>
  <c r="AE3041" i="1"/>
  <c r="AE2185" i="1"/>
  <c r="AE2674" i="1"/>
  <c r="AE2487" i="1"/>
  <c r="AE2223" i="1"/>
  <c r="AE1870" i="1"/>
  <c r="AE1907" i="1"/>
  <c r="AE2039" i="1"/>
  <c r="AE995" i="1"/>
  <c r="AE176" i="1"/>
  <c r="AE2671" i="1"/>
  <c r="AE2313" i="1"/>
  <c r="AE2303" i="1"/>
  <c r="AE4217" i="1"/>
  <c r="AE3705" i="1"/>
  <c r="AE4327" i="1"/>
  <c r="AE3643" i="1"/>
  <c r="AE4111" i="1"/>
  <c r="AE4004" i="1"/>
  <c r="AE4122" i="1"/>
  <c r="AE3298" i="1"/>
  <c r="AE3537" i="1"/>
  <c r="AE3665" i="1"/>
  <c r="AE3080" i="1"/>
  <c r="AE3440" i="1"/>
  <c r="AE3067" i="1"/>
  <c r="AE3056" i="1"/>
  <c r="AE2641" i="1"/>
  <c r="AE2694" i="1"/>
  <c r="AE2820" i="1"/>
  <c r="AE3060" i="1"/>
  <c r="AE2979" i="1"/>
  <c r="AE2169" i="1"/>
  <c r="AE2658" i="1"/>
  <c r="AE3033" i="1"/>
  <c r="AE1243" i="1"/>
  <c r="AE979" i="1"/>
  <c r="AE782" i="1"/>
  <c r="AE407" i="1"/>
  <c r="AE490" i="1"/>
  <c r="AE158" i="1"/>
  <c r="AE404" i="1"/>
  <c r="AE2770" i="1"/>
  <c r="AE2791" i="1"/>
  <c r="AE1934" i="1"/>
  <c r="AE2139" i="1"/>
  <c r="AE1478" i="1"/>
  <c r="AE4201" i="1"/>
  <c r="AE3689" i="1"/>
  <c r="AE4311" i="1"/>
  <c r="AE3627" i="1"/>
  <c r="AE3948" i="1"/>
  <c r="AE3282" i="1"/>
  <c r="AE3514" i="1"/>
  <c r="AE3812" i="1"/>
  <c r="AE3064" i="1"/>
  <c r="AE3051" i="1"/>
  <c r="AE2625" i="1"/>
  <c r="AE2678" i="1"/>
  <c r="AE3070" i="1"/>
  <c r="AE2804" i="1"/>
  <c r="AE2998" i="1"/>
  <c r="AE2897" i="1"/>
  <c r="AE2153" i="1"/>
  <c r="AE2439" i="1"/>
  <c r="AE766" i="1"/>
  <c r="AE594" i="1"/>
  <c r="AE391" i="1"/>
  <c r="AE474" i="1"/>
  <c r="AE124" i="1"/>
  <c r="AE508" i="1"/>
  <c r="AE526" i="1"/>
  <c r="AE60" i="1"/>
  <c r="AE2964" i="1"/>
  <c r="AE2719" i="1"/>
  <c r="AE2567" i="1"/>
  <c r="AE2948" i="1"/>
  <c r="AE2216" i="1"/>
  <c r="AE2186" i="1"/>
  <c r="AE1929" i="1"/>
  <c r="AE1611" i="1"/>
  <c r="AE1221" i="1"/>
  <c r="AE2228" i="1"/>
  <c r="AE2684" i="1"/>
  <c r="AE1978" i="1"/>
  <c r="AE2138" i="1"/>
  <c r="AE1836" i="1"/>
  <c r="AE2559" i="1"/>
  <c r="AE2735" i="1"/>
  <c r="AE2636" i="1"/>
  <c r="AE2111" i="1"/>
  <c r="AE1513" i="1"/>
  <c r="AE1529" i="1"/>
  <c r="AE1167" i="1"/>
  <c r="AE1375" i="1"/>
  <c r="AE1230" i="1"/>
  <c r="AE1919" i="1"/>
  <c r="AE987" i="1"/>
  <c r="AE1271" i="1"/>
  <c r="AE399" i="1"/>
  <c r="AE535" i="1"/>
  <c r="AE111" i="1"/>
  <c r="AE477" i="1"/>
  <c r="AE294" i="1"/>
  <c r="AE154" i="1"/>
  <c r="AE4137" i="1"/>
  <c r="AE4300" i="1"/>
  <c r="AE3563" i="1"/>
  <c r="AE3997" i="1"/>
  <c r="AE3847" i="1"/>
  <c r="AE3940" i="1"/>
  <c r="AE3946" i="1"/>
  <c r="AE4148" i="1"/>
  <c r="AE3636" i="1"/>
  <c r="AE3855" i="1"/>
  <c r="AE3614" i="1"/>
  <c r="AE3461" i="1"/>
  <c r="AE3450" i="1"/>
  <c r="AE3480" i="1"/>
  <c r="AE3222" i="1"/>
  <c r="AE2987" i="1"/>
  <c r="AE3406" i="1"/>
  <c r="AE2561" i="1"/>
  <c r="AE2614" i="1"/>
  <c r="AE2740" i="1"/>
  <c r="AE2793" i="1"/>
  <c r="AE2492" i="1"/>
  <c r="AE2778" i="1"/>
  <c r="AE2375" i="1"/>
  <c r="AE2396" i="1"/>
  <c r="AE2449" i="1"/>
  <c r="AE2519" i="1"/>
  <c r="AE1811" i="1"/>
  <c r="AE2081" i="1"/>
  <c r="AE2150" i="1"/>
  <c r="AE1620" i="1"/>
  <c r="AE1719" i="1"/>
  <c r="AE1740" i="1"/>
  <c r="AE1203" i="1"/>
  <c r="AE1320" i="1"/>
  <c r="AE1570" i="1"/>
  <c r="AE1110" i="1"/>
  <c r="AE1760" i="1"/>
  <c r="AE1706" i="1"/>
  <c r="AE1618" i="1"/>
  <c r="AE817" i="1"/>
  <c r="AE908" i="1"/>
  <c r="AE1137" i="1"/>
  <c r="AE1377" i="1"/>
  <c r="AE708" i="1"/>
  <c r="AE793" i="1"/>
  <c r="AE1153" i="1"/>
  <c r="AE714" i="1"/>
  <c r="AE613" i="1"/>
  <c r="AE303" i="1"/>
  <c r="AE331" i="1"/>
  <c r="AE132" i="1"/>
  <c r="AE616" i="1"/>
  <c r="AE114" i="1"/>
  <c r="AE21" i="1"/>
  <c r="AE61" i="1"/>
  <c r="AE706" i="1"/>
  <c r="AE287" i="1"/>
  <c r="AE315" i="1"/>
  <c r="AE116" i="1"/>
  <c r="AE600" i="1"/>
  <c r="AE98" i="1"/>
  <c r="AE5" i="1"/>
  <c r="AE205" i="1"/>
  <c r="AE45" i="1"/>
  <c r="AE293" i="1"/>
  <c r="AE892" i="1"/>
  <c r="AE698" i="1"/>
  <c r="AE581" i="1"/>
  <c r="AE271" i="1"/>
  <c r="AE611" i="1"/>
  <c r="AE584" i="1"/>
  <c r="AE82" i="1"/>
  <c r="AE29" i="1"/>
  <c r="AE876" i="1"/>
  <c r="AE690" i="1"/>
  <c r="AE565" i="1"/>
  <c r="AE255" i="1"/>
  <c r="AE595" i="1"/>
  <c r="AE84" i="1"/>
  <c r="AE568" i="1"/>
  <c r="AE295" i="1"/>
  <c r="AE13" i="1"/>
  <c r="AE860" i="1"/>
  <c r="AE682" i="1"/>
  <c r="AE549" i="1"/>
  <c r="AE239" i="1"/>
  <c r="AE579" i="1"/>
  <c r="AE552" i="1"/>
  <c r="AE279" i="1"/>
  <c r="AE282" i="1"/>
  <c r="AE844" i="1"/>
  <c r="AE674" i="1"/>
  <c r="AE223" i="1"/>
  <c r="AE563" i="1"/>
  <c r="AE536" i="1"/>
  <c r="AE263" i="1"/>
  <c r="AE828" i="1"/>
  <c r="AE666" i="1"/>
  <c r="AE517" i="1"/>
  <c r="AE207" i="1"/>
  <c r="AE547" i="1"/>
  <c r="AE520" i="1"/>
  <c r="AE247" i="1"/>
  <c r="AE88" i="1"/>
  <c r="AE48" i="1"/>
  <c r="AE812" i="1"/>
  <c r="AE619" i="1"/>
  <c r="AE658" i="1"/>
  <c r="AE191" i="1"/>
  <c r="AE531" i="1"/>
  <c r="AE249" i="1"/>
  <c r="AE504" i="1"/>
  <c r="AE231" i="1"/>
  <c r="AE796" i="1"/>
  <c r="AE906" i="1"/>
  <c r="AE650" i="1"/>
  <c r="AE485" i="1"/>
  <c r="AE175" i="1"/>
  <c r="AE515" i="1"/>
  <c r="AE233" i="1"/>
  <c r="AE488" i="1"/>
  <c r="AE215" i="1"/>
  <c r="AE240" i="1"/>
  <c r="AE1937" i="1"/>
  <c r="AE2006" i="1"/>
  <c r="AE2309" i="1"/>
  <c r="AE1575" i="1"/>
  <c r="AE1596" i="1"/>
  <c r="AE1736" i="1"/>
  <c r="AE2052" i="1"/>
  <c r="AE1176" i="1"/>
  <c r="AE1647" i="1"/>
  <c r="AE1038" i="1"/>
  <c r="AE1041" i="1"/>
  <c r="AE1551" i="1"/>
  <c r="AE767" i="1"/>
  <c r="AE1241" i="1"/>
  <c r="AE823" i="1"/>
  <c r="AE525" i="1"/>
  <c r="AE780" i="1"/>
  <c r="AE898" i="1"/>
  <c r="AE642" i="1"/>
  <c r="AE159" i="1"/>
  <c r="AE472" i="1"/>
  <c r="AE199" i="1"/>
  <c r="AE133" i="1"/>
  <c r="AE139" i="1"/>
  <c r="AE1921" i="1"/>
  <c r="AE1990" i="1"/>
  <c r="AE1871" i="1"/>
  <c r="AE2103" i="1"/>
  <c r="AE1559" i="1"/>
  <c r="AE1674" i="1"/>
  <c r="AE1959" i="1"/>
  <c r="AE1160" i="1"/>
  <c r="AE1462" i="1"/>
  <c r="AE1608" i="1"/>
  <c r="AE1022" i="1"/>
  <c r="AE1682" i="1"/>
  <c r="AE1025" i="1"/>
  <c r="AE751" i="1"/>
  <c r="AE1209" i="1"/>
  <c r="AE807" i="1"/>
  <c r="AE509" i="1"/>
  <c r="AE764" i="1"/>
  <c r="AE890" i="1"/>
  <c r="AE634" i="1"/>
  <c r="AE143" i="1"/>
  <c r="AE483" i="1"/>
  <c r="AE456" i="1"/>
  <c r="AE183" i="1"/>
  <c r="AE85" i="1"/>
  <c r="AE261" i="1"/>
  <c r="AE2110" i="1"/>
  <c r="AE2147" i="1"/>
  <c r="AE1905" i="1"/>
  <c r="AE1974" i="1"/>
  <c r="AE1935" i="1"/>
  <c r="AE1543" i="1"/>
  <c r="AE1804" i="1"/>
  <c r="AE1144" i="1"/>
  <c r="AE1446" i="1"/>
  <c r="AE1546" i="1"/>
  <c r="AE1006" i="1"/>
  <c r="AE1009" i="1"/>
  <c r="AE1488" i="1"/>
  <c r="AE735" i="1"/>
  <c r="AE1177" i="1"/>
  <c r="AE791" i="1"/>
  <c r="AE493" i="1"/>
  <c r="AE748" i="1"/>
  <c r="AE882" i="1"/>
  <c r="AE626" i="1"/>
  <c r="AE127" i="1"/>
  <c r="AE467" i="1"/>
  <c r="AE440" i="1"/>
  <c r="AE167" i="1"/>
  <c r="AE72" i="1"/>
  <c r="AE2094" i="1"/>
  <c r="AE2131" i="1"/>
  <c r="AE1889" i="1"/>
  <c r="AE1958" i="1"/>
  <c r="AE1951" i="1"/>
  <c r="AE1948" i="1"/>
  <c r="AE1527" i="1"/>
  <c r="AE1728" i="1"/>
  <c r="AE1128" i="1"/>
  <c r="AE1430" i="1"/>
  <c r="AE1778" i="1"/>
  <c r="AE990" i="1"/>
  <c r="AE993" i="1"/>
  <c r="AE719" i="1"/>
  <c r="AE1145" i="1"/>
  <c r="AE775" i="1"/>
  <c r="AE732" i="1"/>
  <c r="AE874" i="1"/>
  <c r="AE608" i="1"/>
  <c r="AE451" i="1"/>
  <c r="AE424" i="1"/>
  <c r="AE151" i="1"/>
  <c r="AE213" i="1"/>
  <c r="AE56" i="1"/>
  <c r="AE1801" i="1"/>
  <c r="AE415" i="1"/>
  <c r="AE499" i="1"/>
  <c r="AE449" i="1"/>
  <c r="AE3929" i="1"/>
  <c r="AE4092" i="1"/>
  <c r="AE3804" i="1"/>
  <c r="AE3616" i="1"/>
  <c r="AE3676" i="1"/>
  <c r="AE4247" i="1"/>
  <c r="AE3927" i="1"/>
  <c r="AE3571" i="1"/>
  <c r="AE3522" i="1"/>
  <c r="AE3780" i="1"/>
  <c r="AE3504" i="1"/>
  <c r="AE3253" i="1"/>
  <c r="AE3304" i="1"/>
  <c r="AE3517" i="1"/>
  <c r="AE2932" i="1"/>
  <c r="AE2924" i="1"/>
  <c r="AE3038" i="1"/>
  <c r="AE2532" i="1"/>
  <c r="AE2585" i="1"/>
  <c r="AE3043" i="1"/>
  <c r="AE2340" i="1"/>
  <c r="AE2393" i="1"/>
  <c r="AE2167" i="1"/>
  <c r="AE2188" i="1"/>
  <c r="AE2078" i="1"/>
  <c r="AE2115" i="1"/>
  <c r="AE1873" i="1"/>
  <c r="AE1942" i="1"/>
  <c r="AE1940" i="1"/>
  <c r="AE1511" i="1"/>
  <c r="AE1573" i="1"/>
  <c r="AE1666" i="1"/>
  <c r="AE1112" i="1"/>
  <c r="AE1414" i="1"/>
  <c r="AE1685" i="1"/>
  <c r="AE974" i="1"/>
  <c r="AE1578" i="1"/>
  <c r="AE977" i="1"/>
  <c r="AE1602" i="1"/>
  <c r="AE1457" i="1"/>
  <c r="AE703" i="1"/>
  <c r="AE1113" i="1"/>
  <c r="AE1401" i="1"/>
  <c r="AE759" i="1"/>
  <c r="AE716" i="1"/>
  <c r="AE866" i="1"/>
  <c r="AE592" i="1"/>
  <c r="AE435" i="1"/>
  <c r="AE408" i="1"/>
  <c r="AE135" i="1"/>
  <c r="AE181" i="1"/>
  <c r="AE16" i="1"/>
  <c r="AE40" i="1"/>
  <c r="AE3913" i="1"/>
  <c r="AE4076" i="1"/>
  <c r="AE3600" i="1"/>
  <c r="AE3895" i="1"/>
  <c r="AE3506" i="1"/>
  <c r="AE3488" i="1"/>
  <c r="AE3237" i="1"/>
  <c r="AE3767" i="1"/>
  <c r="AE3390" i="1"/>
  <c r="AE3326" i="1"/>
  <c r="AE3469" i="1"/>
  <c r="AE3437" i="1"/>
  <c r="AE2870" i="1"/>
  <c r="AE2862" i="1"/>
  <c r="AE2516" i="1"/>
  <c r="AE2569" i="1"/>
  <c r="AE2324" i="1"/>
  <c r="AE2377" i="1"/>
  <c r="AE2172" i="1"/>
  <c r="AE2062" i="1"/>
  <c r="AE2099" i="1"/>
  <c r="AE1857" i="1"/>
  <c r="AE1926" i="1"/>
  <c r="AE1495" i="1"/>
  <c r="AE1519" i="1"/>
  <c r="AE1096" i="1"/>
  <c r="AE1398" i="1"/>
  <c r="AE1451" i="1"/>
  <c r="AE1631" i="1"/>
  <c r="AE958" i="1"/>
  <c r="AE961" i="1"/>
  <c r="AE1466" i="1"/>
  <c r="AE687" i="1"/>
  <c r="AE1081" i="1"/>
  <c r="AE743" i="1"/>
  <c r="AE700" i="1"/>
  <c r="AE858" i="1"/>
  <c r="AE576" i="1"/>
  <c r="AE419" i="1"/>
  <c r="AE392" i="1"/>
  <c r="AE119" i="1"/>
  <c r="AE173" i="1"/>
  <c r="AE24" i="1"/>
  <c r="AE309" i="1"/>
  <c r="AE235" i="1"/>
  <c r="AE216" i="1"/>
  <c r="AE165" i="1"/>
  <c r="AE3897" i="1"/>
  <c r="AE4060" i="1"/>
  <c r="AE4162" i="1"/>
  <c r="AE3584" i="1"/>
  <c r="AE3845" i="1"/>
  <c r="AE3490" i="1"/>
  <c r="AE3360" i="1"/>
  <c r="AE3259" i="1"/>
  <c r="AE3296" i="1"/>
  <c r="AE3687" i="1"/>
  <c r="AE2833" i="1"/>
  <c r="AE3110" i="1"/>
  <c r="AE2500" i="1"/>
  <c r="AE2553" i="1"/>
  <c r="AE2308" i="1"/>
  <c r="AE2361" i="1"/>
  <c r="AE2156" i="1"/>
  <c r="AE2046" i="1"/>
  <c r="AE2083" i="1"/>
  <c r="AE2527" i="1"/>
  <c r="AE1841" i="1"/>
  <c r="AE1910" i="1"/>
  <c r="AE2044" i="1"/>
  <c r="AE1479" i="1"/>
  <c r="AE1480" i="1"/>
  <c r="AE1472" i="1"/>
  <c r="AE1382" i="1"/>
  <c r="AE1435" i="1"/>
  <c r="AE1592" i="1"/>
  <c r="AE1522" i="1"/>
  <c r="AE1342" i="1"/>
  <c r="AE942" i="1"/>
  <c r="AE1714" i="1"/>
  <c r="AE945" i="1"/>
  <c r="AE671" i="1"/>
  <c r="AE1065" i="1"/>
  <c r="AE1433" i="1"/>
  <c r="AE727" i="1"/>
  <c r="AE684" i="1"/>
  <c r="AE850" i="1"/>
  <c r="AE560" i="1"/>
  <c r="AE603" i="1"/>
  <c r="AE403" i="1"/>
  <c r="AE376" i="1"/>
  <c r="AE103" i="1"/>
  <c r="AE8" i="1"/>
  <c r="AE1498" i="1"/>
  <c r="AE1406" i="1"/>
  <c r="AE501" i="1"/>
  <c r="AE598" i="1"/>
  <c r="AE78" i="1"/>
  <c r="AE3881" i="1"/>
  <c r="AE4044" i="1"/>
  <c r="AE3568" i="1"/>
  <c r="AE3815" i="1"/>
  <c r="AE3839" i="1"/>
  <c r="AE3474" i="1"/>
  <c r="AE3824" i="1"/>
  <c r="AE3405" i="1"/>
  <c r="AE3472" i="1"/>
  <c r="AE3251" i="1"/>
  <c r="AE3341" i="1"/>
  <c r="AE3534" i="1"/>
  <c r="AE2817" i="1"/>
  <c r="AE2947" i="1"/>
  <c r="AE3030" i="1"/>
  <c r="AE2484" i="1"/>
  <c r="AE2537" i="1"/>
  <c r="AE2748" i="1"/>
  <c r="AE2292" i="1"/>
  <c r="AE2345" i="1"/>
  <c r="AE2767" i="1"/>
  <c r="AE2918" i="1"/>
  <c r="AE2030" i="1"/>
  <c r="AE2067" i="1"/>
  <c r="AE2535" i="1"/>
  <c r="AE1825" i="1"/>
  <c r="AE1894" i="1"/>
  <c r="AE2036" i="1"/>
  <c r="AE1847" i="1"/>
  <c r="AE1459" i="1"/>
  <c r="AE1759" i="1"/>
  <c r="AE1366" i="1"/>
  <c r="AE1419" i="1"/>
  <c r="AE1530" i="1"/>
  <c r="AE1770" i="1"/>
  <c r="AE929" i="1"/>
  <c r="AE655" i="1"/>
  <c r="AE1049" i="1"/>
  <c r="AE711" i="1"/>
  <c r="AE668" i="1"/>
  <c r="AE842" i="1"/>
  <c r="AE544" i="1"/>
  <c r="AE587" i="1"/>
  <c r="AE387" i="1"/>
  <c r="AE360" i="1"/>
  <c r="AE87" i="1"/>
  <c r="AE298" i="1"/>
  <c r="AE80" i="1"/>
  <c r="AE283" i="1"/>
  <c r="AE652" i="1"/>
  <c r="AE834" i="1"/>
  <c r="AE528" i="1"/>
  <c r="AE571" i="1"/>
  <c r="AE371" i="1"/>
  <c r="AE344" i="1"/>
  <c r="AE74" i="1"/>
  <c r="AE64" i="1"/>
  <c r="AE229" i="1"/>
  <c r="AE636" i="1"/>
  <c r="AE826" i="1"/>
  <c r="AE512" i="1"/>
  <c r="AE555" i="1"/>
  <c r="AE355" i="1"/>
  <c r="AE328" i="1"/>
  <c r="AE104" i="1"/>
  <c r="AE58" i="1"/>
  <c r="AE149" i="1"/>
  <c r="AE221" i="1"/>
  <c r="AE818" i="1"/>
  <c r="AE496" i="1"/>
  <c r="AE539" i="1"/>
  <c r="AE312" i="1"/>
  <c r="AE42" i="1"/>
  <c r="AE256" i="1"/>
  <c r="AE232" i="1"/>
  <c r="AE810" i="1"/>
  <c r="AE480" i="1"/>
  <c r="AE523" i="1"/>
  <c r="AE323" i="1"/>
  <c r="AE306" i="1"/>
  <c r="AE155" i="1"/>
  <c r="AE170" i="1"/>
  <c r="AE128" i="1"/>
  <c r="AE802" i="1"/>
  <c r="AE464" i="1"/>
  <c r="AE507" i="1"/>
  <c r="AE308" i="1"/>
  <c r="AE290" i="1"/>
  <c r="AE101" i="1"/>
  <c r="AE75" i="1"/>
  <c r="AE794" i="1"/>
  <c r="AE448" i="1"/>
  <c r="AE491" i="1"/>
  <c r="AE292" i="1"/>
  <c r="AE274" i="1"/>
  <c r="AE93" i="1"/>
  <c r="AE112" i="1"/>
  <c r="AE59" i="1"/>
  <c r="AE786" i="1"/>
  <c r="AE432" i="1"/>
  <c r="AE475" i="1"/>
  <c r="AE276" i="1"/>
  <c r="AE258" i="1"/>
  <c r="AE32" i="1"/>
  <c r="AE67" i="1"/>
  <c r="AE277" i="1"/>
  <c r="AE43" i="1"/>
  <c r="AE778" i="1"/>
  <c r="AE416" i="1"/>
  <c r="AE459" i="1"/>
  <c r="AE260" i="1"/>
  <c r="AE242" i="1"/>
  <c r="AE251" i="1"/>
  <c r="AE51" i="1"/>
  <c r="AE27" i="1"/>
  <c r="AE1923" i="1"/>
  <c r="AE2413" i="1"/>
  <c r="AE2405" i="1"/>
  <c r="AE1732" i="1"/>
  <c r="AE1924" i="1"/>
  <c r="AE1916" i="1"/>
  <c r="AE1315" i="1"/>
  <c r="AE1432" i="1"/>
  <c r="AE1222" i="1"/>
  <c r="AE1360" i="1"/>
  <c r="AE1182" i="1"/>
  <c r="AE1014" i="1"/>
  <c r="AE1129" i="1"/>
  <c r="AE1020" i="1"/>
  <c r="AE980" i="1"/>
  <c r="AE1425" i="1"/>
  <c r="AE820" i="1"/>
  <c r="AE905" i="1"/>
  <c r="AE1417" i="1"/>
  <c r="AE770" i="1"/>
  <c r="AE400" i="1"/>
  <c r="AE443" i="1"/>
  <c r="AE244" i="1"/>
  <c r="AE226" i="1"/>
  <c r="AE197" i="1"/>
  <c r="AE35" i="1"/>
  <c r="AE11" i="1"/>
  <c r="AE1716" i="1"/>
  <c r="AE1908" i="1"/>
  <c r="AE1299" i="1"/>
  <c r="AE1416" i="1"/>
  <c r="AE1487" i="1"/>
  <c r="AE1206" i="1"/>
  <c r="AE1344" i="1"/>
  <c r="AE1738" i="1"/>
  <c r="AE1567" i="1"/>
  <c r="AE998" i="1"/>
  <c r="AE1097" i="1"/>
  <c r="AE1004" i="1"/>
  <c r="AE964" i="1"/>
  <c r="AE1329" i="1"/>
  <c r="AE804" i="1"/>
  <c r="AE889" i="1"/>
  <c r="AE1345" i="1"/>
  <c r="AE762" i="1"/>
  <c r="AE384" i="1"/>
  <c r="AE427" i="1"/>
  <c r="AE228" i="1"/>
  <c r="AE210" i="1"/>
  <c r="AE189" i="1"/>
  <c r="AE19" i="1"/>
  <c r="AE267" i="1"/>
  <c r="AE1854" i="1"/>
  <c r="AE1891" i="1"/>
  <c r="AE2173" i="1"/>
  <c r="AE2258" i="1"/>
  <c r="AE2389" i="1"/>
  <c r="AE2025" i="1"/>
  <c r="AE1700" i="1"/>
  <c r="AE1283" i="1"/>
  <c r="AE1400" i="1"/>
  <c r="AE1190" i="1"/>
  <c r="AE1328" i="1"/>
  <c r="AE1730" i="1"/>
  <c r="AE1150" i="1"/>
  <c r="AE1504" i="1"/>
  <c r="AE982" i="1"/>
  <c r="AE897" i="1"/>
  <c r="AE988" i="1"/>
  <c r="AE948" i="1"/>
  <c r="AE1297" i="1"/>
  <c r="AE788" i="1"/>
  <c r="AE873" i="1"/>
  <c r="AE1313" i="1"/>
  <c r="AE754" i="1"/>
  <c r="AE368" i="1"/>
  <c r="AE411" i="1"/>
  <c r="AE212" i="1"/>
  <c r="AE194" i="1"/>
  <c r="AE3" i="1"/>
  <c r="AE1838" i="1"/>
  <c r="AE1875" i="1"/>
  <c r="AE2145" i="1"/>
  <c r="AE2250" i="1"/>
  <c r="AE2009" i="1"/>
  <c r="AE1684" i="1"/>
  <c r="AE1831" i="1"/>
  <c r="AE1267" i="1"/>
  <c r="AE1384" i="1"/>
  <c r="AE1174" i="1"/>
  <c r="AE1722" i="1"/>
  <c r="AE1640" i="1"/>
  <c r="AE966" i="1"/>
  <c r="AE881" i="1"/>
  <c r="AE972" i="1"/>
  <c r="AE932" i="1"/>
  <c r="AE1265" i="1"/>
  <c r="AE772" i="1"/>
  <c r="AE857" i="1"/>
  <c r="AE1281" i="1"/>
  <c r="AE746" i="1"/>
  <c r="AE352" i="1"/>
  <c r="AE395" i="1"/>
  <c r="AE196" i="1"/>
  <c r="AE178" i="1"/>
  <c r="AE96" i="1"/>
  <c r="AE1166" i="1"/>
  <c r="AE597" i="1"/>
  <c r="AE533" i="1"/>
  <c r="AE4185" i="1"/>
  <c r="AE3673" i="1"/>
  <c r="AE4295" i="1"/>
  <c r="AE3611" i="1"/>
  <c r="AE4061" i="1"/>
  <c r="AE4319" i="1"/>
  <c r="AE3916" i="1"/>
  <c r="AE4181" i="1"/>
  <c r="AE4058" i="1"/>
  <c r="AE3266" i="1"/>
  <c r="AE3509" i="1"/>
  <c r="AE3498" i="1"/>
  <c r="AE3831" i="1"/>
  <c r="AE3892" i="1"/>
  <c r="AE3048" i="1"/>
  <c r="AE3342" i="1"/>
  <c r="AE3035" i="1"/>
  <c r="AE2609" i="1"/>
  <c r="AE2662" i="1"/>
  <c r="AE2788" i="1"/>
  <c r="AE2889" i="1"/>
  <c r="AE3075" i="1"/>
  <c r="AE3011" i="1"/>
  <c r="AE2423" i="1"/>
  <c r="AE2444" i="1"/>
  <c r="AE2894" i="1"/>
  <c r="AE1822" i="1"/>
  <c r="AE1859" i="1"/>
  <c r="AE2129" i="1"/>
  <c r="AE1993" i="1"/>
  <c r="AE1668" i="1"/>
  <c r="AE1767" i="1"/>
  <c r="AE1815" i="1"/>
  <c r="AE2076" i="1"/>
  <c r="AE1251" i="1"/>
  <c r="AE1368" i="1"/>
  <c r="AE1733" i="1"/>
  <c r="AE1158" i="1"/>
  <c r="AE1118" i="1"/>
  <c r="AE950" i="1"/>
  <c r="AE865" i="1"/>
  <c r="AE956" i="1"/>
  <c r="AE916" i="1"/>
  <c r="AE1233" i="1"/>
  <c r="AE756" i="1"/>
  <c r="AE841" i="1"/>
  <c r="AE1249" i="1"/>
  <c r="AE738" i="1"/>
  <c r="AE336" i="1"/>
  <c r="AE379" i="1"/>
  <c r="AE180" i="1"/>
  <c r="AE162" i="1"/>
  <c r="AE69" i="1"/>
  <c r="AE224" i="1"/>
  <c r="AE548" i="1"/>
  <c r="AE353" i="1"/>
  <c r="AE339" i="1"/>
  <c r="AE218" i="1"/>
  <c r="AE4169" i="1"/>
  <c r="AE4332" i="1"/>
  <c r="AE3595" i="1"/>
  <c r="AE4047" i="1"/>
  <c r="AE4087" i="1"/>
  <c r="AE3250" i="1"/>
  <c r="AE3493" i="1"/>
  <c r="AE3482" i="1"/>
  <c r="AE3777" i="1"/>
  <c r="AE3312" i="1"/>
  <c r="AE3019" i="1"/>
  <c r="AE2593" i="1"/>
  <c r="AE2646" i="1"/>
  <c r="AE2772" i="1"/>
  <c r="AE2825" i="1"/>
  <c r="AE3044" i="1"/>
  <c r="AE2524" i="1"/>
  <c r="AE2910" i="1"/>
  <c r="AE2407" i="1"/>
  <c r="AE2428" i="1"/>
  <c r="AE2642" i="1"/>
  <c r="AE1806" i="1"/>
  <c r="AE1843" i="1"/>
  <c r="AE2113" i="1"/>
  <c r="AE1652" i="1"/>
  <c r="AE1581" i="1"/>
  <c r="AE1751" i="1"/>
  <c r="AE1772" i="1"/>
  <c r="AE2068" i="1"/>
  <c r="AE1235" i="1"/>
  <c r="AE1352" i="1"/>
  <c r="AE1142" i="1"/>
  <c r="AE934" i="1"/>
  <c r="AE849" i="1"/>
  <c r="AE940" i="1"/>
  <c r="AE1441" i="1"/>
  <c r="AE1201" i="1"/>
  <c r="AE740" i="1"/>
  <c r="AE825" i="1"/>
  <c r="AE1217" i="1"/>
  <c r="AE730" i="1"/>
  <c r="AE320" i="1"/>
  <c r="AE363" i="1"/>
  <c r="AE164" i="1"/>
  <c r="AE146" i="1"/>
  <c r="AE53" i="1"/>
  <c r="AE248" i="1"/>
  <c r="AE123" i="1"/>
  <c r="AE245" i="1"/>
  <c r="AE329" i="1"/>
  <c r="AE100" i="1"/>
  <c r="AE202" i="1"/>
  <c r="AE4153" i="1"/>
  <c r="AE4316" i="1"/>
  <c r="AE3579" i="1"/>
  <c r="AE4231" i="1"/>
  <c r="AE4023" i="1"/>
  <c r="AE3994" i="1"/>
  <c r="AE4279" i="1"/>
  <c r="AE4164" i="1"/>
  <c r="AE3234" i="1"/>
  <c r="AE3477" i="1"/>
  <c r="AE3466" i="1"/>
  <c r="AE3761" i="1"/>
  <c r="AE3003" i="1"/>
  <c r="AE3501" i="1"/>
  <c r="AE2577" i="1"/>
  <c r="AE2630" i="1"/>
  <c r="AE2756" i="1"/>
  <c r="AE2809" i="1"/>
  <c r="AE2982" i="1"/>
  <c r="AE2974" i="1"/>
  <c r="AE3368" i="1"/>
  <c r="AE2902" i="1"/>
  <c r="AE2391" i="1"/>
  <c r="AE2412" i="1"/>
  <c r="AE2570" i="1"/>
  <c r="AE1790" i="1"/>
  <c r="AE1827" i="1"/>
  <c r="AE2097" i="1"/>
  <c r="AE2157" i="1"/>
  <c r="AE1636" i="1"/>
  <c r="AE1565" i="1"/>
  <c r="AE1735" i="1"/>
  <c r="AE1756" i="1"/>
  <c r="AE1219" i="1"/>
  <c r="AE1336" i="1"/>
  <c r="AE1632" i="1"/>
  <c r="AE1126" i="1"/>
  <c r="AE1086" i="1"/>
  <c r="AE833" i="1"/>
  <c r="AE924" i="1"/>
  <c r="AE1169" i="1"/>
  <c r="AE724" i="1"/>
  <c r="AE809" i="1"/>
  <c r="AE1185" i="1"/>
  <c r="AE722" i="1"/>
  <c r="AE347" i="1"/>
  <c r="AE148" i="1"/>
  <c r="AE130" i="1"/>
  <c r="AE37" i="1"/>
  <c r="AE117" i="1"/>
  <c r="AE186" i="1"/>
  <c r="AE77" i="1"/>
  <c r="AU2754" i="1"/>
  <c r="AU1530" i="1"/>
  <c r="AU2238" i="1"/>
  <c r="AU1027" i="1"/>
  <c r="AU1043" i="1"/>
  <c r="AU1059" i="1"/>
  <c r="AU1075" i="1"/>
  <c r="AU1091" i="1"/>
  <c r="AU1107" i="1"/>
  <c r="AU1123" i="1"/>
  <c r="AU1139" i="1"/>
  <c r="AU1155" i="1"/>
  <c r="AU1171" i="1"/>
  <c r="AU1187" i="1"/>
  <c r="AU1203" i="1"/>
  <c r="AU1219" i="1"/>
  <c r="AU1235" i="1"/>
  <c r="AU1251" i="1"/>
  <c r="AU1267" i="1"/>
  <c r="AU1283" i="1"/>
  <c r="AU1299" i="1"/>
  <c r="AU1315" i="1"/>
  <c r="AU1331" i="1"/>
  <c r="AU1347" i="1"/>
  <c r="AU1363" i="1"/>
  <c r="AU1379" i="1"/>
  <c r="AU1396" i="1"/>
  <c r="AU1449" i="1"/>
  <c r="AU1504" i="1"/>
  <c r="AU1587" i="1"/>
  <c r="AU1617" i="1"/>
  <c r="AU1678" i="1"/>
  <c r="AU1706" i="1"/>
  <c r="AU1737" i="1"/>
  <c r="AU1768" i="1"/>
  <c r="AU1799" i="1"/>
  <c r="AU1826" i="1"/>
  <c r="AU1857" i="1"/>
  <c r="AU1888" i="1"/>
  <c r="AU1919" i="1"/>
  <c r="AU2089" i="1"/>
  <c r="AU2145" i="1"/>
  <c r="AU2254" i="1"/>
  <c r="AU1399" i="1"/>
  <c r="AU1424" i="1"/>
  <c r="AU1475" i="1"/>
  <c r="AU1534" i="1"/>
  <c r="AU1561" i="1"/>
  <c r="AU1591" i="1"/>
  <c r="AU1648" i="1"/>
  <c r="AU1679" i="1"/>
  <c r="AU1950" i="1"/>
  <c r="AU1978" i="1"/>
  <c r="AU2009" i="1"/>
  <c r="AU2040" i="1"/>
  <c r="AU2090" i="1"/>
  <c r="AU2146" i="1"/>
  <c r="AU2270" i="1"/>
  <c r="AU1108" i="1"/>
  <c r="AU1124" i="1"/>
  <c r="AU1140" i="1"/>
  <c r="AU1156" i="1"/>
  <c r="AU1172" i="1"/>
  <c r="AU1188" i="1"/>
  <c r="AU1204" i="1"/>
  <c r="AU1220" i="1"/>
  <c r="AU1236" i="1"/>
  <c r="AU1252" i="1"/>
  <c r="AU1268" i="1"/>
  <c r="AU1284" i="1"/>
  <c r="AU1300" i="1"/>
  <c r="AU1316" i="1"/>
  <c r="AU1332" i="1"/>
  <c r="AU1348" i="1"/>
  <c r="AU1364" i="1"/>
  <c r="AU1380" i="1"/>
  <c r="AU1450" i="1"/>
  <c r="AU1479" i="1"/>
  <c r="AU1505" i="1"/>
  <c r="AU1535" i="1"/>
  <c r="AU1618" i="1"/>
  <c r="AU1710" i="1"/>
  <c r="AU1738" i="1"/>
  <c r="AU1769" i="1"/>
  <c r="AU1800" i="1"/>
  <c r="AU1831" i="1"/>
  <c r="AU1858" i="1"/>
  <c r="AU1889" i="1"/>
  <c r="AU1920" i="1"/>
  <c r="AU1951" i="1"/>
  <c r="AU2094" i="1"/>
  <c r="AU2151" i="1"/>
  <c r="AU2286" i="1"/>
  <c r="AU1400" i="1"/>
  <c r="AU1425" i="1"/>
  <c r="AU1562" i="1"/>
  <c r="AU1592" i="1"/>
  <c r="AU1649" i="1"/>
  <c r="AU1680" i="1"/>
  <c r="AU1711" i="1"/>
  <c r="AU1982" i="1"/>
  <c r="AU2010" i="1"/>
  <c r="AU2041" i="1"/>
  <c r="AU2095" i="1"/>
  <c r="AU2152" i="1"/>
  <c r="AU2302" i="1"/>
  <c r="AU1109" i="1"/>
  <c r="AU1125" i="1"/>
  <c r="AU1141" i="1"/>
  <c r="AU1157" i="1"/>
  <c r="AU1173" i="1"/>
  <c r="AU1189" i="1"/>
  <c r="AU1205" i="1"/>
  <c r="AU1221" i="1"/>
  <c r="AU1237" i="1"/>
  <c r="AU1253" i="1"/>
  <c r="AU1269" i="1"/>
  <c r="AU1285" i="1"/>
  <c r="AU1301" i="1"/>
  <c r="AU1317" i="1"/>
  <c r="AU1333" i="1"/>
  <c r="AU1349" i="1"/>
  <c r="AU1365" i="1"/>
  <c r="AU1381" i="1"/>
  <c r="AU1451" i="1"/>
  <c r="AU1480" i="1"/>
  <c r="AU1506" i="1"/>
  <c r="AU1536" i="1"/>
  <c r="AU1619" i="1"/>
  <c r="AU1742" i="1"/>
  <c r="AU1770" i="1"/>
  <c r="AU1801" i="1"/>
  <c r="AU1832" i="1"/>
  <c r="AU1863" i="1"/>
  <c r="AU1890" i="1"/>
  <c r="AU1921" i="1"/>
  <c r="AU1952" i="1"/>
  <c r="AU1983" i="1"/>
  <c r="AU2096" i="1"/>
  <c r="AU2153" i="1"/>
  <c r="AU2318" i="1"/>
  <c r="AU1401" i="1"/>
  <c r="AU1426" i="1"/>
  <c r="AU1454" i="1"/>
  <c r="AU1566" i="1"/>
  <c r="AU1593" i="1"/>
  <c r="AU1623" i="1"/>
  <c r="AU1650" i="1"/>
  <c r="AU1681" i="1"/>
  <c r="AU1712" i="1"/>
  <c r="AU1743" i="1"/>
  <c r="AU2014" i="1"/>
  <c r="AU2042" i="1"/>
  <c r="AU2097" i="1"/>
  <c r="AU2154" i="1"/>
  <c r="AU2334" i="1"/>
  <c r="AU1142" i="1"/>
  <c r="AU1222" i="1"/>
  <c r="AU1238" i="1"/>
  <c r="AU1254" i="1"/>
  <c r="AU1270" i="1"/>
  <c r="AU1286" i="1"/>
  <c r="AU1302" i="1"/>
  <c r="AU1318" i="1"/>
  <c r="AU1334" i="1"/>
  <c r="AU1350" i="1"/>
  <c r="AU1366" i="1"/>
  <c r="AU1382" i="1"/>
  <c r="AU1455" i="1"/>
  <c r="AU1481" i="1"/>
  <c r="AU1507" i="1"/>
  <c r="AU1537" i="1"/>
  <c r="AU1567" i="1"/>
  <c r="AU1774" i="1"/>
  <c r="AU1802" i="1"/>
  <c r="AU1833" i="1"/>
  <c r="AU1864" i="1"/>
  <c r="AU1895" i="1"/>
  <c r="AU1922" i="1"/>
  <c r="AU1953" i="1"/>
  <c r="AU1984" i="1"/>
  <c r="AU2015" i="1"/>
  <c r="AU2098" i="1"/>
  <c r="AU2158" i="1"/>
  <c r="AU2350" i="1"/>
  <c r="AU1402" i="1"/>
  <c r="AU1427" i="1"/>
  <c r="AU1511" i="1"/>
  <c r="AU1594" i="1"/>
  <c r="AU1624" i="1"/>
  <c r="AU1655" i="1"/>
  <c r="AU1682" i="1"/>
  <c r="AU1713" i="1"/>
  <c r="AU1744" i="1"/>
  <c r="AU1775" i="1"/>
  <c r="AU2046" i="1"/>
  <c r="AU2103" i="1"/>
  <c r="AU2159" i="1"/>
  <c r="AU2366" i="1"/>
  <c r="AU1239" i="1"/>
  <c r="AU1383" i="1"/>
  <c r="AU1428" i="1"/>
  <c r="AU1456" i="1"/>
  <c r="AU1482" i="1"/>
  <c r="AU1538" i="1"/>
  <c r="AU1568" i="1"/>
  <c r="AU1806" i="1"/>
  <c r="AU1834" i="1"/>
  <c r="AU1865" i="1"/>
  <c r="AU1896" i="1"/>
  <c r="AU1927" i="1"/>
  <c r="AU1954" i="1"/>
  <c r="AU1985" i="1"/>
  <c r="AU2016" i="1"/>
  <c r="AU2047" i="1"/>
  <c r="AU2104" i="1"/>
  <c r="AU2160" i="1"/>
  <c r="AU2382" i="1"/>
  <c r="AU1044" i="1"/>
  <c r="AU1077" i="1"/>
  <c r="AU1062" i="1"/>
  <c r="AU1031" i="1"/>
  <c r="AU1175" i="1"/>
  <c r="AU1287" i="1"/>
  <c r="AU1403" i="1"/>
  <c r="AU1431" i="1"/>
  <c r="AU1512" i="1"/>
  <c r="AU1598" i="1"/>
  <c r="AU1625" i="1"/>
  <c r="AU1656" i="1"/>
  <c r="AU1687" i="1"/>
  <c r="AU1714" i="1"/>
  <c r="AU1745" i="1"/>
  <c r="AU1776" i="1"/>
  <c r="AU1807" i="1"/>
  <c r="AU2048" i="1"/>
  <c r="AU2105" i="1"/>
  <c r="AU2161" i="1"/>
  <c r="AU2398" i="1"/>
  <c r="AU1030" i="1"/>
  <c r="AU1190" i="1"/>
  <c r="AU1047" i="1"/>
  <c r="AU1143" i="1"/>
  <c r="AU1191" i="1"/>
  <c r="AU1207" i="1"/>
  <c r="AU1223" i="1"/>
  <c r="AU1255" i="1"/>
  <c r="AU1032" i="1"/>
  <c r="AU1048" i="1"/>
  <c r="AU1064" i="1"/>
  <c r="AU1080" i="1"/>
  <c r="AU1096" i="1"/>
  <c r="AU1112" i="1"/>
  <c r="AU1128" i="1"/>
  <c r="AU1144" i="1"/>
  <c r="AU1160" i="1"/>
  <c r="AU1176" i="1"/>
  <c r="AU1192" i="1"/>
  <c r="AU1208" i="1"/>
  <c r="AU1224" i="1"/>
  <c r="AU1240" i="1"/>
  <c r="AU1256" i="1"/>
  <c r="AU1272" i="1"/>
  <c r="AU1288" i="1"/>
  <c r="AU1304" i="1"/>
  <c r="AU1320" i="1"/>
  <c r="AU1336" i="1"/>
  <c r="AU1352" i="1"/>
  <c r="AU1368" i="1"/>
  <c r="AU1384" i="1"/>
  <c r="AU1406" i="1"/>
  <c r="AU1457" i="1"/>
  <c r="AU1483" i="1"/>
  <c r="AU1539" i="1"/>
  <c r="AU1569" i="1"/>
  <c r="AU1599" i="1"/>
  <c r="AU1838" i="1"/>
  <c r="AU1866" i="1"/>
  <c r="AU1897" i="1"/>
  <c r="AU1928" i="1"/>
  <c r="AU1959" i="1"/>
  <c r="AU1986" i="1"/>
  <c r="AU2017" i="1"/>
  <c r="AU2049" i="1"/>
  <c r="AU2106" i="1"/>
  <c r="AU2162" i="1"/>
  <c r="AU2414" i="1"/>
  <c r="AU1093" i="1"/>
  <c r="AU1078" i="1"/>
  <c r="AU1159" i="1"/>
  <c r="AU1271" i="1"/>
  <c r="AU1407" i="1"/>
  <c r="AU1432" i="1"/>
  <c r="AU1486" i="1"/>
  <c r="AU1513" i="1"/>
  <c r="AU1543" i="1"/>
  <c r="AU1626" i="1"/>
  <c r="AU1657" i="1"/>
  <c r="AU1688" i="1"/>
  <c r="AU1719" i="1"/>
  <c r="AU1746" i="1"/>
  <c r="AU1777" i="1"/>
  <c r="AU1808" i="1"/>
  <c r="AU1839" i="1"/>
  <c r="AU2050" i="1"/>
  <c r="AU2110" i="1"/>
  <c r="AU2167" i="1"/>
  <c r="AU2430" i="1"/>
  <c r="AU1395" i="1"/>
  <c r="AU1061" i="1"/>
  <c r="AU1110" i="1"/>
  <c r="AU1111" i="1"/>
  <c r="AU1335" i="1"/>
  <c r="AU1033" i="1"/>
  <c r="AU1049" i="1"/>
  <c r="AU1065" i="1"/>
  <c r="AU1081" i="1"/>
  <c r="AU1097" i="1"/>
  <c r="AU1113" i="1"/>
  <c r="AU1129" i="1"/>
  <c r="AU1145" i="1"/>
  <c r="AU1161" i="1"/>
  <c r="AU1177" i="1"/>
  <c r="AU1193" i="1"/>
  <c r="AU1209" i="1"/>
  <c r="AU1225" i="1"/>
  <c r="AU1241" i="1"/>
  <c r="AU1257" i="1"/>
  <c r="AU1273" i="1"/>
  <c r="AU1289" i="1"/>
  <c r="AU1305" i="1"/>
  <c r="AU1321" i="1"/>
  <c r="AU1337" i="1"/>
  <c r="AU1353" i="1"/>
  <c r="AU1369" i="1"/>
  <c r="AU1385" i="1"/>
  <c r="AU1458" i="1"/>
  <c r="AU1487" i="1"/>
  <c r="AU1570" i="1"/>
  <c r="AU1600" i="1"/>
  <c r="AU1870" i="1"/>
  <c r="AU1898" i="1"/>
  <c r="AU1929" i="1"/>
  <c r="AU1960" i="1"/>
  <c r="AU1991" i="1"/>
  <c r="AU2018" i="1"/>
  <c r="AU2055" i="1"/>
  <c r="AU2111" i="1"/>
  <c r="AU2168" i="1"/>
  <c r="AU2446" i="1"/>
  <c r="AU1946" i="1"/>
  <c r="AU1060" i="1"/>
  <c r="AU1029" i="1"/>
  <c r="AU1046" i="1"/>
  <c r="AU1158" i="1"/>
  <c r="AU1127" i="1"/>
  <c r="AU1303" i="1"/>
  <c r="AU1408" i="1"/>
  <c r="AU1433" i="1"/>
  <c r="AU1514" i="1"/>
  <c r="AU1544" i="1"/>
  <c r="AU1630" i="1"/>
  <c r="AU1658" i="1"/>
  <c r="AU1689" i="1"/>
  <c r="AU1720" i="1"/>
  <c r="AU1751" i="1"/>
  <c r="AU1778" i="1"/>
  <c r="AU1809" i="1"/>
  <c r="AU1840" i="1"/>
  <c r="AU1871" i="1"/>
  <c r="AU2056" i="1"/>
  <c r="AU2112" i="1"/>
  <c r="AU2169" i="1"/>
  <c r="AU2462" i="1"/>
  <c r="AU1028" i="1"/>
  <c r="AU1174" i="1"/>
  <c r="AU1095" i="1"/>
  <c r="AU1351" i="1"/>
  <c r="AU1034" i="1"/>
  <c r="AU1050" i="1"/>
  <c r="AU1066" i="1"/>
  <c r="AU1082" i="1"/>
  <c r="AU1098" i="1"/>
  <c r="AU1114" i="1"/>
  <c r="AU1130" i="1"/>
  <c r="AU1146" i="1"/>
  <c r="AU1162" i="1"/>
  <c r="AU1178" i="1"/>
  <c r="AU1194" i="1"/>
  <c r="AU1210" i="1"/>
  <c r="AU1226" i="1"/>
  <c r="AU1242" i="1"/>
  <c r="AU1258" i="1"/>
  <c r="AU1274" i="1"/>
  <c r="AU1290" i="1"/>
  <c r="AU1306" i="1"/>
  <c r="AU1322" i="1"/>
  <c r="AU1338" i="1"/>
  <c r="AU1354" i="1"/>
  <c r="AU1370" i="1"/>
  <c r="AU1386" i="1"/>
  <c r="AU1459" i="1"/>
  <c r="AU1488" i="1"/>
  <c r="AU1571" i="1"/>
  <c r="AU1601" i="1"/>
  <c r="AU1631" i="1"/>
  <c r="AU1902" i="1"/>
  <c r="AU1930" i="1"/>
  <c r="AU1961" i="1"/>
  <c r="AU1992" i="1"/>
  <c r="AU2023" i="1"/>
  <c r="AU2057" i="1"/>
  <c r="AU2113" i="1"/>
  <c r="AU2170" i="1"/>
  <c r="AU2478" i="1"/>
  <c r="AU1977" i="1"/>
  <c r="AU1092" i="1"/>
  <c r="AU1126" i="1"/>
  <c r="AU1063" i="1"/>
  <c r="AU1319" i="1"/>
  <c r="AU1409" i="1"/>
  <c r="AU1434" i="1"/>
  <c r="AU1463" i="1"/>
  <c r="AU1518" i="1"/>
  <c r="AU1545" i="1"/>
  <c r="AU1575" i="1"/>
  <c r="AU1662" i="1"/>
  <c r="AU1690" i="1"/>
  <c r="AU1721" i="1"/>
  <c r="AU1752" i="1"/>
  <c r="AU1783" i="1"/>
  <c r="AU1810" i="1"/>
  <c r="AU1841" i="1"/>
  <c r="AU1872" i="1"/>
  <c r="AU1903" i="1"/>
  <c r="AU2058" i="1"/>
  <c r="AU2114" i="1"/>
  <c r="AU2174" i="1"/>
  <c r="AU2494" i="1"/>
  <c r="AU1423" i="1"/>
  <c r="AU1474" i="1"/>
  <c r="AU1560" i="1"/>
  <c r="AU1647" i="1"/>
  <c r="AU1918" i="1"/>
  <c r="AU1076" i="1"/>
  <c r="AU1045" i="1"/>
  <c r="AU1094" i="1"/>
  <c r="AU1206" i="1"/>
  <c r="AU1079" i="1"/>
  <c r="AU1367" i="1"/>
  <c r="AU1035" i="1"/>
  <c r="AU1051" i="1"/>
  <c r="AU1067" i="1"/>
  <c r="AU1083" i="1"/>
  <c r="AU1099" i="1"/>
  <c r="AU1115" i="1"/>
  <c r="AU1131" i="1"/>
  <c r="AU1147" i="1"/>
  <c r="AU1163" i="1"/>
  <c r="AU1179" i="1"/>
  <c r="AU1195" i="1"/>
  <c r="AU1211" i="1"/>
  <c r="AU1227" i="1"/>
  <c r="AU1243" i="1"/>
  <c r="AU1259" i="1"/>
  <c r="AU1275" i="1"/>
  <c r="AU1291" i="1"/>
  <c r="AU1307" i="1"/>
  <c r="AU1323" i="1"/>
  <c r="AU1339" i="1"/>
  <c r="AU1355" i="1"/>
  <c r="AU1371" i="1"/>
  <c r="AU1387" i="1"/>
  <c r="AU1489" i="1"/>
  <c r="AU1519" i="1"/>
  <c r="AU1602" i="1"/>
  <c r="AU1632" i="1"/>
  <c r="AU1663" i="1"/>
  <c r="AU1934" i="1"/>
  <c r="AU1962" i="1"/>
  <c r="AU1993" i="1"/>
  <c r="AU2024" i="1"/>
  <c r="AU2062" i="1"/>
  <c r="AU2119" i="1"/>
  <c r="AU2175" i="1"/>
  <c r="AU2510" i="1"/>
  <c r="AU1410" i="1"/>
  <c r="AU1435" i="1"/>
  <c r="AU1464" i="1"/>
  <c r="AU1546" i="1"/>
  <c r="AU1576" i="1"/>
  <c r="AU1694" i="1"/>
  <c r="AU1722" i="1"/>
  <c r="AU1753" i="1"/>
  <c r="AU1784" i="1"/>
  <c r="AU1815" i="1"/>
  <c r="AU1842" i="1"/>
  <c r="AU1873" i="1"/>
  <c r="AU1904" i="1"/>
  <c r="AU1935" i="1"/>
  <c r="AU2063" i="1"/>
  <c r="AU2120" i="1"/>
  <c r="AU2176" i="1"/>
  <c r="AU2526" i="1"/>
  <c r="AU1036" i="1"/>
  <c r="AU1052" i="1"/>
  <c r="AU1068" i="1"/>
  <c r="AU1084" i="1"/>
  <c r="AU1100" i="1"/>
  <c r="AU1116" i="1"/>
  <c r="AU1132" i="1"/>
  <c r="AU1148" i="1"/>
  <c r="AU1164" i="1"/>
  <c r="AU1180" i="1"/>
  <c r="AU1196" i="1"/>
  <c r="AU1212" i="1"/>
  <c r="AU1228" i="1"/>
  <c r="AU1244" i="1"/>
  <c r="AU1260" i="1"/>
  <c r="AU1276" i="1"/>
  <c r="AU1292" i="1"/>
  <c r="AU1308" i="1"/>
  <c r="AU1324" i="1"/>
  <c r="AU1340" i="1"/>
  <c r="AU1356" i="1"/>
  <c r="AU1372" i="1"/>
  <c r="AU1388" i="1"/>
  <c r="AU1438" i="1"/>
  <c r="AU1490" i="1"/>
  <c r="AU1520" i="1"/>
  <c r="AU1603" i="1"/>
  <c r="AU1633" i="1"/>
  <c r="AU1664" i="1"/>
  <c r="AU1695" i="1"/>
  <c r="AU1966" i="1"/>
  <c r="AU1994" i="1"/>
  <c r="AU2025" i="1"/>
  <c r="AU2064" i="1"/>
  <c r="AU2121" i="1"/>
  <c r="AU2183" i="1"/>
  <c r="AU2542" i="1"/>
  <c r="AU1411" i="1"/>
  <c r="AU1439" i="1"/>
  <c r="AU1465" i="1"/>
  <c r="AU1550" i="1"/>
  <c r="AU1577" i="1"/>
  <c r="AU1607" i="1"/>
  <c r="AU1726" i="1"/>
  <c r="AU1754" i="1"/>
  <c r="AU1785" i="1"/>
  <c r="AU1816" i="1"/>
  <c r="AU1847" i="1"/>
  <c r="AU1874" i="1"/>
  <c r="AU1905" i="1"/>
  <c r="AU1936" i="1"/>
  <c r="AU1967" i="1"/>
  <c r="AU2065" i="1"/>
  <c r="AU2122" i="1"/>
  <c r="AU2184" i="1"/>
  <c r="AU2558" i="1"/>
  <c r="AU1085" i="1"/>
  <c r="AU1101" i="1"/>
  <c r="AU1117" i="1"/>
  <c r="AU1133" i="1"/>
  <c r="AU1149" i="1"/>
  <c r="AU1165" i="1"/>
  <c r="AU1181" i="1"/>
  <c r="AU1197" i="1"/>
  <c r="AU1213" i="1"/>
  <c r="AU1229" i="1"/>
  <c r="AU1245" i="1"/>
  <c r="AU1261" i="1"/>
  <c r="AU1277" i="1"/>
  <c r="AU1293" i="1"/>
  <c r="AU1309" i="1"/>
  <c r="AU1325" i="1"/>
  <c r="AU1341" i="1"/>
  <c r="AU1357" i="1"/>
  <c r="AU1373" i="1"/>
  <c r="AU1389" i="1"/>
  <c r="AU1412" i="1"/>
  <c r="AU1491" i="1"/>
  <c r="AU1521" i="1"/>
  <c r="AU1551" i="1"/>
  <c r="AU1634" i="1"/>
  <c r="AU1665" i="1"/>
  <c r="AU1696" i="1"/>
  <c r="AU1727" i="1"/>
  <c r="AU1998" i="1"/>
  <c r="AU2026" i="1"/>
  <c r="AU2066" i="1"/>
  <c r="AU2126" i="1"/>
  <c r="AU2190" i="1"/>
  <c r="AU2574" i="1"/>
  <c r="AU1415" i="1"/>
  <c r="AU1440" i="1"/>
  <c r="AU1466" i="1"/>
  <c r="AU1495" i="1"/>
  <c r="AU1578" i="1"/>
  <c r="AU1608" i="1"/>
  <c r="AU1758" i="1"/>
  <c r="AU1786" i="1"/>
  <c r="AU1817" i="1"/>
  <c r="AU1848" i="1"/>
  <c r="AU1879" i="1"/>
  <c r="AU1906" i="1"/>
  <c r="AU1937" i="1"/>
  <c r="AU1968" i="1"/>
  <c r="AU1999" i="1"/>
  <c r="AU2071" i="1"/>
  <c r="AU2127" i="1"/>
  <c r="AU2191" i="1"/>
  <c r="AU2590" i="1"/>
  <c r="AU1134" i="1"/>
  <c r="AU1198" i="1"/>
  <c r="AU1214" i="1"/>
  <c r="AU1230" i="1"/>
  <c r="AU1246" i="1"/>
  <c r="AU1262" i="1"/>
  <c r="AU1278" i="1"/>
  <c r="AU1294" i="1"/>
  <c r="AU1310" i="1"/>
  <c r="AU1326" i="1"/>
  <c r="AU1342" i="1"/>
  <c r="AU1358" i="1"/>
  <c r="AU1374" i="1"/>
  <c r="AU1390" i="1"/>
  <c r="AU1522" i="1"/>
  <c r="AU1552" i="1"/>
  <c r="AU1639" i="1"/>
  <c r="AU1666" i="1"/>
  <c r="AU1697" i="1"/>
  <c r="AU1728" i="1"/>
  <c r="AU1759" i="1"/>
  <c r="AU2030" i="1"/>
  <c r="AU2072" i="1"/>
  <c r="AU2128" i="1"/>
  <c r="AU2192" i="1"/>
  <c r="AU2606" i="1"/>
  <c r="AU1391" i="1"/>
  <c r="AU1416" i="1"/>
  <c r="AU1441" i="1"/>
  <c r="AU1467" i="1"/>
  <c r="AU1496" i="1"/>
  <c r="AU1582" i="1"/>
  <c r="AU1609" i="1"/>
  <c r="AU1790" i="1"/>
  <c r="AU1818" i="1"/>
  <c r="AU1849" i="1"/>
  <c r="AU1880" i="1"/>
  <c r="AU1911" i="1"/>
  <c r="AU1938" i="1"/>
  <c r="AU1969" i="1"/>
  <c r="AU2000" i="1"/>
  <c r="AU2031" i="1"/>
  <c r="AU2073" i="1"/>
  <c r="AU2129" i="1"/>
  <c r="AU2199" i="1"/>
  <c r="AU2622" i="1"/>
  <c r="AU1263" i="1"/>
  <c r="AU1375" i="1"/>
  <c r="AU1470" i="1"/>
  <c r="AU1523" i="1"/>
  <c r="AU1553" i="1"/>
  <c r="AU1583" i="1"/>
  <c r="AU1640" i="1"/>
  <c r="AU1671" i="1"/>
  <c r="AU1698" i="1"/>
  <c r="AU1729" i="1"/>
  <c r="AU1760" i="1"/>
  <c r="AU1791" i="1"/>
  <c r="AU2074" i="1"/>
  <c r="AU2130" i="1"/>
  <c r="AU2200" i="1"/>
  <c r="AU2638" i="1"/>
  <c r="AU1069" i="1"/>
  <c r="AU1070" i="1"/>
  <c r="AU1135" i="1"/>
  <c r="AU1327" i="1"/>
  <c r="AU1392" i="1"/>
  <c r="AU1417" i="1"/>
  <c r="AU1442" i="1"/>
  <c r="AU1471" i="1"/>
  <c r="AU1497" i="1"/>
  <c r="AU1527" i="1"/>
  <c r="AU1610" i="1"/>
  <c r="AU1822" i="1"/>
  <c r="AU1850" i="1"/>
  <c r="AU1881" i="1"/>
  <c r="AU1912" i="1"/>
  <c r="AU1943" i="1"/>
  <c r="AU1970" i="1"/>
  <c r="AU2001" i="1"/>
  <c r="AU2032" i="1"/>
  <c r="AU2078" i="1"/>
  <c r="AU2135" i="1"/>
  <c r="AU2206" i="1"/>
  <c r="AU2654" i="1"/>
  <c r="AU2039" i="1"/>
  <c r="AU1038" i="1"/>
  <c r="AU1118" i="1"/>
  <c r="AU1150" i="1"/>
  <c r="AU1055" i="1"/>
  <c r="AU1087" i="1"/>
  <c r="AU1167" i="1"/>
  <c r="AU1199" i="1"/>
  <c r="AU1247" i="1"/>
  <c r="AU1311" i="1"/>
  <c r="AU1040" i="1"/>
  <c r="AU1056" i="1"/>
  <c r="AU1072" i="1"/>
  <c r="AU1088" i="1"/>
  <c r="AU1104" i="1"/>
  <c r="AU1120" i="1"/>
  <c r="AU1136" i="1"/>
  <c r="AU1152" i="1"/>
  <c r="AU1168" i="1"/>
  <c r="AU1184" i="1"/>
  <c r="AU1200" i="1"/>
  <c r="AU1216" i="1"/>
  <c r="AU1232" i="1"/>
  <c r="AU1248" i="1"/>
  <c r="AU1264" i="1"/>
  <c r="AU1280" i="1"/>
  <c r="AU1296" i="1"/>
  <c r="AU1312" i="1"/>
  <c r="AU1328" i="1"/>
  <c r="AU1344" i="1"/>
  <c r="AU1360" i="1"/>
  <c r="AU1376" i="1"/>
  <c r="AU1554" i="1"/>
  <c r="AU1584" i="1"/>
  <c r="AU1641" i="1"/>
  <c r="AU1672" i="1"/>
  <c r="AU1703" i="1"/>
  <c r="AU1730" i="1"/>
  <c r="AU1761" i="1"/>
  <c r="AU1792" i="1"/>
  <c r="AU1823" i="1"/>
  <c r="AU2079" i="1"/>
  <c r="AU2136" i="1"/>
  <c r="AU2207" i="1"/>
  <c r="AU2670" i="1"/>
  <c r="AU1053" i="1"/>
  <c r="AU1086" i="1"/>
  <c r="AU1151" i="1"/>
  <c r="AU1295" i="1"/>
  <c r="AU1393" i="1"/>
  <c r="AU1418" i="1"/>
  <c r="AU1443" i="1"/>
  <c r="AU1472" i="1"/>
  <c r="AU1498" i="1"/>
  <c r="AU1528" i="1"/>
  <c r="AU1614" i="1"/>
  <c r="AU1854" i="1"/>
  <c r="AU1882" i="1"/>
  <c r="AU1913" i="1"/>
  <c r="AU1944" i="1"/>
  <c r="AU1975" i="1"/>
  <c r="AU2002" i="1"/>
  <c r="AU2033" i="1"/>
  <c r="AU2080" i="1"/>
  <c r="AU2137" i="1"/>
  <c r="AU2215" i="1"/>
  <c r="AU2686" i="1"/>
  <c r="AU2088" i="1"/>
  <c r="AU1103" i="1"/>
  <c r="AU1359" i="1"/>
  <c r="AU1041" i="1"/>
  <c r="AU1057" i="1"/>
  <c r="AU1073" i="1"/>
  <c r="AU1089" i="1"/>
  <c r="AU1105" i="1"/>
  <c r="AU1121" i="1"/>
  <c r="AU1137" i="1"/>
  <c r="AU1153" i="1"/>
  <c r="AU1169" i="1"/>
  <c r="AU1185" i="1"/>
  <c r="AU1201" i="1"/>
  <c r="AU1217" i="1"/>
  <c r="AU1233" i="1"/>
  <c r="AU1249" i="1"/>
  <c r="AU1265" i="1"/>
  <c r="AU1281" i="1"/>
  <c r="AU1297" i="1"/>
  <c r="AU1313" i="1"/>
  <c r="AU1329" i="1"/>
  <c r="AU1345" i="1"/>
  <c r="AU1361" i="1"/>
  <c r="AU1377" i="1"/>
  <c r="AU1447" i="1"/>
  <c r="AU1555" i="1"/>
  <c r="AU1585" i="1"/>
  <c r="AU1615" i="1"/>
  <c r="AU1642" i="1"/>
  <c r="AU1673" i="1"/>
  <c r="AU1704" i="1"/>
  <c r="AU1735" i="1"/>
  <c r="AU1762" i="1"/>
  <c r="AU1793" i="1"/>
  <c r="AU1824" i="1"/>
  <c r="AU1855" i="1"/>
  <c r="AU2081" i="1"/>
  <c r="AU2138" i="1"/>
  <c r="AU2222" i="1"/>
  <c r="AU2702" i="1"/>
  <c r="AU2144" i="1"/>
  <c r="AU1102" i="1"/>
  <c r="AU1166" i="1"/>
  <c r="AU1039" i="1"/>
  <c r="AU1119" i="1"/>
  <c r="AU1183" i="1"/>
  <c r="AU1231" i="1"/>
  <c r="AU1279" i="1"/>
  <c r="AU1394" i="1"/>
  <c r="AU1419" i="1"/>
  <c r="AU1473" i="1"/>
  <c r="AU1502" i="1"/>
  <c r="AU1529" i="1"/>
  <c r="AU1559" i="1"/>
  <c r="AU1886" i="1"/>
  <c r="AU1914" i="1"/>
  <c r="AU1945" i="1"/>
  <c r="AU1976" i="1"/>
  <c r="AU2007" i="1"/>
  <c r="AU2034" i="1"/>
  <c r="AU2082" i="1"/>
  <c r="AU2142" i="1"/>
  <c r="AU2223" i="1"/>
  <c r="AU2718" i="1"/>
  <c r="AU2008" i="1"/>
  <c r="AU1037" i="1"/>
  <c r="AU1054" i="1"/>
  <c r="AU1182" i="1"/>
  <c r="AU1071" i="1"/>
  <c r="AU1215" i="1"/>
  <c r="AU1343" i="1"/>
  <c r="AU1026" i="1"/>
  <c r="AU1042" i="1"/>
  <c r="AU1058" i="1"/>
  <c r="AU1074" i="1"/>
  <c r="AU1090" i="1"/>
  <c r="AU1106" i="1"/>
  <c r="AU1122" i="1"/>
  <c r="AU1138" i="1"/>
  <c r="AU1154" i="1"/>
  <c r="AU1170" i="1"/>
  <c r="AU1186" i="1"/>
  <c r="AU1202" i="1"/>
  <c r="AU1218" i="1"/>
  <c r="AU1234" i="1"/>
  <c r="AU1250" i="1"/>
  <c r="AU1266" i="1"/>
  <c r="AU1282" i="1"/>
  <c r="AU1298" i="1"/>
  <c r="AU1314" i="1"/>
  <c r="AU1330" i="1"/>
  <c r="AU1346" i="1"/>
  <c r="AU1362" i="1"/>
  <c r="AU1378" i="1"/>
  <c r="AU1422" i="1"/>
  <c r="AU1448" i="1"/>
  <c r="AU1503" i="1"/>
  <c r="AU1586" i="1"/>
  <c r="AU1616" i="1"/>
  <c r="AU1646" i="1"/>
  <c r="AU1674" i="1"/>
  <c r="AU1705" i="1"/>
  <c r="AU1736" i="1"/>
  <c r="AU1767" i="1"/>
  <c r="AU1794" i="1"/>
  <c r="AU1825" i="1"/>
  <c r="AU1856" i="1"/>
  <c r="AU1887" i="1"/>
  <c r="AU2087" i="1"/>
  <c r="AU2143" i="1"/>
  <c r="AU2231" i="1"/>
  <c r="AU2734" i="1"/>
  <c r="AU2239" i="1"/>
  <c r="AU2255" i="1"/>
  <c r="AU2271" i="1"/>
  <c r="AU2287" i="1"/>
  <c r="AU2303" i="1"/>
  <c r="AU2319" i="1"/>
  <c r="AU2335" i="1"/>
  <c r="AU2351" i="1"/>
  <c r="AU2367" i="1"/>
  <c r="AU2383" i="1"/>
  <c r="AU2399" i="1"/>
  <c r="AU2415" i="1"/>
  <c r="AU2431" i="1"/>
  <c r="AU2447" i="1"/>
  <c r="AU2463" i="1"/>
  <c r="AU2479" i="1"/>
  <c r="AU2495" i="1"/>
  <c r="AU2511" i="1"/>
  <c r="AU2527" i="1"/>
  <c r="AU2543" i="1"/>
  <c r="AU2559" i="1"/>
  <c r="AU2575" i="1"/>
  <c r="AU2591" i="1"/>
  <c r="AU2607" i="1"/>
  <c r="AU2623" i="1"/>
  <c r="AU2639" i="1"/>
  <c r="AU2655" i="1"/>
  <c r="AU2671" i="1"/>
  <c r="AU2687" i="1"/>
  <c r="AU2703" i="1"/>
  <c r="AU2719" i="1"/>
  <c r="AU2735" i="1"/>
  <c r="AU2208" i="1"/>
  <c r="AU2224" i="1"/>
  <c r="AU2240" i="1"/>
  <c r="AU2256" i="1"/>
  <c r="AU2272" i="1"/>
  <c r="AU2288" i="1"/>
  <c r="AU2304" i="1"/>
  <c r="AU2320" i="1"/>
  <c r="AU2336" i="1"/>
  <c r="AU2352" i="1"/>
  <c r="AU2368" i="1"/>
  <c r="AU2384" i="1"/>
  <c r="AU2400" i="1"/>
  <c r="AU2416" i="1"/>
  <c r="AU2432" i="1"/>
  <c r="AU2448" i="1"/>
  <c r="AU2464" i="1"/>
  <c r="AU2480" i="1"/>
  <c r="AU2496" i="1"/>
  <c r="AU2512" i="1"/>
  <c r="AU2528" i="1"/>
  <c r="AU2544" i="1"/>
  <c r="AU2560" i="1"/>
  <c r="AU2576" i="1"/>
  <c r="AU2592" i="1"/>
  <c r="AU2608" i="1"/>
  <c r="AU2624" i="1"/>
  <c r="AU2640" i="1"/>
  <c r="AU2656" i="1"/>
  <c r="AU2672" i="1"/>
  <c r="AU2688" i="1"/>
  <c r="AU2704" i="1"/>
  <c r="AU2720" i="1"/>
  <c r="AU2736" i="1"/>
  <c r="AU2177" i="1"/>
  <c r="AU2193" i="1"/>
  <c r="AU2209" i="1"/>
  <c r="AU2225" i="1"/>
  <c r="AU2241" i="1"/>
  <c r="AU2257" i="1"/>
  <c r="AU2273" i="1"/>
  <c r="AU2289" i="1"/>
  <c r="AU2305" i="1"/>
  <c r="AU2321" i="1"/>
  <c r="AU2337" i="1"/>
  <c r="AU2353" i="1"/>
  <c r="AU2369" i="1"/>
  <c r="AU2385" i="1"/>
  <c r="AU2401" i="1"/>
  <c r="AU2417" i="1"/>
  <c r="AU2433" i="1"/>
  <c r="AU2449" i="1"/>
  <c r="AU2465" i="1"/>
  <c r="AU2481" i="1"/>
  <c r="AU2497" i="1"/>
  <c r="AU2513" i="1"/>
  <c r="AU2529" i="1"/>
  <c r="AU2545" i="1"/>
  <c r="AU2561" i="1"/>
  <c r="AU2577" i="1"/>
  <c r="AU2593" i="1"/>
  <c r="AU2609" i="1"/>
  <c r="AU2625" i="1"/>
  <c r="AU2641" i="1"/>
  <c r="AU2657" i="1"/>
  <c r="AU2673" i="1"/>
  <c r="AU2689" i="1"/>
  <c r="AU2705" i="1"/>
  <c r="AU2721" i="1"/>
  <c r="AU2737" i="1"/>
  <c r="AU2178" i="1"/>
  <c r="AU2194" i="1"/>
  <c r="AU2210" i="1"/>
  <c r="AU2226" i="1"/>
  <c r="AU2242" i="1"/>
  <c r="AU2258" i="1"/>
  <c r="AU2274" i="1"/>
  <c r="AU2290" i="1"/>
  <c r="AU2306" i="1"/>
  <c r="AU2322" i="1"/>
  <c r="AU2338" i="1"/>
  <c r="AU2354" i="1"/>
  <c r="AU2370" i="1"/>
  <c r="AU2386" i="1"/>
  <c r="AU2402" i="1"/>
  <c r="AU2418" i="1"/>
  <c r="AU2434" i="1"/>
  <c r="AU2450" i="1"/>
  <c r="AU2466" i="1"/>
  <c r="AU2482" i="1"/>
  <c r="AU2498" i="1"/>
  <c r="AU2514" i="1"/>
  <c r="AU2530" i="1"/>
  <c r="AU2546" i="1"/>
  <c r="AU2562" i="1"/>
  <c r="AU2578" i="1"/>
  <c r="AU2594" i="1"/>
  <c r="AU2610" i="1"/>
  <c r="AU2626" i="1"/>
  <c r="AU2642" i="1"/>
  <c r="AU2658" i="1"/>
  <c r="AU2674" i="1"/>
  <c r="AU2690" i="1"/>
  <c r="AU2706" i="1"/>
  <c r="AU2722" i="1"/>
  <c r="AU2738" i="1"/>
  <c r="AU1635" i="1"/>
  <c r="AU1651" i="1"/>
  <c r="AU1667" i="1"/>
  <c r="AU1683" i="1"/>
  <c r="AU1699" i="1"/>
  <c r="AU1715" i="1"/>
  <c r="AU1731" i="1"/>
  <c r="AU1747" i="1"/>
  <c r="AU1763" i="1"/>
  <c r="AU1779" i="1"/>
  <c r="AU1795" i="1"/>
  <c r="AU1811" i="1"/>
  <c r="AU1827" i="1"/>
  <c r="AU1843" i="1"/>
  <c r="AU1859" i="1"/>
  <c r="AU1875" i="1"/>
  <c r="AU1891" i="1"/>
  <c r="AU1907" i="1"/>
  <c r="AU1923" i="1"/>
  <c r="AU1939" i="1"/>
  <c r="AU1955" i="1"/>
  <c r="AU1971" i="1"/>
  <c r="AU1987" i="1"/>
  <c r="AU2003" i="1"/>
  <c r="AU2019" i="1"/>
  <c r="AU2035" i="1"/>
  <c r="AU2051" i="1"/>
  <c r="AU2067" i="1"/>
  <c r="AU2083" i="1"/>
  <c r="AU2099" i="1"/>
  <c r="AU2115" i="1"/>
  <c r="AU2131" i="1"/>
  <c r="AU2147" i="1"/>
  <c r="AU2163" i="1"/>
  <c r="AU2179" i="1"/>
  <c r="AU2195" i="1"/>
  <c r="AU2211" i="1"/>
  <c r="AU2227" i="1"/>
  <c r="AU2243" i="1"/>
  <c r="AU2259" i="1"/>
  <c r="AU2275" i="1"/>
  <c r="AU2291" i="1"/>
  <c r="AU2307" i="1"/>
  <c r="AU2323" i="1"/>
  <c r="AU2339" i="1"/>
  <c r="AU2355" i="1"/>
  <c r="AU2371" i="1"/>
  <c r="AU2387" i="1"/>
  <c r="AU2403" i="1"/>
  <c r="AU2419" i="1"/>
  <c r="AU2435" i="1"/>
  <c r="AU2451" i="1"/>
  <c r="AU2467" i="1"/>
  <c r="AU2483" i="1"/>
  <c r="AU2499" i="1"/>
  <c r="AU2515" i="1"/>
  <c r="AU2531" i="1"/>
  <c r="AU2547" i="1"/>
  <c r="AU2563" i="1"/>
  <c r="AU2579" i="1"/>
  <c r="AU2595" i="1"/>
  <c r="AU2611" i="1"/>
  <c r="AU2627" i="1"/>
  <c r="AU2643" i="1"/>
  <c r="AU2659" i="1"/>
  <c r="AU2675" i="1"/>
  <c r="AU2691" i="1"/>
  <c r="AU2707" i="1"/>
  <c r="AU2723" i="1"/>
  <c r="AU2739" i="1"/>
  <c r="AU1444" i="1"/>
  <c r="AU1460" i="1"/>
  <c r="AU1476" i="1"/>
  <c r="AU1492" i="1"/>
  <c r="AU1508" i="1"/>
  <c r="AU1524" i="1"/>
  <c r="AU1540" i="1"/>
  <c r="AU1556" i="1"/>
  <c r="AU1572" i="1"/>
  <c r="AU1588" i="1"/>
  <c r="AU1604" i="1"/>
  <c r="AU1620" i="1"/>
  <c r="AU1636" i="1"/>
  <c r="AU1652" i="1"/>
  <c r="AU1668" i="1"/>
  <c r="AU1684" i="1"/>
  <c r="AU1700" i="1"/>
  <c r="AU1716" i="1"/>
  <c r="AU1732" i="1"/>
  <c r="AU1748" i="1"/>
  <c r="AU1764" i="1"/>
  <c r="AU1780" i="1"/>
  <c r="AU1796" i="1"/>
  <c r="AU1812" i="1"/>
  <c r="AU1828" i="1"/>
  <c r="AU1844" i="1"/>
  <c r="AU1860" i="1"/>
  <c r="AU1876" i="1"/>
  <c r="AU1892" i="1"/>
  <c r="AU1908" i="1"/>
  <c r="AU1924" i="1"/>
  <c r="AU1940" i="1"/>
  <c r="AU1956" i="1"/>
  <c r="AU1972" i="1"/>
  <c r="AU1988" i="1"/>
  <c r="AU2004" i="1"/>
  <c r="AU2020" i="1"/>
  <c r="AU2036" i="1"/>
  <c r="AU2052" i="1"/>
  <c r="AU2068" i="1"/>
  <c r="AU2084" i="1"/>
  <c r="AU2100" i="1"/>
  <c r="AU2116" i="1"/>
  <c r="AU2132" i="1"/>
  <c r="AU2148" i="1"/>
  <c r="AU2164" i="1"/>
  <c r="AU2180" i="1"/>
  <c r="AU2196" i="1"/>
  <c r="AU2212" i="1"/>
  <c r="AU2228" i="1"/>
  <c r="AU2244" i="1"/>
  <c r="AU2260" i="1"/>
  <c r="AU2276" i="1"/>
  <c r="AU2292" i="1"/>
  <c r="AU2308" i="1"/>
  <c r="AU2324" i="1"/>
  <c r="AU2340" i="1"/>
  <c r="AU2356" i="1"/>
  <c r="AU2372" i="1"/>
  <c r="AU2388" i="1"/>
  <c r="AU2404" i="1"/>
  <c r="AU2420" i="1"/>
  <c r="AU2436" i="1"/>
  <c r="AU2452" i="1"/>
  <c r="AU2468" i="1"/>
  <c r="AU2484" i="1"/>
  <c r="AU2500" i="1"/>
  <c r="AU2516" i="1"/>
  <c r="AU2532" i="1"/>
  <c r="AU2548" i="1"/>
  <c r="AU2564" i="1"/>
  <c r="AU2580" i="1"/>
  <c r="AU2596" i="1"/>
  <c r="AU2612" i="1"/>
  <c r="AU2628" i="1"/>
  <c r="AU2644" i="1"/>
  <c r="AU2660" i="1"/>
  <c r="AU2676" i="1"/>
  <c r="AU2692" i="1"/>
  <c r="AU2708" i="1"/>
  <c r="AU2724" i="1"/>
  <c r="AU2740" i="1"/>
  <c r="AU1397" i="1"/>
  <c r="AU1413" i="1"/>
  <c r="AU1429" i="1"/>
  <c r="AU1445" i="1"/>
  <c r="AU1461" i="1"/>
  <c r="AU1477" i="1"/>
  <c r="AU1493" i="1"/>
  <c r="AU1509" i="1"/>
  <c r="AU1525" i="1"/>
  <c r="AU1541" i="1"/>
  <c r="AU1557" i="1"/>
  <c r="AU1573" i="1"/>
  <c r="AU1589" i="1"/>
  <c r="AU1605" i="1"/>
  <c r="AU1621" i="1"/>
  <c r="AU1637" i="1"/>
  <c r="AU1653" i="1"/>
  <c r="AU1669" i="1"/>
  <c r="AU1685" i="1"/>
  <c r="AU1701" i="1"/>
  <c r="AU1717" i="1"/>
  <c r="AU1733" i="1"/>
  <c r="AU1749" i="1"/>
  <c r="AU1765" i="1"/>
  <c r="AU1781" i="1"/>
  <c r="AU1797" i="1"/>
  <c r="AU1813" i="1"/>
  <c r="AU1829" i="1"/>
  <c r="AU1845" i="1"/>
  <c r="AU1861" i="1"/>
  <c r="AU1877" i="1"/>
  <c r="AU1893" i="1"/>
  <c r="AU1909" i="1"/>
  <c r="AU1925" i="1"/>
  <c r="AU1941" i="1"/>
  <c r="AU1957" i="1"/>
  <c r="AU1973" i="1"/>
  <c r="AU1989" i="1"/>
  <c r="AU2005" i="1"/>
  <c r="AU2021" i="1"/>
  <c r="AU2037" i="1"/>
  <c r="AU2053" i="1"/>
  <c r="AU2069" i="1"/>
  <c r="AU2085" i="1"/>
  <c r="AU2101" i="1"/>
  <c r="AU2117" i="1"/>
  <c r="AU2133" i="1"/>
  <c r="AU2149" i="1"/>
  <c r="AU2165" i="1"/>
  <c r="AU2181" i="1"/>
  <c r="AU2197" i="1"/>
  <c r="AU2213" i="1"/>
  <c r="AU2229" i="1"/>
  <c r="AU2245" i="1"/>
  <c r="AU2261" i="1"/>
  <c r="AU2277" i="1"/>
  <c r="AU2293" i="1"/>
  <c r="AU2309" i="1"/>
  <c r="AU2325" i="1"/>
  <c r="AU2341" i="1"/>
  <c r="AU2357" i="1"/>
  <c r="AU2373" i="1"/>
  <c r="AU2389" i="1"/>
  <c r="AU2405" i="1"/>
  <c r="AU2421" i="1"/>
  <c r="AU2437" i="1"/>
  <c r="AU2453" i="1"/>
  <c r="AU2469" i="1"/>
  <c r="AU2485" i="1"/>
  <c r="AU2501" i="1"/>
  <c r="AU2517" i="1"/>
  <c r="AU2533" i="1"/>
  <c r="AU2549" i="1"/>
  <c r="AU2565" i="1"/>
  <c r="AU2581" i="1"/>
  <c r="AU2597" i="1"/>
  <c r="AU2613" i="1"/>
  <c r="AU2629" i="1"/>
  <c r="AU2645" i="1"/>
  <c r="AU2661" i="1"/>
  <c r="AU2677" i="1"/>
  <c r="AU2693" i="1"/>
  <c r="AU2709" i="1"/>
  <c r="AU2725" i="1"/>
  <c r="AU2741" i="1"/>
  <c r="AU1398" i="1"/>
  <c r="AU1414" i="1"/>
  <c r="AU1430" i="1"/>
  <c r="AU1446" i="1"/>
  <c r="AU1462" i="1"/>
  <c r="AU1478" i="1"/>
  <c r="AU1494" i="1"/>
  <c r="AU1510" i="1"/>
  <c r="AU1526" i="1"/>
  <c r="AU1542" i="1"/>
  <c r="AU1558" i="1"/>
  <c r="AU1574" i="1"/>
  <c r="AU1590" i="1"/>
  <c r="AU1606" i="1"/>
  <c r="AU1622" i="1"/>
  <c r="AU1638" i="1"/>
  <c r="AU1654" i="1"/>
  <c r="AU1670" i="1"/>
  <c r="AU1686" i="1"/>
  <c r="AU1702" i="1"/>
  <c r="AU1718" i="1"/>
  <c r="AU1734" i="1"/>
  <c r="AU1750" i="1"/>
  <c r="AU1766" i="1"/>
  <c r="AU1782" i="1"/>
  <c r="AU1798" i="1"/>
  <c r="AU1814" i="1"/>
  <c r="AU1830" i="1"/>
  <c r="AU1846" i="1"/>
  <c r="AU1862" i="1"/>
  <c r="AU1878" i="1"/>
  <c r="AU1894" i="1"/>
  <c r="AU1910" i="1"/>
  <c r="AU1926" i="1"/>
  <c r="AU1942" i="1"/>
  <c r="AU1958" i="1"/>
  <c r="AU1974" i="1"/>
  <c r="AU1990" i="1"/>
  <c r="AU2006" i="1"/>
  <c r="AU2022" i="1"/>
  <c r="AU2038" i="1"/>
  <c r="AU2054" i="1"/>
  <c r="AU2070" i="1"/>
  <c r="AU2086" i="1"/>
  <c r="AU2102" i="1"/>
  <c r="AU2118" i="1"/>
  <c r="AU2134" i="1"/>
  <c r="AU2150" i="1"/>
  <c r="AU2166" i="1"/>
  <c r="AU2182" i="1"/>
  <c r="AU2198" i="1"/>
  <c r="AU2214" i="1"/>
  <c r="AU2230" i="1"/>
  <c r="AU2246" i="1"/>
  <c r="AU2262" i="1"/>
  <c r="AU2278" i="1"/>
  <c r="AU2294" i="1"/>
  <c r="AU2310" i="1"/>
  <c r="AU2326" i="1"/>
  <c r="AU2342" i="1"/>
  <c r="AU2358" i="1"/>
  <c r="AU2374" i="1"/>
  <c r="AU2390" i="1"/>
  <c r="AU2406" i="1"/>
  <c r="AU2422" i="1"/>
  <c r="AU2438" i="1"/>
  <c r="AU2454" i="1"/>
  <c r="AU2470" i="1"/>
  <c r="AU2486" i="1"/>
  <c r="AU2502" i="1"/>
  <c r="AU2518" i="1"/>
  <c r="AU2534" i="1"/>
  <c r="AU2550" i="1"/>
  <c r="AU2566" i="1"/>
  <c r="AU2582" i="1"/>
  <c r="AU2598" i="1"/>
  <c r="AU2614" i="1"/>
  <c r="AU2630" i="1"/>
  <c r="AU2646" i="1"/>
  <c r="AU2662" i="1"/>
  <c r="AU2678" i="1"/>
  <c r="AU2694" i="1"/>
  <c r="AU2710" i="1"/>
  <c r="AU2726" i="1"/>
  <c r="AU2742" i="1"/>
  <c r="AU2247" i="1"/>
  <c r="AU2263" i="1"/>
  <c r="AU2279" i="1"/>
  <c r="AU2295" i="1"/>
  <c r="AU2311" i="1"/>
  <c r="AU2327" i="1"/>
  <c r="AU2343" i="1"/>
  <c r="AU2359" i="1"/>
  <c r="AU2375" i="1"/>
  <c r="AU2391" i="1"/>
  <c r="AU2407" i="1"/>
  <c r="AU2423" i="1"/>
  <c r="AU2439" i="1"/>
  <c r="AU2455" i="1"/>
  <c r="AU2471" i="1"/>
  <c r="AU2487" i="1"/>
  <c r="AU2503" i="1"/>
  <c r="AU2519" i="1"/>
  <c r="AU2535" i="1"/>
  <c r="AU2551" i="1"/>
  <c r="AU2567" i="1"/>
  <c r="AU2583" i="1"/>
  <c r="AU2599" i="1"/>
  <c r="AU2615" i="1"/>
  <c r="AU2631" i="1"/>
  <c r="AU2647" i="1"/>
  <c r="AU2663" i="1"/>
  <c r="AU2679" i="1"/>
  <c r="AU2695" i="1"/>
  <c r="AU2711" i="1"/>
  <c r="AU2727" i="1"/>
  <c r="AU2743" i="1"/>
  <c r="AU2216" i="1"/>
  <c r="AU2232" i="1"/>
  <c r="AU2248" i="1"/>
  <c r="AU2264" i="1"/>
  <c r="AU2280" i="1"/>
  <c r="AU2296" i="1"/>
  <c r="AU2312" i="1"/>
  <c r="AU2328" i="1"/>
  <c r="AU2344" i="1"/>
  <c r="AU2360" i="1"/>
  <c r="AU2376" i="1"/>
  <c r="AU2392" i="1"/>
  <c r="AU2408" i="1"/>
  <c r="AU2424" i="1"/>
  <c r="AU2440" i="1"/>
  <c r="AU2456" i="1"/>
  <c r="AU2472" i="1"/>
  <c r="AU2488" i="1"/>
  <c r="AU2504" i="1"/>
  <c r="AU2520" i="1"/>
  <c r="AU2536" i="1"/>
  <c r="AU2552" i="1"/>
  <c r="AU2568" i="1"/>
  <c r="AU2584" i="1"/>
  <c r="AU2600" i="1"/>
  <c r="AU2616" i="1"/>
  <c r="AU2632" i="1"/>
  <c r="AU2648" i="1"/>
  <c r="AU2664" i="1"/>
  <c r="AU2680" i="1"/>
  <c r="AU2696" i="1"/>
  <c r="AU2712" i="1"/>
  <c r="AU2728" i="1"/>
  <c r="AU2744" i="1"/>
  <c r="AU2185" i="1"/>
  <c r="AU2201" i="1"/>
  <c r="AU2217" i="1"/>
  <c r="AU2233" i="1"/>
  <c r="AU2249" i="1"/>
  <c r="AU2265" i="1"/>
  <c r="AU2281" i="1"/>
  <c r="AU2297" i="1"/>
  <c r="AU2313" i="1"/>
  <c r="AU2329" i="1"/>
  <c r="AU2345" i="1"/>
  <c r="AU2361" i="1"/>
  <c r="AU2377" i="1"/>
  <c r="AU2393" i="1"/>
  <c r="AU2409" i="1"/>
  <c r="AU2425" i="1"/>
  <c r="AU2441" i="1"/>
  <c r="AU2457" i="1"/>
  <c r="AU2473" i="1"/>
  <c r="AU2489" i="1"/>
  <c r="AU2505" i="1"/>
  <c r="AU2521" i="1"/>
  <c r="AU2537" i="1"/>
  <c r="AU2553" i="1"/>
  <c r="AU2569" i="1"/>
  <c r="AU2585" i="1"/>
  <c r="AU2601" i="1"/>
  <c r="AU2617" i="1"/>
  <c r="AU2633" i="1"/>
  <c r="AU2649" i="1"/>
  <c r="AU2665" i="1"/>
  <c r="AU2681" i="1"/>
  <c r="AU2697" i="1"/>
  <c r="AU2713" i="1"/>
  <c r="AU2729" i="1"/>
  <c r="AU2745" i="1"/>
  <c r="AU2186" i="1"/>
  <c r="AU2202" i="1"/>
  <c r="AU2218" i="1"/>
  <c r="AU2234" i="1"/>
  <c r="AU2250" i="1"/>
  <c r="AU2266" i="1"/>
  <c r="AU2282" i="1"/>
  <c r="AU2298" i="1"/>
  <c r="AU2314" i="1"/>
  <c r="AU2330" i="1"/>
  <c r="AU2346" i="1"/>
  <c r="AU2362" i="1"/>
  <c r="AU2378" i="1"/>
  <c r="AU2394" i="1"/>
  <c r="AU2410" i="1"/>
  <c r="AU2426" i="1"/>
  <c r="AU2442" i="1"/>
  <c r="AU2458" i="1"/>
  <c r="AU2474" i="1"/>
  <c r="AU2490" i="1"/>
  <c r="AU2506" i="1"/>
  <c r="AU2522" i="1"/>
  <c r="AU2538" i="1"/>
  <c r="AU2554" i="1"/>
  <c r="AU2570" i="1"/>
  <c r="AU2586" i="1"/>
  <c r="AU2602" i="1"/>
  <c r="AU2618" i="1"/>
  <c r="AU2634" i="1"/>
  <c r="AU2650" i="1"/>
  <c r="AU2666" i="1"/>
  <c r="AU2682" i="1"/>
  <c r="AU2698" i="1"/>
  <c r="AU2714" i="1"/>
  <c r="AU2730" i="1"/>
  <c r="AU2746" i="1"/>
  <c r="AU1499" i="1"/>
  <c r="AU1515" i="1"/>
  <c r="AU1531" i="1"/>
  <c r="AU1547" i="1"/>
  <c r="AU1563" i="1"/>
  <c r="AU1579" i="1"/>
  <c r="AU1595" i="1"/>
  <c r="AU1611" i="1"/>
  <c r="AU1627" i="1"/>
  <c r="AU1643" i="1"/>
  <c r="AU1659" i="1"/>
  <c r="AU1675" i="1"/>
  <c r="AU1691" i="1"/>
  <c r="AU1707" i="1"/>
  <c r="AU1723" i="1"/>
  <c r="AU1739" i="1"/>
  <c r="AU1755" i="1"/>
  <c r="AU1771" i="1"/>
  <c r="AU1787" i="1"/>
  <c r="AU1803" i="1"/>
  <c r="AU1819" i="1"/>
  <c r="AU1835" i="1"/>
  <c r="AU1851" i="1"/>
  <c r="AU1867" i="1"/>
  <c r="AU1883" i="1"/>
  <c r="AU1899" i="1"/>
  <c r="AU1915" i="1"/>
  <c r="AU1931" i="1"/>
  <c r="AU1947" i="1"/>
  <c r="AU1963" i="1"/>
  <c r="AU1979" i="1"/>
  <c r="AU1995" i="1"/>
  <c r="AU2011" i="1"/>
  <c r="AU2027" i="1"/>
  <c r="AU2043" i="1"/>
  <c r="AU2059" i="1"/>
  <c r="AU2075" i="1"/>
  <c r="AU2091" i="1"/>
  <c r="AU2107" i="1"/>
  <c r="AU2123" i="1"/>
  <c r="AU2139" i="1"/>
  <c r="AU2155" i="1"/>
  <c r="AU2171" i="1"/>
  <c r="AU2187" i="1"/>
  <c r="AU2203" i="1"/>
  <c r="AU2219" i="1"/>
  <c r="AU2235" i="1"/>
  <c r="AU2251" i="1"/>
  <c r="AU2267" i="1"/>
  <c r="AU2283" i="1"/>
  <c r="AU2299" i="1"/>
  <c r="AU2315" i="1"/>
  <c r="AU2331" i="1"/>
  <c r="AU2347" i="1"/>
  <c r="AU2363" i="1"/>
  <c r="AU2379" i="1"/>
  <c r="AU2395" i="1"/>
  <c r="AU2411" i="1"/>
  <c r="AU2427" i="1"/>
  <c r="AU2443" i="1"/>
  <c r="AU2459" i="1"/>
  <c r="AU2475" i="1"/>
  <c r="AU2491" i="1"/>
  <c r="AU2507" i="1"/>
  <c r="AU2523" i="1"/>
  <c r="AU2539" i="1"/>
  <c r="AU2555" i="1"/>
  <c r="AU2571" i="1"/>
  <c r="AU2587" i="1"/>
  <c r="AU2603" i="1"/>
  <c r="AU2619" i="1"/>
  <c r="AU2635" i="1"/>
  <c r="AU2651" i="1"/>
  <c r="AU2667" i="1"/>
  <c r="AU2683" i="1"/>
  <c r="AU2699" i="1"/>
  <c r="AU2715" i="1"/>
  <c r="AU2731" i="1"/>
  <c r="AU2747" i="1"/>
  <c r="AU1404" i="1"/>
  <c r="AU1420" i="1"/>
  <c r="AU1436" i="1"/>
  <c r="AU1452" i="1"/>
  <c r="AU1468" i="1"/>
  <c r="AU1484" i="1"/>
  <c r="AU1500" i="1"/>
  <c r="AU1516" i="1"/>
  <c r="AU1532" i="1"/>
  <c r="AU1548" i="1"/>
  <c r="AU1564" i="1"/>
  <c r="AU1580" i="1"/>
  <c r="AU1596" i="1"/>
  <c r="AU1612" i="1"/>
  <c r="AU1628" i="1"/>
  <c r="AU1644" i="1"/>
  <c r="AU1660" i="1"/>
  <c r="AU1676" i="1"/>
  <c r="AU1692" i="1"/>
  <c r="AU1708" i="1"/>
  <c r="AU1724" i="1"/>
  <c r="AU1740" i="1"/>
  <c r="AU1756" i="1"/>
  <c r="AU1772" i="1"/>
  <c r="AU1788" i="1"/>
  <c r="AU1804" i="1"/>
  <c r="AU1820" i="1"/>
  <c r="AU1836" i="1"/>
  <c r="AU1852" i="1"/>
  <c r="AU1868" i="1"/>
  <c r="AU1884" i="1"/>
  <c r="AU1900" i="1"/>
  <c r="AU1916" i="1"/>
  <c r="AU1932" i="1"/>
  <c r="AU1948" i="1"/>
  <c r="AU1964" i="1"/>
  <c r="AU1980" i="1"/>
  <c r="AU1996" i="1"/>
  <c r="AU2012" i="1"/>
  <c r="AU2028" i="1"/>
  <c r="AU2044" i="1"/>
  <c r="AU2060" i="1"/>
  <c r="AU2076" i="1"/>
  <c r="AU2092" i="1"/>
  <c r="AU2108" i="1"/>
  <c r="AU2124" i="1"/>
  <c r="AU2140" i="1"/>
  <c r="AU2156" i="1"/>
  <c r="AU2172" i="1"/>
  <c r="AU2188" i="1"/>
  <c r="AU2204" i="1"/>
  <c r="AU2220" i="1"/>
  <c r="AU2236" i="1"/>
  <c r="AU2252" i="1"/>
  <c r="AU2268" i="1"/>
  <c r="AU2284" i="1"/>
  <c r="AU2300" i="1"/>
  <c r="AU2316" i="1"/>
  <c r="AU2332" i="1"/>
  <c r="AU2348" i="1"/>
  <c r="AU2364" i="1"/>
  <c r="AU2380" i="1"/>
  <c r="AU2396" i="1"/>
  <c r="AU2412" i="1"/>
  <c r="AU2428" i="1"/>
  <c r="AU2444" i="1"/>
  <c r="AU2460" i="1"/>
  <c r="AU2476" i="1"/>
  <c r="AU2492" i="1"/>
  <c r="AU2508" i="1"/>
  <c r="AU2524" i="1"/>
  <c r="AU2540" i="1"/>
  <c r="AU2556" i="1"/>
  <c r="AU2572" i="1"/>
  <c r="AU2588" i="1"/>
  <c r="AU2604" i="1"/>
  <c r="AU2620" i="1"/>
  <c r="AU2636" i="1"/>
  <c r="AU2652" i="1"/>
  <c r="AU2668" i="1"/>
  <c r="AU2684" i="1"/>
  <c r="AU2700" i="1"/>
  <c r="AU2716" i="1"/>
  <c r="AU2732" i="1"/>
  <c r="AU2748" i="1"/>
  <c r="AU1405" i="1"/>
  <c r="AU1421" i="1"/>
  <c r="AU1437" i="1"/>
  <c r="AU1453" i="1"/>
  <c r="AU1469" i="1"/>
  <c r="AU1485" i="1"/>
  <c r="AU1501" i="1"/>
  <c r="AU1517" i="1"/>
  <c r="AU1533" i="1"/>
  <c r="AU1549" i="1"/>
  <c r="AU1565" i="1"/>
  <c r="AU1581" i="1"/>
  <c r="AU1597" i="1"/>
  <c r="AU1613" i="1"/>
  <c r="AU1629" i="1"/>
  <c r="AU1645" i="1"/>
  <c r="AU1661" i="1"/>
  <c r="AU1677" i="1"/>
  <c r="AU1693" i="1"/>
  <c r="AU1709" i="1"/>
  <c r="AU1725" i="1"/>
  <c r="AU1741" i="1"/>
  <c r="AU1757" i="1"/>
  <c r="AU1773" i="1"/>
  <c r="AU1789" i="1"/>
  <c r="AU1805" i="1"/>
  <c r="AU1821" i="1"/>
  <c r="AU1837" i="1"/>
  <c r="AU1853" i="1"/>
  <c r="AU1869" i="1"/>
  <c r="AU1885" i="1"/>
  <c r="AU1901" i="1"/>
  <c r="AU1917" i="1"/>
  <c r="AU1933" i="1"/>
  <c r="AU1949" i="1"/>
  <c r="AU1965" i="1"/>
  <c r="AU1981" i="1"/>
  <c r="AU1997" i="1"/>
  <c r="AU2013" i="1"/>
  <c r="AU2029" i="1"/>
  <c r="AU2045" i="1"/>
  <c r="AU2061" i="1"/>
  <c r="AU2077" i="1"/>
  <c r="AU2093" i="1"/>
  <c r="AU2109" i="1"/>
  <c r="AU2125" i="1"/>
  <c r="AU2141" i="1"/>
  <c r="AU2157" i="1"/>
  <c r="AU2173" i="1"/>
  <c r="AU2189" i="1"/>
  <c r="AU2205" i="1"/>
  <c r="AU2221" i="1"/>
  <c r="AU2237" i="1"/>
  <c r="AU2253" i="1"/>
  <c r="AU2269" i="1"/>
  <c r="AU2285" i="1"/>
  <c r="AU2301" i="1"/>
  <c r="AU2317" i="1"/>
  <c r="AU2333" i="1"/>
  <c r="AU2349" i="1"/>
  <c r="AU2365" i="1"/>
  <c r="AU2381" i="1"/>
  <c r="AU2397" i="1"/>
  <c r="AU2413" i="1"/>
  <c r="AU2429" i="1"/>
  <c r="AU2445" i="1"/>
  <c r="AU2461" i="1"/>
  <c r="AU2477" i="1"/>
  <c r="AU2493" i="1"/>
  <c r="AU2509" i="1"/>
  <c r="AU2525" i="1"/>
  <c r="AU2541" i="1"/>
  <c r="AU2557" i="1"/>
  <c r="AU2573" i="1"/>
  <c r="AU2589" i="1"/>
  <c r="AU2605" i="1"/>
  <c r="AU2621" i="1"/>
  <c r="AU2637" i="1"/>
  <c r="AU2653" i="1"/>
  <c r="AU2669" i="1"/>
  <c r="AU2685" i="1"/>
  <c r="AU2701" i="1"/>
  <c r="AU2717" i="1"/>
  <c r="AU2733" i="1"/>
  <c r="AU2749" i="1"/>
  <c r="AU1024" i="1"/>
  <c r="AU1022" i="1"/>
  <c r="AU1008" i="1"/>
  <c r="AU1010" i="1"/>
  <c r="AU1009" i="1"/>
  <c r="AU1011" i="1"/>
  <c r="AU1012" i="1"/>
  <c r="AU1005" i="1"/>
  <c r="AU1013" i="1"/>
  <c r="AU1006" i="1"/>
  <c r="AU1014" i="1"/>
  <c r="AU1015" i="1"/>
  <c r="AU1016" i="1"/>
  <c r="AU1017" i="1"/>
  <c r="AU1007" i="1"/>
  <c r="AU1002" i="1"/>
  <c r="AU1018" i="1"/>
  <c r="AU1003" i="1"/>
  <c r="AU1019" i="1"/>
  <c r="AU1004" i="1"/>
  <c r="AU1020" i="1"/>
  <c r="AU1001" i="1"/>
  <c r="AU984" i="1"/>
  <c r="AU985" i="1"/>
  <c r="AU986" i="1"/>
  <c r="AU987" i="1"/>
  <c r="AU988" i="1"/>
  <c r="AU972" i="1"/>
  <c r="AU957" i="1"/>
  <c r="AU989" i="1"/>
  <c r="AU973" i="1"/>
  <c r="AU958" i="1"/>
  <c r="AU974" i="1"/>
  <c r="AU990" i="1"/>
  <c r="AU969" i="1"/>
  <c r="AU959" i="1"/>
  <c r="AU975" i="1"/>
  <c r="AU991" i="1"/>
  <c r="AU952" i="1"/>
  <c r="AU960" i="1"/>
  <c r="AU976" i="1"/>
  <c r="AU992" i="1"/>
  <c r="AU953" i="1"/>
  <c r="AU956" i="1"/>
  <c r="AU961" i="1"/>
  <c r="AU977" i="1"/>
  <c r="AU993" i="1"/>
  <c r="AU962" i="1"/>
  <c r="AU978" i="1"/>
  <c r="AU994" i="1"/>
  <c r="AU963" i="1"/>
  <c r="AU979" i="1"/>
  <c r="AU995" i="1"/>
  <c r="AU964" i="1"/>
  <c r="AU980" i="1"/>
  <c r="AU996" i="1"/>
  <c r="AU971" i="1"/>
  <c r="AU965" i="1"/>
  <c r="AU981" i="1"/>
  <c r="AU997" i="1"/>
  <c r="AU968" i="1"/>
  <c r="AU970" i="1"/>
  <c r="AU955" i="1"/>
  <c r="AU966" i="1"/>
  <c r="AU982" i="1"/>
  <c r="AU998" i="1"/>
  <c r="AU954" i="1"/>
  <c r="AU967" i="1"/>
  <c r="AU983" i="1"/>
  <c r="AU999" i="1"/>
  <c r="AU947" i="1"/>
  <c r="AU948" i="1"/>
  <c r="AU949" i="1"/>
  <c r="AU950" i="1"/>
  <c r="AU951" i="1"/>
  <c r="AU268" i="1"/>
  <c r="AU659" i="1"/>
  <c r="AU681" i="1"/>
  <c r="AU705" i="1"/>
  <c r="AU732" i="1"/>
  <c r="AU767" i="1"/>
  <c r="AU788" i="1"/>
  <c r="AU817" i="1"/>
  <c r="AU847" i="1"/>
  <c r="AU866" i="1"/>
  <c r="AU889" i="1"/>
  <c r="AU910" i="1"/>
  <c r="AU930" i="1"/>
  <c r="AU167" i="1"/>
  <c r="AU575" i="1"/>
  <c r="AU634" i="1"/>
  <c r="AU660" i="1"/>
  <c r="AU682" i="1"/>
  <c r="AU706" i="1"/>
  <c r="AU737" i="1"/>
  <c r="AU770" i="1"/>
  <c r="AU789" i="1"/>
  <c r="AU818" i="1"/>
  <c r="AU848" i="1"/>
  <c r="AU868" i="1"/>
  <c r="AU891" i="1"/>
  <c r="AU911" i="1"/>
  <c r="AU931" i="1"/>
  <c r="AU531" i="1"/>
  <c r="AU552" i="1"/>
  <c r="AU232" i="1"/>
  <c r="AU507" i="1"/>
  <c r="AU635" i="1"/>
  <c r="AU661" i="1"/>
  <c r="AU683" i="1"/>
  <c r="AU710" i="1"/>
  <c r="AU739" i="1"/>
  <c r="AU771" i="1"/>
  <c r="AU790" i="1"/>
  <c r="AU819" i="1"/>
  <c r="AU849" i="1"/>
  <c r="AU870" i="1"/>
  <c r="AU893" i="1"/>
  <c r="AU912" i="1"/>
  <c r="AU932" i="1"/>
  <c r="AU503" i="1"/>
  <c r="AU421" i="1"/>
  <c r="AU169" i="1"/>
  <c r="AU534" i="1"/>
  <c r="AU741" i="1"/>
  <c r="AU772" i="1"/>
  <c r="AU791" i="1"/>
  <c r="AU820" i="1"/>
  <c r="AU850" i="1"/>
  <c r="AU871" i="1"/>
  <c r="AU894" i="1"/>
  <c r="AU913" i="1"/>
  <c r="AU933" i="1"/>
  <c r="AU482" i="1"/>
  <c r="AU377" i="1"/>
  <c r="AU170" i="1"/>
  <c r="AU536" i="1"/>
  <c r="AU714" i="1"/>
  <c r="AU742" i="1"/>
  <c r="AU773" i="1"/>
  <c r="AU795" i="1"/>
  <c r="AU822" i="1"/>
  <c r="AU852" i="1"/>
  <c r="AU872" i="1"/>
  <c r="AU895" i="1"/>
  <c r="AU914" i="1"/>
  <c r="AU934" i="1"/>
  <c r="AU455" i="1"/>
  <c r="AU327" i="1"/>
  <c r="AU231" i="1"/>
  <c r="AU213" i="1"/>
  <c r="AU461" i="1"/>
  <c r="AU214" i="1"/>
  <c r="AU684" i="1"/>
  <c r="AU234" i="1"/>
  <c r="AU598" i="1"/>
  <c r="AU142" i="1"/>
  <c r="AU298" i="1"/>
  <c r="AU468" i="1"/>
  <c r="AU539" i="1"/>
  <c r="AU581" i="1"/>
  <c r="AU618" i="1"/>
  <c r="AU664" i="1"/>
  <c r="AU715" i="1"/>
  <c r="AU744" i="1"/>
  <c r="AU774" i="1"/>
  <c r="AU823" i="1"/>
  <c r="AU853" i="1"/>
  <c r="AU873" i="1"/>
  <c r="AU896" i="1"/>
  <c r="AU915" i="1"/>
  <c r="AU935" i="1"/>
  <c r="AU633" i="1"/>
  <c r="AU292" i="1"/>
  <c r="AU168" i="1"/>
  <c r="AU380" i="1"/>
  <c r="AU555" i="1"/>
  <c r="AU33" i="1"/>
  <c r="AU233" i="1"/>
  <c r="AU465" i="1"/>
  <c r="AU615" i="1"/>
  <c r="AU62" i="1"/>
  <c r="AU215" i="1"/>
  <c r="AU467" i="1"/>
  <c r="AU663" i="1"/>
  <c r="AU92" i="1"/>
  <c r="AU273" i="1"/>
  <c r="AU392" i="1"/>
  <c r="AU428" i="1"/>
  <c r="AU487" i="1"/>
  <c r="AU511" i="1"/>
  <c r="AU559" i="1"/>
  <c r="AU599" i="1"/>
  <c r="AU642" i="1"/>
  <c r="AU686" i="1"/>
  <c r="AU796" i="1"/>
  <c r="AU131" i="1"/>
  <c r="AU269" i="1"/>
  <c r="AU187" i="1"/>
  <c r="AU484" i="1"/>
  <c r="AU271" i="1"/>
  <c r="AU636" i="1"/>
  <c r="AU253" i="1"/>
  <c r="AU580" i="1"/>
  <c r="AU235" i="1"/>
  <c r="AU93" i="1"/>
  <c r="AU274" i="1"/>
  <c r="AU489" i="1"/>
  <c r="AU560" i="1"/>
  <c r="AU644" i="1"/>
  <c r="AU665" i="1"/>
  <c r="AU691" i="1"/>
  <c r="AU775" i="1"/>
  <c r="AU797" i="1"/>
  <c r="AU824" i="1"/>
  <c r="AU854" i="1"/>
  <c r="AU874" i="1"/>
  <c r="AU918" i="1"/>
  <c r="AU936" i="1"/>
  <c r="AU229" i="1"/>
  <c r="AU249" i="1"/>
  <c r="AU59" i="1"/>
  <c r="AU424" i="1"/>
  <c r="AU188" i="1"/>
  <c r="AU711" i="1"/>
  <c r="AU35" i="1"/>
  <c r="AU337" i="1"/>
  <c r="AU558" i="1"/>
  <c r="AU195" i="1"/>
  <c r="AU196" i="1"/>
  <c r="AU393" i="1"/>
  <c r="AU582" i="1"/>
  <c r="AU897" i="1"/>
  <c r="AU183" i="1"/>
  <c r="AU29" i="1"/>
  <c r="AU532" i="1"/>
  <c r="AU89" i="1"/>
  <c r="AU270" i="1"/>
  <c r="AU533" i="1"/>
  <c r="AU90" i="1"/>
  <c r="AU252" i="1"/>
  <c r="AU426" i="1"/>
  <c r="AU556" i="1"/>
  <c r="AU140" i="1"/>
  <c r="AU297" i="1"/>
  <c r="AU486" i="1"/>
  <c r="AU616" i="1"/>
  <c r="AU63" i="1"/>
  <c r="AU254" i="1"/>
  <c r="AU37" i="1"/>
  <c r="AU143" i="1"/>
  <c r="AU218" i="1"/>
  <c r="AU301" i="1"/>
  <c r="AU430" i="1"/>
  <c r="AU512" i="1"/>
  <c r="AU600" i="1"/>
  <c r="AU716" i="1"/>
  <c r="AU38" i="1"/>
  <c r="AU65" i="1"/>
  <c r="AU119" i="1"/>
  <c r="AU174" i="1"/>
  <c r="AU219" i="1"/>
  <c r="AU256" i="1"/>
  <c r="AU310" i="1"/>
  <c r="AU395" i="1"/>
  <c r="AU471" i="1"/>
  <c r="AU513" i="1"/>
  <c r="AU562" i="1"/>
  <c r="AU601" i="1"/>
  <c r="AU620" i="1"/>
  <c r="AU666" i="1"/>
  <c r="AU692" i="1"/>
  <c r="AU718" i="1"/>
  <c r="AU746" i="1"/>
  <c r="AU776" i="1"/>
  <c r="AU798" i="1"/>
  <c r="AU829" i="1"/>
  <c r="AU855" i="1"/>
  <c r="AU899" i="1"/>
  <c r="AU920" i="1"/>
  <c r="AU937" i="1"/>
  <c r="AU574" i="1"/>
  <c r="AU57" i="1"/>
  <c r="AU423" i="1"/>
  <c r="AU113" i="1"/>
  <c r="AU331" i="1"/>
  <c r="AU578" i="1"/>
  <c r="AU115" i="1"/>
  <c r="AU334" i="1"/>
  <c r="AU509" i="1"/>
  <c r="AU597" i="1"/>
  <c r="AU193" i="1"/>
  <c r="AU427" i="1"/>
  <c r="AU685" i="1"/>
  <c r="AU117" i="1"/>
  <c r="AU340" i="1"/>
  <c r="AU118" i="1"/>
  <c r="AU255" i="1"/>
  <c r="AU344" i="1"/>
  <c r="AU469" i="1"/>
  <c r="AU540" i="1"/>
  <c r="AU619" i="1"/>
  <c r="AU745" i="1"/>
  <c r="AU95" i="1"/>
  <c r="AU148" i="1"/>
  <c r="AU197" i="1"/>
  <c r="AU238" i="1"/>
  <c r="AU275" i="1"/>
  <c r="AU348" i="1"/>
  <c r="AU435" i="1"/>
  <c r="AU492" i="1"/>
  <c r="AU541" i="1"/>
  <c r="AU583" i="1"/>
  <c r="AU645" i="1"/>
  <c r="AU875" i="1"/>
  <c r="AU593" i="1"/>
  <c r="AU111" i="1"/>
  <c r="AU378" i="1"/>
  <c r="AU251" i="1"/>
  <c r="AU614" i="1"/>
  <c r="AU138" i="1"/>
  <c r="AU296" i="1"/>
  <c r="AU485" i="1"/>
  <c r="AU579" i="1"/>
  <c r="AU91" i="1"/>
  <c r="AU272" i="1"/>
  <c r="AU510" i="1"/>
  <c r="AU172" i="1"/>
  <c r="AU173" i="1"/>
  <c r="AU40" i="1"/>
  <c r="AU120" i="1"/>
  <c r="AU175" i="1"/>
  <c r="AU220" i="1"/>
  <c r="AU257" i="1"/>
  <c r="AU276" i="1"/>
  <c r="AU349" i="1"/>
  <c r="AU398" i="1"/>
  <c r="AU436" i="1"/>
  <c r="AU472" i="1"/>
  <c r="AU493" i="1"/>
  <c r="AU516" i="1"/>
  <c r="AU543" i="1"/>
  <c r="AU563" i="1"/>
  <c r="AU584" i="1"/>
  <c r="AU622" i="1"/>
  <c r="AU648" i="1"/>
  <c r="AU669" i="1"/>
  <c r="AU696" i="1"/>
  <c r="AU719" i="1"/>
  <c r="AU750" i="1"/>
  <c r="AU777" i="1"/>
  <c r="AU799" i="1"/>
  <c r="AU834" i="1"/>
  <c r="AU856" i="1"/>
  <c r="AU876" i="1"/>
  <c r="AU900" i="1"/>
  <c r="AU921" i="1"/>
  <c r="AU938" i="1"/>
  <c r="AU612" i="1"/>
  <c r="AU86" i="1"/>
  <c r="AU328" i="1"/>
  <c r="AU293" i="1"/>
  <c r="AU595" i="1"/>
  <c r="AU61" i="1"/>
  <c r="AU381" i="1"/>
  <c r="AU662" i="1"/>
  <c r="AU116" i="1"/>
  <c r="AU388" i="1"/>
  <c r="AU637" i="1"/>
  <c r="AU36" i="1"/>
  <c r="AU216" i="1"/>
  <c r="AU64" i="1"/>
  <c r="AU237" i="1"/>
  <c r="AU67" i="1"/>
  <c r="AU98" i="1"/>
  <c r="AU149" i="1"/>
  <c r="AU198" i="1"/>
  <c r="AU239" i="1"/>
  <c r="AU311" i="1"/>
  <c r="AU603" i="1"/>
  <c r="AU100" i="1"/>
  <c r="AU401" i="1"/>
  <c r="AU564" i="1"/>
  <c r="AU585" i="1"/>
  <c r="AU604" i="1"/>
  <c r="AU624" i="1"/>
  <c r="AU649" i="1"/>
  <c r="AU670" i="1"/>
  <c r="AU697" i="1"/>
  <c r="AU720" i="1"/>
  <c r="AU751" i="1"/>
  <c r="AU779" i="1"/>
  <c r="AU803" i="1"/>
  <c r="AU835" i="1"/>
  <c r="AU857" i="1"/>
  <c r="AU878" i="1"/>
  <c r="AU901" i="1"/>
  <c r="AU922" i="1"/>
  <c r="AU940" i="1"/>
  <c r="AU85" i="1"/>
  <c r="AU54" i="1"/>
  <c r="AU476" i="1"/>
  <c r="AU626" i="1"/>
  <c r="AU651" i="1"/>
  <c r="AU673" i="1"/>
  <c r="AU698" i="1"/>
  <c r="AU722" i="1"/>
  <c r="AU754" i="1"/>
  <c r="AU781" i="1"/>
  <c r="AU806" i="1"/>
  <c r="AU836" i="1"/>
  <c r="AU858" i="1"/>
  <c r="AU879" i="1"/>
  <c r="AU904" i="1"/>
  <c r="AU924" i="1"/>
  <c r="AU941" i="1"/>
  <c r="AU28" i="1"/>
  <c r="AU45" i="1"/>
  <c r="AU567" i="1"/>
  <c r="AU724" i="1"/>
  <c r="AU756" i="1"/>
  <c r="AU783" i="1"/>
  <c r="AU807" i="1"/>
  <c r="AU838" i="1"/>
  <c r="AU859" i="1"/>
  <c r="AU881" i="1"/>
  <c r="AU905" i="1"/>
  <c r="AU925" i="1"/>
  <c r="AU942" i="1"/>
  <c r="AU359" i="1"/>
  <c r="AU810" i="1"/>
  <c r="AU926" i="1"/>
  <c r="AU289" i="1"/>
  <c r="AU457" i="1"/>
  <c r="AU221" i="1"/>
  <c r="AU544" i="1"/>
  <c r="AU222" i="1"/>
  <c r="AU586" i="1"/>
  <c r="AU12" i="1"/>
  <c r="AU315" i="1"/>
  <c r="AU607" i="1"/>
  <c r="AU203" i="1"/>
  <c r="AU629" i="1"/>
  <c r="AU80" i="1"/>
  <c r="AU180" i="1"/>
  <c r="AU205" i="1"/>
  <c r="AU225" i="1"/>
  <c r="AU245" i="1"/>
  <c r="AU263" i="1"/>
  <c r="AU283" i="1"/>
  <c r="AU317" i="1"/>
  <c r="AU362" i="1"/>
  <c r="AU415" i="1"/>
  <c r="AU449" i="1"/>
  <c r="AU479" i="1"/>
  <c r="AU500" i="1"/>
  <c r="AU525" i="1"/>
  <c r="AU549" i="1"/>
  <c r="AU590" i="1"/>
  <c r="AU609" i="1"/>
  <c r="AU630" i="1"/>
  <c r="AU655" i="1"/>
  <c r="AU677" i="1"/>
  <c r="AU701" i="1"/>
  <c r="AU729" i="1"/>
  <c r="AU763" i="1"/>
  <c r="AU785" i="1"/>
  <c r="AU813" i="1"/>
  <c r="AU841" i="1"/>
  <c r="AU862" i="1"/>
  <c r="AU883" i="1"/>
  <c r="AU907" i="1"/>
  <c r="AU927" i="1"/>
  <c r="AU248" i="1"/>
  <c r="AU185" i="1"/>
  <c r="AU594" i="1"/>
  <c r="AU42" i="1"/>
  <c r="AU176" i="1"/>
  <c r="AU312" i="1"/>
  <c r="AU437" i="1"/>
  <c r="AU74" i="1"/>
  <c r="AU177" i="1"/>
  <c r="AU259" i="1"/>
  <c r="AU440" i="1"/>
  <c r="AU565" i="1"/>
  <c r="AU104" i="1"/>
  <c r="AU178" i="1"/>
  <c r="AU243" i="1"/>
  <c r="AU442" i="1"/>
  <c r="AU523" i="1"/>
  <c r="AU652" i="1"/>
  <c r="AU46" i="1"/>
  <c r="AU179" i="1"/>
  <c r="AU316" i="1"/>
  <c r="AU478" i="1"/>
  <c r="AU568" i="1"/>
  <c r="AU725" i="1"/>
  <c r="AU906" i="1"/>
  <c r="AU126" i="1"/>
  <c r="AU569" i="1"/>
  <c r="AU209" i="1"/>
  <c r="AU483" i="1"/>
  <c r="AU69" i="1"/>
  <c r="AU258" i="1"/>
  <c r="AU494" i="1"/>
  <c r="AU154" i="1"/>
  <c r="AU313" i="1"/>
  <c r="AU495" i="1"/>
  <c r="AU123" i="1"/>
  <c r="AU358" i="1"/>
  <c r="AU588" i="1"/>
  <c r="AU262" i="1"/>
  <c r="AU654" i="1"/>
  <c r="AU82" i="1"/>
  <c r="AU181" i="1"/>
  <c r="AU207" i="1"/>
  <c r="AU227" i="1"/>
  <c r="AU246" i="1"/>
  <c r="AU264" i="1"/>
  <c r="AU284" i="1"/>
  <c r="AU320" i="1"/>
  <c r="AU367" i="1"/>
  <c r="AU418" i="1"/>
  <c r="AU480" i="1"/>
  <c r="AU501" i="1"/>
  <c r="AU526" i="1"/>
  <c r="AU550" i="1"/>
  <c r="AU572" i="1"/>
  <c r="AU591" i="1"/>
  <c r="AU610" i="1"/>
  <c r="AU631" i="1"/>
  <c r="AU656" i="1"/>
  <c r="AU679" i="1"/>
  <c r="AU703" i="1"/>
  <c r="AU730" i="1"/>
  <c r="AU764" i="1"/>
  <c r="AU786" i="1"/>
  <c r="AU814" i="1"/>
  <c r="AU843" i="1"/>
  <c r="AU864" i="1"/>
  <c r="AU884" i="1"/>
  <c r="AU908" i="1"/>
  <c r="AU928" i="1"/>
  <c r="AU553" i="1"/>
  <c r="AU199" i="1"/>
  <c r="AU518" i="1"/>
  <c r="AU101" i="1"/>
  <c r="AU279" i="1"/>
  <c r="AU520" i="1"/>
  <c r="AU281" i="1"/>
  <c r="AU627" i="1"/>
  <c r="AU244" i="1"/>
  <c r="AU589" i="1"/>
  <c r="AU861" i="1"/>
  <c r="AU127" i="1"/>
  <c r="AU451" i="1"/>
  <c r="AU164" i="1"/>
  <c r="AU211" i="1"/>
  <c r="AU613" i="1"/>
  <c r="AU30" i="1"/>
  <c r="AU152" i="1"/>
  <c r="AU277" i="1"/>
  <c r="AU474" i="1"/>
  <c r="AU43" i="1"/>
  <c r="AU200" i="1"/>
  <c r="AU357" i="1"/>
  <c r="AU606" i="1"/>
  <c r="AU75" i="1"/>
  <c r="AU202" i="1"/>
  <c r="AU260" i="1"/>
  <c r="AU477" i="1"/>
  <c r="AU547" i="1"/>
  <c r="AU674" i="1"/>
  <c r="AU76" i="1"/>
  <c r="AU125" i="1"/>
  <c r="AU224" i="1"/>
  <c r="AU408" i="1"/>
  <c r="AU498" i="1"/>
  <c r="AU548" i="1"/>
  <c r="AU675" i="1"/>
  <c r="AU757" i="1"/>
  <c r="AU840" i="1"/>
  <c r="AU50" i="1"/>
  <c r="AU106" i="1"/>
  <c r="AU21" i="1"/>
  <c r="AU160" i="1"/>
  <c r="AU24" i="1"/>
  <c r="AU53" i="1"/>
  <c r="AU84" i="1"/>
  <c r="AU109" i="1"/>
  <c r="AU128" i="1"/>
  <c r="AU161" i="1"/>
  <c r="AU182" i="1"/>
  <c r="AU208" i="1"/>
  <c r="AU228" i="1"/>
  <c r="AU247" i="1"/>
  <c r="AU267" i="1"/>
  <c r="AU288" i="1"/>
  <c r="AU325" i="1"/>
  <c r="AU419" i="1"/>
  <c r="AU454" i="1"/>
  <c r="AU481" i="1"/>
  <c r="AU502" i="1"/>
  <c r="AU528" i="1"/>
  <c r="AU551" i="1"/>
  <c r="AU573" i="1"/>
  <c r="AU592" i="1"/>
  <c r="AU611" i="1"/>
  <c r="AU632" i="1"/>
  <c r="AU657" i="1"/>
  <c r="AU680" i="1"/>
  <c r="AU704" i="1"/>
  <c r="AU731" i="1"/>
  <c r="AU765" i="1"/>
  <c r="AU787" i="1"/>
  <c r="AU815" i="1"/>
  <c r="AU845" i="1"/>
  <c r="AU865" i="1"/>
  <c r="AU887" i="1"/>
  <c r="AU909" i="1"/>
  <c r="AU929" i="1"/>
  <c r="AU110" i="1"/>
  <c r="AU135" i="1"/>
  <c r="AU504" i="1"/>
  <c r="AU137" i="1"/>
  <c r="AU121" i="1"/>
  <c r="AU240" i="1"/>
  <c r="AU356" i="1"/>
  <c r="AU122" i="1"/>
  <c r="AU242" i="1"/>
  <c r="AU403" i="1"/>
  <c r="AU545" i="1"/>
  <c r="AU155" i="1"/>
  <c r="AU223" i="1"/>
  <c r="AU405" i="1"/>
  <c r="AU496" i="1"/>
  <c r="AU699" i="1"/>
  <c r="AU17" i="1"/>
  <c r="AU105" i="1"/>
  <c r="AU158" i="1"/>
  <c r="AU282" i="1"/>
  <c r="AU444" i="1"/>
  <c r="AU524" i="1"/>
  <c r="AU608" i="1"/>
  <c r="AU700" i="1"/>
  <c r="AU784" i="1"/>
  <c r="AU882" i="1"/>
  <c r="AU20" i="1"/>
  <c r="AU159" i="1"/>
  <c r="AU51" i="1"/>
  <c r="AU107" i="1"/>
  <c r="AU370" i="1"/>
  <c r="AU11" i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W2123" i="1" a="1"/>
  <c r="X2123" i="1" a="1"/>
  <c r="AN2151" i="1" a="1"/>
  <c r="AN4006" i="1" a="1"/>
  <c r="AN4006" i="1" l="1"/>
  <c r="AN2151" i="1"/>
  <c r="AO4006" i="1"/>
  <c r="AO2151" i="1"/>
  <c r="AO389" i="1"/>
  <c r="AO702" i="1"/>
  <c r="AO768" i="1"/>
  <c r="X2123" i="1"/>
  <c r="W2123" i="1"/>
  <c r="W2809" i="1"/>
  <c r="W339" i="1"/>
  <c r="W456" i="1"/>
  <c r="AN3019" i="1" a="1"/>
  <c r="AN2763" i="1" a="1"/>
  <c r="AN554" i="1" a="1"/>
  <c r="AN3735" i="1" a="1"/>
  <c r="AN1003" i="1" a="1"/>
  <c r="AN4174" i="1" a="1"/>
  <c r="AN4306" i="1" a="1"/>
  <c r="AN1692" i="1" a="1"/>
  <c r="AN3032" i="1" a="1"/>
  <c r="AN3764" i="1" a="1"/>
  <c r="AN99" i="1" a="1"/>
  <c r="AN863" i="1" a="1"/>
  <c r="AN416" i="1" a="1"/>
  <c r="AN278" i="1" a="1"/>
  <c r="AN204" i="1" a="1"/>
  <c r="AN517" i="1" a="1"/>
  <c r="AN2431" i="1" a="1"/>
  <c r="AN150" i="1" a="1"/>
  <c r="AN351" i="1" a="1"/>
  <c r="AN1239" i="1" a="1"/>
  <c r="AN4074" i="1" a="1"/>
  <c r="AN157" i="1" a="1"/>
  <c r="AN4095" i="1" a="1"/>
  <c r="AN26" i="1" a="1"/>
  <c r="AN1574" i="1" a="1"/>
  <c r="AN3129" i="1" a="1"/>
  <c r="AU768" i="1" a="1"/>
  <c r="AN94" i="1" a="1"/>
  <c r="AN1468" i="1" a="1"/>
  <c r="AN1331" i="1" a="1"/>
  <c r="AN2627" i="1" a="1"/>
  <c r="AN5" i="1" a="1"/>
  <c r="AN671" i="1" a="1"/>
  <c r="AN343" i="1" a="1"/>
  <c r="AN1594" i="1" a="1"/>
  <c r="AN236" i="1" a="1"/>
  <c r="AN3421" i="1" a="1"/>
  <c r="AN1007" i="1" a="1"/>
  <c r="AN1236" i="1" a="1"/>
  <c r="AN2818" i="1" a="1"/>
  <c r="AN384" i="1" a="1"/>
  <c r="AN1638" i="1" a="1"/>
  <c r="AN3055" i="1" a="1"/>
  <c r="AN326" i="1" a="1"/>
  <c r="AN88" i="1" a="1"/>
  <c r="AN2863" i="1" a="1"/>
  <c r="AN132" i="1" a="1"/>
  <c r="AN144" i="1" a="1"/>
  <c r="AN2319" i="1" a="1"/>
  <c r="AN1126" i="1" a="1"/>
  <c r="AN73" i="1" a="1"/>
  <c r="AN4025" i="1" a="1"/>
  <c r="AN302" i="1" a="1"/>
  <c r="AN404" i="1" a="1"/>
  <c r="AN628" i="1" a="1"/>
  <c r="AN3002" i="1" a="1"/>
  <c r="AN1801" i="1" a="1"/>
  <c r="AN1985" i="1" a="1"/>
  <c r="AN801" i="1" a="1"/>
  <c r="AN1843" i="1" a="1"/>
  <c r="AN332" i="1" a="1"/>
  <c r="AN2593" i="1" a="1"/>
  <c r="AN760" i="1" a="1"/>
  <c r="AN4055" i="1" a="1"/>
  <c r="AN194" i="1" a="1"/>
  <c r="AN369" i="1" a="1"/>
  <c r="AN1274" i="1" a="1"/>
  <c r="AN9" i="1" a="1"/>
  <c r="AN802" i="1" a="1"/>
  <c r="AN226" i="1" a="1"/>
  <c r="AN41" i="1" a="1"/>
  <c r="AN323" i="1" a="1"/>
  <c r="AN294" i="1" a="1"/>
  <c r="AN888" i="1" a="1"/>
  <c r="AN646" i="1" a="1"/>
  <c r="AN4057" i="1" a="1"/>
  <c r="AN4093" i="1" a="1"/>
  <c r="AN129" i="1" a="1"/>
  <c r="AN639" i="1" a="1"/>
  <c r="AN1326" i="1" a="1"/>
  <c r="AN1428" i="1" a="1"/>
  <c r="AN1180" i="1" a="1"/>
  <c r="AN1240" i="1" a="1"/>
  <c r="AN339" i="1" a="1"/>
  <c r="AN3638" i="1" a="1"/>
  <c r="AN136" i="1" a="1"/>
  <c r="AN4204" i="1" a="1"/>
  <c r="AN702" i="1" a="1"/>
  <c r="AN342" i="1" a="1"/>
  <c r="AN44" i="1" a="1"/>
  <c r="AN201" i="1" a="1"/>
  <c r="AN1605" i="1" a="1"/>
  <c r="AN450" i="1" a="1"/>
  <c r="AN2465" i="1" a="1"/>
  <c r="AN3727" i="1" a="1"/>
  <c r="AN821" i="1" a="1"/>
  <c r="AN171" i="1" a="1"/>
  <c r="AN1705" i="1" a="1"/>
  <c r="AN1593" i="1" a="1"/>
  <c r="AN6" i="1" a="1"/>
  <c r="AN1590" i="1" a="1"/>
  <c r="AN3493" i="1" a="1"/>
  <c r="AN308" i="1" a="1"/>
  <c r="AN4" i="1" a="1"/>
  <c r="AN3807" i="1" a="1"/>
  <c r="AN3680" i="1" a="1"/>
  <c r="AN743" i="1" a="1"/>
  <c r="AN1929" i="1" a="1"/>
  <c r="AN299" i="1" a="1"/>
  <c r="AN672" i="1" a="1"/>
  <c r="AN25" i="1" a="1"/>
  <c r="AN2861" i="1" a="1"/>
  <c r="AN793" i="1" a="1"/>
  <c r="AN304" i="1" a="1"/>
  <c r="AN1171" i="1" a="1"/>
  <c r="AN475" i="1" a="1"/>
  <c r="AN826" i="1" a="1"/>
  <c r="AN694" i="1" a="1"/>
  <c r="AN2988" i="1" a="1"/>
  <c r="AN382" i="1" a="1"/>
  <c r="AN452" i="1" a="1"/>
  <c r="AU389" i="1" a="1"/>
  <c r="AN792" i="1" a="1"/>
  <c r="AN542" i="1" a="1"/>
  <c r="AN1885" i="1" a="1"/>
  <c r="AN438" i="1" a="1"/>
  <c r="AN2814" i="1" a="1"/>
  <c r="AN396" i="1" a="1"/>
  <c r="AN4327" i="1" a="1"/>
  <c r="AN383" i="1" a="1"/>
  <c r="AN4324" i="1" a="1"/>
  <c r="AN3008" i="1" a="1"/>
  <c r="AN338" i="1" a="1"/>
  <c r="AN1904" i="1" a="1"/>
  <c r="AN4232" i="1" a="1"/>
  <c r="AN769" i="1" a="1"/>
  <c r="AN1795" i="1" a="1"/>
  <c r="AN3033" i="1" a="1"/>
  <c r="AN2063" i="1" a="1"/>
  <c r="AN2180" i="1" a="1"/>
  <c r="AN1489" i="1" a="1"/>
  <c r="AN1539" i="1" a="1"/>
  <c r="AN23" i="1" a="1"/>
  <c r="AN2780" i="1" a="1"/>
  <c r="AN577" i="1" a="1"/>
  <c r="AN68" i="1" a="1"/>
  <c r="AN2701" i="1" a="1"/>
  <c r="AN3766" i="1" a="1"/>
  <c r="AN3705" i="1" a="1"/>
  <c r="AN266" i="1" a="1"/>
  <c r="AN335" i="1" a="1"/>
  <c r="AN3058" i="1" a="1"/>
  <c r="AN4077" i="1" a="1"/>
  <c r="AN3689" i="1" a="1"/>
  <c r="AU702" i="1" a="1"/>
  <c r="AN470" i="1" a="1"/>
  <c r="AN3140" i="1" a="1"/>
  <c r="AN2353" i="1" a="1"/>
  <c r="AN4043" i="1" a="1"/>
  <c r="AN162" i="1" a="1"/>
  <c r="AN361" i="1" a="1"/>
  <c r="AN1514" i="1" a="1"/>
  <c r="AN1379" i="1" a="1"/>
  <c r="AN491" i="1" a="1"/>
  <c r="AN499" i="1" a="1"/>
  <c r="AN422" i="1" a="1"/>
  <c r="AN3822" i="1" a="1"/>
  <c r="AN1139" i="1" a="1"/>
  <c r="AN3020" i="1" a="1"/>
  <c r="AN4253" i="1" a="1"/>
  <c r="AN3706" i="1" a="1"/>
  <c r="AN2966" i="1" a="1"/>
  <c r="AN4060" i="1" a="1"/>
  <c r="AN3109" i="1" a="1"/>
  <c r="AN7" i="1" a="1"/>
  <c r="AN4157" i="1" a="1"/>
  <c r="AN4137" i="1" a="1"/>
  <c r="AN2556" i="1" a="1"/>
  <c r="AN368" i="1" a="1"/>
  <c r="AN19" i="1" a="1"/>
  <c r="AN3134" i="1" a="1"/>
  <c r="AN521" i="1" a="1"/>
  <c r="AN2887" i="1" a="1"/>
  <c r="AN3410" i="1" a="1"/>
  <c r="AN49" i="1" a="1"/>
  <c r="AN4123" i="1" a="1"/>
  <c r="AN1090" i="1" a="1"/>
  <c r="AN1036" i="1" a="1"/>
  <c r="AN3125" i="1" a="1"/>
  <c r="AN3007" i="1" a="1"/>
  <c r="AN2807" i="1" a="1"/>
  <c r="AN2530" i="1" a="1"/>
  <c r="AN186" i="1" a="1"/>
  <c r="AN828" i="1" a="1"/>
  <c r="AN71" i="1" a="1"/>
  <c r="AN506" i="1" a="1"/>
  <c r="AN1746" i="1" a="1"/>
  <c r="AN2127" i="1" a="1"/>
  <c r="AN2272" i="1" a="1"/>
  <c r="AN945" i="1" a="1"/>
  <c r="AN923" i="1" a="1"/>
  <c r="AN1111" i="1" a="1"/>
  <c r="AN112" i="1" a="1"/>
  <c r="AN287" i="1" a="1"/>
  <c r="AN409" i="1" a="1"/>
  <c r="AN1520" i="1" a="1"/>
  <c r="AN759" i="1" a="1"/>
  <c r="AN147" i="1" a="1"/>
  <c r="AN432" i="1" a="1"/>
  <c r="AN2059" i="1" a="1"/>
  <c r="AN647" i="1" a="1"/>
  <c r="AN2908" i="1" a="1"/>
  <c r="AN3713" i="1" a="1"/>
  <c r="AN360" i="1" a="1"/>
  <c r="AN4127" i="1" a="1"/>
  <c r="AN723" i="1" a="1"/>
  <c r="AN4211" i="1" a="1"/>
  <c r="AN4029" i="1" a="1"/>
  <c r="AN1306" i="1" a="1"/>
  <c r="AN1889" i="1" a="1"/>
  <c r="AN212" i="1" a="1"/>
  <c r="AN1565" i="1" a="1"/>
  <c r="AN4288" i="1" a="1"/>
  <c r="AN4236" i="1" a="1"/>
  <c r="AN571" i="1" a="1"/>
  <c r="AN1556" i="1" a="1"/>
  <c r="AN376" i="1" a="1"/>
  <c r="AN456" i="1" a="1"/>
  <c r="AN2732" i="1" a="1"/>
  <c r="AN3014" i="1" a="1"/>
  <c r="AN4279" i="1" a="1"/>
  <c r="AN4098" i="1" a="1"/>
  <c r="AN2518" i="1" a="1"/>
  <c r="AN16" i="1" a="1"/>
  <c r="AN1814" i="1" a="1"/>
  <c r="AN4256" i="1" a="1"/>
  <c r="AN3543" i="1" a="1"/>
  <c r="AN1684" i="1" a="1"/>
  <c r="AN81" i="1" a="1"/>
  <c r="AN939" i="1" a="1"/>
  <c r="AN78" i="1" a="1"/>
  <c r="AN3083" i="1" a="1"/>
  <c r="AN880" i="1" a="1"/>
  <c r="AN805" i="1" a="1"/>
  <c r="AN596" i="1" a="1"/>
  <c r="AN352" i="1" a="1"/>
  <c r="AN375" i="1" a="1"/>
  <c r="AN322" i="1" a="1"/>
  <c r="AN2686" i="1" a="1"/>
  <c r="AN830" i="1" a="1"/>
  <c r="AN441" i="1" a="1"/>
  <c r="AN2452" i="1" a="1"/>
  <c r="AN3" i="1" a="1"/>
  <c r="AN39" i="1" a="1"/>
  <c r="AN638" i="1" a="1"/>
  <c r="AN768" i="1" a="1"/>
  <c r="AN668" i="1" a="1"/>
  <c r="AN1238" i="1" a="1"/>
  <c r="AN2667" i="1" a="1"/>
  <c r="AN1460" i="1" a="1"/>
  <c r="AN1603" i="1" a="1"/>
  <c r="AN96" i="1" a="1"/>
  <c r="AN2759" i="1" a="1"/>
  <c r="AN2772" i="1" a="1"/>
  <c r="AN425" i="1" a="1"/>
  <c r="AN712" i="1" a="1"/>
  <c r="AN151" i="1" a="1"/>
  <c r="AN831" i="1" a="1"/>
  <c r="AN587" i="1" a="1"/>
  <c r="AN333" i="1" a="1"/>
  <c r="AN309" i="1" a="1"/>
  <c r="AN1381" i="1" a="1"/>
  <c r="AN985" i="1" a="1"/>
  <c r="AN2721" i="1" a="1"/>
  <c r="AN2092" i="1" a="1"/>
  <c r="AN464" i="1" a="1"/>
  <c r="AN4310" i="1" a="1"/>
  <c r="AN4207" i="1" a="1"/>
  <c r="AN433" i="1" a="1"/>
  <c r="AN2831" i="1" a="1"/>
  <c r="AN749" i="1" a="1"/>
  <c r="AN265" i="1" a="1"/>
  <c r="AN3132" i="1" a="1"/>
  <c r="AN72" i="1" a="1"/>
  <c r="AN3416" i="1" a="1"/>
  <c r="AN1715" i="1" a="1"/>
  <c r="AN1144" i="1" a="1"/>
  <c r="AN2229" i="1" a="1"/>
  <c r="AN400" i="1" a="1"/>
  <c r="AN2117" i="1" a="1"/>
  <c r="AN1874" i="1" a="1"/>
  <c r="AN2612" i="1" a="1"/>
  <c r="AN4160" i="1" a="1"/>
  <c r="AN4177" i="1" a="1"/>
  <c r="AN982" i="1" a="1"/>
  <c r="AN1402" i="1" a="1"/>
  <c r="AN641" i="1" a="1"/>
  <c r="AN2028" i="1" a="1"/>
  <c r="AN4035" i="1" a="1"/>
  <c r="AN66" i="1" a="1"/>
  <c r="AN192" i="1" a="1"/>
  <c r="AN1101" i="1" a="1"/>
  <c r="AN15" i="1" a="1"/>
  <c r="AN3077" i="1" a="1"/>
  <c r="AN363" i="1" a="1"/>
  <c r="AN124" i="1" a="1"/>
  <c r="AN1469" i="1" a="1"/>
  <c r="AN374" i="1" a="1"/>
  <c r="AN4155" i="1" a="1"/>
  <c r="AN2938" i="1" a="1"/>
  <c r="AN1529" i="1" a="1"/>
  <c r="AN3227" i="1" a="1"/>
  <c r="AN2983" i="1" a="1"/>
  <c r="AN1508" i="1" a="1"/>
  <c r="AN2400" i="1" a="1"/>
  <c r="AN329" i="1" a="1"/>
  <c r="AN300" i="1" a="1"/>
  <c r="AN2122" i="1" a="1"/>
  <c r="AN4182" i="1" a="1"/>
  <c r="AN389" i="1" a="1"/>
  <c r="AN617" i="1" a="1"/>
  <c r="AN4072" i="1" a="1"/>
  <c r="AN8" i="1" a="1"/>
  <c r="AN885" i="1" a="1"/>
  <c r="AN156" i="1" a="1"/>
  <c r="AN463" i="1" a="1"/>
  <c r="AU389" i="1" l="1"/>
  <c r="AU768" i="1"/>
  <c r="AU702" i="1"/>
  <c r="AN342" i="1"/>
  <c r="AN1090" i="1"/>
  <c r="AN49" i="1"/>
  <c r="AN3002" i="1"/>
  <c r="AN339" i="1"/>
  <c r="AN302" i="1"/>
  <c r="AN577" i="1"/>
  <c r="AN639" i="1"/>
  <c r="AN4137" i="1"/>
  <c r="AN3109" i="1"/>
  <c r="AN2063" i="1"/>
  <c r="AN299" i="1"/>
  <c r="AN132" i="1"/>
  <c r="AN88" i="1"/>
  <c r="AN3764" i="1"/>
  <c r="AN491" i="1"/>
  <c r="AN638" i="1"/>
  <c r="AN985" i="1"/>
  <c r="AN16" i="1"/>
  <c r="AN309" i="1"/>
  <c r="AN2117" i="1"/>
  <c r="AN4098" i="1"/>
  <c r="AN3083" i="1"/>
  <c r="AN2028" i="1"/>
  <c r="AN374" i="1"/>
  <c r="AN81" i="1"/>
  <c r="AN1274" i="1"/>
  <c r="AN4043" i="1"/>
  <c r="AN450" i="1"/>
  <c r="AN186" i="1"/>
  <c r="AN470" i="1"/>
  <c r="AN3007" i="1"/>
  <c r="AN4077" i="1"/>
  <c r="AN3058" i="1"/>
  <c r="AN1985" i="1"/>
  <c r="AN923" i="1"/>
  <c r="AN351" i="1"/>
  <c r="AN1180" i="1"/>
  <c r="AN19" i="1"/>
  <c r="AN204" i="1"/>
  <c r="AN144" i="1"/>
  <c r="AN4060" i="1"/>
  <c r="AN3033" i="1"/>
  <c r="AN1929" i="1"/>
  <c r="AN863" i="1"/>
  <c r="AN326" i="1"/>
  <c r="AN3032" i="1"/>
  <c r="AN15" i="1"/>
  <c r="AN1101" i="1"/>
  <c r="AN1814" i="1"/>
  <c r="AN396" i="1"/>
  <c r="AN805" i="1"/>
  <c r="AN96" i="1"/>
  <c r="AN433" i="1"/>
  <c r="AN4035" i="1"/>
  <c r="AN3014" i="1"/>
  <c r="AN1885" i="1"/>
  <c r="AN821" i="1"/>
  <c r="AN300" i="1"/>
  <c r="AN982" i="1"/>
  <c r="AN2059" i="1"/>
  <c r="AN432" i="1"/>
  <c r="AN760" i="1"/>
  <c r="AN382" i="1"/>
  <c r="AN2988" i="1"/>
  <c r="AN1843" i="1"/>
  <c r="AN157" i="1"/>
  <c r="AN3638" i="1"/>
  <c r="AN404" i="1"/>
  <c r="AN3134" i="1"/>
  <c r="AN73" i="1"/>
  <c r="AN23" i="1"/>
  <c r="AN25" i="1"/>
  <c r="AN2966" i="1"/>
  <c r="AN1795" i="1"/>
  <c r="AN743" i="1"/>
  <c r="AN129" i="1"/>
  <c r="AN3055" i="1"/>
  <c r="AN1692" i="1"/>
  <c r="AN323" i="1"/>
  <c r="AN1594" i="1"/>
  <c r="AN39" i="1"/>
  <c r="AN3" i="1"/>
  <c r="AN2452" i="1"/>
  <c r="AN333" i="1"/>
  <c r="AN2938" i="1"/>
  <c r="AN1746" i="1"/>
  <c r="AN78" i="1"/>
  <c r="AN641" i="1"/>
  <c r="AN9" i="1"/>
  <c r="AN3727" i="1"/>
  <c r="AN2908" i="1"/>
  <c r="AN1715" i="1"/>
  <c r="AN94" i="1"/>
  <c r="AN759" i="1"/>
  <c r="AN44" i="1"/>
  <c r="AN332" i="1"/>
  <c r="AN287" i="1"/>
  <c r="AN266" i="1"/>
  <c r="AN2887" i="1"/>
  <c r="AN1684" i="1"/>
  <c r="AN304" i="1"/>
  <c r="AN517" i="1"/>
  <c r="AN1126" i="1"/>
  <c r="AN1489" i="1"/>
  <c r="AN3706" i="1"/>
  <c r="AN769" i="1"/>
  <c r="AN3680" i="1"/>
  <c r="AN2863" i="1"/>
  <c r="AN1638" i="1"/>
  <c r="AN4306" i="1"/>
  <c r="AN265" i="1"/>
  <c r="AN463" i="1"/>
  <c r="AN1889" i="1"/>
  <c r="AN1381" i="1"/>
  <c r="AN156" i="1"/>
  <c r="AN2831" i="1"/>
  <c r="AN1603" i="1"/>
  <c r="AN4279" i="1"/>
  <c r="AN438" i="1"/>
  <c r="AN939" i="1"/>
  <c r="AN2686" i="1"/>
  <c r="AN1402" i="1"/>
  <c r="AN1331" i="1"/>
  <c r="AN124" i="1"/>
  <c r="AN1605" i="1"/>
  <c r="AN2807" i="1"/>
  <c r="AN1574" i="1"/>
  <c r="AN409" i="1"/>
  <c r="AN4204" i="1"/>
  <c r="AN1801" i="1"/>
  <c r="AN1239" i="1"/>
  <c r="AN1240" i="1"/>
  <c r="AN68" i="1"/>
  <c r="AN2780" i="1"/>
  <c r="AN1539" i="1"/>
  <c r="AN416" i="1"/>
  <c r="AN4253" i="1"/>
  <c r="AN4232" i="1"/>
  <c r="AN3807" i="1"/>
  <c r="AN99" i="1"/>
  <c r="AN384" i="1"/>
  <c r="AN4174" i="1"/>
  <c r="AN2612" i="1"/>
  <c r="AN1593" i="1"/>
  <c r="AN41" i="1"/>
  <c r="AN596" i="1"/>
  <c r="AN2759" i="1"/>
  <c r="AN1508" i="1"/>
  <c r="AN66" i="1"/>
  <c r="AN361" i="1"/>
  <c r="AN4155" i="1"/>
  <c r="AN5" i="1"/>
  <c r="AN2732" i="1"/>
  <c r="AN1469" i="1"/>
  <c r="AN369" i="1"/>
  <c r="AN1468" i="1"/>
  <c r="AN4177" i="1"/>
  <c r="AN3416" i="1"/>
  <c r="AN3125" i="1"/>
  <c r="AN26" i="1"/>
  <c r="AN4123" i="1"/>
  <c r="AN3705" i="1"/>
  <c r="AN475" i="1"/>
  <c r="AN2701" i="1"/>
  <c r="AN1428" i="1"/>
  <c r="AN1326" i="1"/>
  <c r="AN2861" i="1"/>
  <c r="AN4157" i="1"/>
  <c r="AN3020" i="1"/>
  <c r="AN1904" i="1"/>
  <c r="AN4" i="1"/>
  <c r="AN4093" i="1"/>
  <c r="AN2818" i="1"/>
  <c r="AN1003" i="1"/>
  <c r="AN885" i="1"/>
  <c r="AN2667" i="1"/>
  <c r="AN1379" i="1"/>
  <c r="AN1238" i="1"/>
  <c r="AN4127" i="1"/>
  <c r="AN1514" i="1"/>
  <c r="AN4072" i="1"/>
  <c r="AN2122" i="1"/>
  <c r="AN830" i="1"/>
  <c r="AN1460" i="1"/>
  <c r="AN831" i="1"/>
  <c r="AN2627" i="1"/>
  <c r="AN1144" i="1"/>
  <c r="AN194" i="1"/>
  <c r="AN4055" i="1"/>
  <c r="AN3129" i="1"/>
  <c r="AN2593" i="1"/>
  <c r="AN1036" i="1"/>
  <c r="AN4095" i="1"/>
  <c r="AN4074" i="1"/>
  <c r="AN3766" i="1"/>
  <c r="AN150" i="1"/>
  <c r="AN4025" i="1"/>
  <c r="AN368" i="1"/>
  <c r="AN2556" i="1"/>
  <c r="AN945" i="1"/>
  <c r="AN1139" i="1"/>
  <c r="AN338" i="1"/>
  <c r="AN308" i="1"/>
  <c r="AN4057" i="1"/>
  <c r="AN1236" i="1"/>
  <c r="AN3735" i="1"/>
  <c r="AN768" i="1"/>
  <c r="AN2721" i="1"/>
  <c r="AN723" i="1"/>
  <c r="AN1874" i="1"/>
  <c r="AN343" i="1"/>
  <c r="AN2518" i="1"/>
  <c r="AN880" i="1"/>
  <c r="AN671" i="1"/>
  <c r="AN4207" i="1"/>
  <c r="AN4029" i="1"/>
  <c r="AN3713" i="1"/>
  <c r="AN71" i="1"/>
  <c r="AN2465" i="1"/>
  <c r="AN828" i="1"/>
  <c r="AN2530" i="1"/>
  <c r="AN201" i="1"/>
  <c r="AN3689" i="1"/>
  <c r="AN702" i="1"/>
  <c r="AN694" i="1"/>
  <c r="AN1111" i="1"/>
  <c r="AN628" i="1"/>
  <c r="AN1171" i="1"/>
  <c r="AN2431" i="1"/>
  <c r="AN793" i="1"/>
  <c r="AN278" i="1"/>
  <c r="AN7" i="1"/>
  <c r="AN3822" i="1"/>
  <c r="AN3008" i="1"/>
  <c r="AN3493" i="1"/>
  <c r="AN646" i="1"/>
  <c r="AN1007" i="1"/>
  <c r="AN554" i="1"/>
  <c r="AN212" i="1"/>
  <c r="AN4327" i="1"/>
  <c r="AN2400" i="1"/>
  <c r="AN749" i="1"/>
  <c r="AN192" i="1"/>
  <c r="AN571" i="1"/>
  <c r="AN2814" i="1"/>
  <c r="AN587" i="1"/>
  <c r="AN2983" i="1"/>
  <c r="AN506" i="1"/>
  <c r="AN162" i="1"/>
  <c r="AN4310" i="1"/>
  <c r="AN2353" i="1"/>
  <c r="AN792" i="1"/>
  <c r="AN147" i="1"/>
  <c r="AN452" i="1"/>
  <c r="AN464" i="1"/>
  <c r="AN151" i="1"/>
  <c r="AN112" i="1"/>
  <c r="AN826" i="1"/>
  <c r="AN322" i="1"/>
  <c r="AN521" i="1"/>
  <c r="AN456" i="1"/>
  <c r="AN4288" i="1"/>
  <c r="AN2319" i="1"/>
  <c r="AN672" i="1"/>
  <c r="AN422" i="1"/>
  <c r="AN4324" i="1"/>
  <c r="AN1590" i="1"/>
  <c r="AN888" i="1"/>
  <c r="AN3421" i="1"/>
  <c r="AN2763" i="1"/>
  <c r="AN4256" i="1"/>
  <c r="AN2272" i="1"/>
  <c r="AN1556" i="1"/>
  <c r="AN8" i="1"/>
  <c r="AN1705" i="1"/>
  <c r="AN226" i="1"/>
  <c r="AN441" i="1"/>
  <c r="AN400" i="1"/>
  <c r="AN802" i="1"/>
  <c r="AN4236" i="1"/>
  <c r="AN2229" i="1"/>
  <c r="AN542" i="1"/>
  <c r="AN3227" i="1"/>
  <c r="AN363" i="1"/>
  <c r="AN3140" i="1"/>
  <c r="AN72" i="1"/>
  <c r="AN1520" i="1"/>
  <c r="AN712" i="1"/>
  <c r="AN801" i="1"/>
  <c r="AN3410" i="1"/>
  <c r="AN375" i="1"/>
  <c r="AN3543" i="1"/>
  <c r="AN376" i="1"/>
  <c r="AN1565" i="1"/>
  <c r="AN4211" i="1"/>
  <c r="AN2180" i="1"/>
  <c r="AN499" i="1"/>
  <c r="AN383" i="1"/>
  <c r="AN6" i="1"/>
  <c r="AN294" i="1"/>
  <c r="AN236" i="1"/>
  <c r="AN3019" i="1"/>
  <c r="AN389" i="1"/>
  <c r="AN352" i="1"/>
  <c r="AN2772" i="1"/>
  <c r="AN1529" i="1"/>
  <c r="AN4182" i="1"/>
  <c r="AN2127" i="1"/>
  <c r="AN1306" i="1"/>
  <c r="AN360" i="1"/>
  <c r="AN171" i="1"/>
  <c r="AN668" i="1"/>
  <c r="AN617" i="1"/>
  <c r="AN329" i="1"/>
  <c r="AN647" i="1"/>
  <c r="AN3077" i="1"/>
  <c r="AN4160" i="1"/>
  <c r="AN3132" i="1"/>
  <c r="AN2092" i="1"/>
  <c r="AN425" i="1"/>
  <c r="AN335" i="1"/>
  <c r="AN136" i="1"/>
  <c r="AO1090" i="1"/>
  <c r="AO49" i="1"/>
  <c r="AO3002" i="1"/>
  <c r="AO339" i="1"/>
  <c r="AO302" i="1"/>
  <c r="AO577" i="1"/>
  <c r="AO639" i="1"/>
  <c r="AO4137" i="1"/>
  <c r="AO3109" i="1"/>
  <c r="AO2063" i="1"/>
  <c r="AO299" i="1"/>
  <c r="AO132" i="1"/>
  <c r="AO88" i="1"/>
  <c r="AO3764" i="1"/>
  <c r="AO491" i="1"/>
  <c r="AO638" i="1"/>
  <c r="AO985" i="1"/>
  <c r="AO16" i="1"/>
  <c r="AO309" i="1"/>
  <c r="AO2117" i="1"/>
  <c r="AO4098" i="1"/>
  <c r="AO3083" i="1"/>
  <c r="AO2028" i="1"/>
  <c r="AO374" i="1"/>
  <c r="AO81" i="1"/>
  <c r="AO1274" i="1"/>
  <c r="AO4043" i="1"/>
  <c r="AO450" i="1"/>
  <c r="AO186" i="1"/>
  <c r="AO470" i="1"/>
  <c r="AO3007" i="1"/>
  <c r="AO4077" i="1"/>
  <c r="AO3058" i="1"/>
  <c r="AO1985" i="1"/>
  <c r="AO923" i="1"/>
  <c r="AO351" i="1"/>
  <c r="AO1180" i="1"/>
  <c r="AO19" i="1"/>
  <c r="AO204" i="1"/>
  <c r="AO144" i="1"/>
  <c r="AO4060" i="1"/>
  <c r="AO3033" i="1"/>
  <c r="AO1929" i="1"/>
  <c r="AO863" i="1"/>
  <c r="AO326" i="1"/>
  <c r="AO3032" i="1"/>
  <c r="AO15" i="1"/>
  <c r="AO1101" i="1"/>
  <c r="AO1814" i="1"/>
  <c r="AO396" i="1"/>
  <c r="AO805" i="1"/>
  <c r="AO96" i="1"/>
  <c r="AO433" i="1"/>
  <c r="AO4035" i="1"/>
  <c r="AO3014" i="1"/>
  <c r="AO1885" i="1"/>
  <c r="AO821" i="1"/>
  <c r="AO300" i="1"/>
  <c r="AO982" i="1"/>
  <c r="AO2059" i="1"/>
  <c r="AO432" i="1"/>
  <c r="AO760" i="1"/>
  <c r="AO382" i="1"/>
  <c r="AO2988" i="1"/>
  <c r="AO1843" i="1"/>
  <c r="AO157" i="1"/>
  <c r="AO3638" i="1"/>
  <c r="AO404" i="1"/>
  <c r="AO3134" i="1"/>
  <c r="AO73" i="1"/>
  <c r="AO23" i="1"/>
  <c r="AO25" i="1"/>
  <c r="AO2966" i="1"/>
  <c r="AO1795" i="1"/>
  <c r="AO743" i="1"/>
  <c r="AO129" i="1"/>
  <c r="AO3055" i="1"/>
  <c r="AO1692" i="1"/>
  <c r="AO323" i="1"/>
  <c r="AO39" i="1"/>
  <c r="AO3" i="1"/>
  <c r="AO2452" i="1"/>
  <c r="AO333" i="1"/>
  <c r="AO2938" i="1"/>
  <c r="AO1746" i="1"/>
  <c r="AO78" i="1"/>
  <c r="AO641" i="1"/>
  <c r="AO9" i="1"/>
  <c r="AO3727" i="1"/>
  <c r="AO2908" i="1"/>
  <c r="AO1715" i="1"/>
  <c r="AO94" i="1"/>
  <c r="AO759" i="1"/>
  <c r="AO44" i="1"/>
  <c r="AO332" i="1"/>
  <c r="AO287" i="1"/>
  <c r="AO266" i="1"/>
  <c r="AO2887" i="1"/>
  <c r="AO1684" i="1"/>
  <c r="AO304" i="1"/>
  <c r="AO517" i="1"/>
  <c r="AO1126" i="1"/>
  <c r="AO1489" i="1"/>
  <c r="AO3706" i="1"/>
  <c r="AO769" i="1"/>
  <c r="AO3680" i="1"/>
  <c r="AO2863" i="1"/>
  <c r="AO1638" i="1"/>
  <c r="AO4306" i="1"/>
  <c r="AO265" i="1"/>
  <c r="AO463" i="1"/>
  <c r="AO1889" i="1"/>
  <c r="AO1381" i="1"/>
  <c r="AO156" i="1"/>
  <c r="AO2831" i="1"/>
  <c r="AO1603" i="1"/>
  <c r="AO4279" i="1"/>
  <c r="AO438" i="1"/>
  <c r="AO939" i="1"/>
  <c r="AO2686" i="1"/>
  <c r="AO1402" i="1"/>
  <c r="AO1331" i="1"/>
  <c r="AO124" i="1"/>
  <c r="AO1605" i="1"/>
  <c r="AO2807" i="1"/>
  <c r="AO1574" i="1"/>
  <c r="AO409" i="1"/>
  <c r="AO4204" i="1"/>
  <c r="AO1801" i="1"/>
  <c r="AO1239" i="1"/>
  <c r="AO1240" i="1"/>
  <c r="AO68" i="1"/>
  <c r="AO2780" i="1"/>
  <c r="AO1539" i="1"/>
  <c r="AO416" i="1"/>
  <c r="AO4253" i="1"/>
  <c r="AO4232" i="1"/>
  <c r="AO3807" i="1"/>
  <c r="AO99" i="1"/>
  <c r="AO384" i="1"/>
  <c r="AO4174" i="1"/>
  <c r="AO2612" i="1"/>
  <c r="AO1593" i="1"/>
  <c r="AO41" i="1"/>
  <c r="AO596" i="1"/>
  <c r="AO2759" i="1"/>
  <c r="AO1508" i="1"/>
  <c r="AO1594" i="1"/>
  <c r="AO66" i="1"/>
  <c r="AO361" i="1"/>
  <c r="AO4155" i="1"/>
  <c r="AO5" i="1"/>
  <c r="AO2732" i="1"/>
  <c r="AO1469" i="1"/>
  <c r="AO369" i="1"/>
  <c r="AO1468" i="1"/>
  <c r="AO4177" i="1"/>
  <c r="AO3416" i="1"/>
  <c r="AO26" i="1"/>
  <c r="AO4123" i="1"/>
  <c r="AO3705" i="1"/>
  <c r="AO475" i="1"/>
  <c r="AO2701" i="1"/>
  <c r="AO1428" i="1"/>
  <c r="AO1326" i="1"/>
  <c r="AO2861" i="1"/>
  <c r="AO4157" i="1"/>
  <c r="AO3020" i="1"/>
  <c r="AO1904" i="1"/>
  <c r="AO4" i="1"/>
  <c r="AO4093" i="1"/>
  <c r="AO2818" i="1"/>
  <c r="AO1003" i="1"/>
  <c r="AO885" i="1"/>
  <c r="AO2667" i="1"/>
  <c r="AO1379" i="1"/>
  <c r="AO1238" i="1"/>
  <c r="AO4127" i="1"/>
  <c r="AO1514" i="1"/>
  <c r="AO4072" i="1"/>
  <c r="AO2122" i="1"/>
  <c r="AO830" i="1"/>
  <c r="AO1460" i="1"/>
  <c r="AO831" i="1"/>
  <c r="AO2627" i="1"/>
  <c r="AO1144" i="1"/>
  <c r="AO194" i="1"/>
  <c r="AO4055" i="1"/>
  <c r="AO3129" i="1"/>
  <c r="AO2593" i="1"/>
  <c r="AO1036" i="1"/>
  <c r="AO342" i="1"/>
  <c r="AO4095" i="1"/>
  <c r="AO4074" i="1"/>
  <c r="AO3766" i="1"/>
  <c r="AO150" i="1"/>
  <c r="AO4025" i="1"/>
  <c r="AO368" i="1"/>
  <c r="AO2556" i="1"/>
  <c r="AO945" i="1"/>
  <c r="AO1139" i="1"/>
  <c r="AO338" i="1"/>
  <c r="AO308" i="1"/>
  <c r="AO4057" i="1"/>
  <c r="AO1236" i="1"/>
  <c r="AO3735" i="1"/>
  <c r="AO2721" i="1"/>
  <c r="AO723" i="1"/>
  <c r="AO1874" i="1"/>
  <c r="AO343" i="1"/>
  <c r="AO2518" i="1"/>
  <c r="AO880" i="1"/>
  <c r="AO671" i="1"/>
  <c r="AO4207" i="1"/>
  <c r="AO4029" i="1"/>
  <c r="AO3713" i="1"/>
  <c r="AO71" i="1"/>
  <c r="AO2465" i="1"/>
  <c r="AO828" i="1"/>
  <c r="AO2530" i="1"/>
  <c r="AO201" i="1"/>
  <c r="AO3689" i="1"/>
  <c r="AO694" i="1"/>
  <c r="AO1111" i="1"/>
  <c r="AO628" i="1"/>
  <c r="AO1171" i="1"/>
  <c r="AO2431" i="1"/>
  <c r="AO793" i="1"/>
  <c r="AO278" i="1"/>
  <c r="AO7" i="1"/>
  <c r="AO3822" i="1"/>
  <c r="AO3008" i="1"/>
  <c r="AO3493" i="1"/>
  <c r="AO646" i="1"/>
  <c r="AO1007" i="1"/>
  <c r="AO554" i="1"/>
  <c r="AO212" i="1"/>
  <c r="AO4327" i="1"/>
  <c r="AO2400" i="1"/>
  <c r="AO749" i="1"/>
  <c r="AO192" i="1"/>
  <c r="AO571" i="1"/>
  <c r="AO2814" i="1"/>
  <c r="AO2983" i="1"/>
  <c r="AO506" i="1"/>
  <c r="AO162" i="1"/>
  <c r="AO4310" i="1"/>
  <c r="AO2353" i="1"/>
  <c r="AO792" i="1"/>
  <c r="AO147" i="1"/>
  <c r="AO452" i="1"/>
  <c r="AO3125" i="1"/>
  <c r="AO464" i="1"/>
  <c r="AO151" i="1"/>
  <c r="AO112" i="1"/>
  <c r="AO826" i="1"/>
  <c r="AO322" i="1"/>
  <c r="AO521" i="1"/>
  <c r="AO456" i="1"/>
  <c r="AO4288" i="1"/>
  <c r="AO2319" i="1"/>
  <c r="AO672" i="1"/>
  <c r="AO422" i="1"/>
  <c r="AO4324" i="1"/>
  <c r="AO1590" i="1"/>
  <c r="AO888" i="1"/>
  <c r="AO3421" i="1"/>
  <c r="AO2763" i="1"/>
  <c r="AO4256" i="1"/>
  <c r="AO2272" i="1"/>
  <c r="AO1556" i="1"/>
  <c r="AO8" i="1"/>
  <c r="AO1705" i="1"/>
  <c r="AO226" i="1"/>
  <c r="AO441" i="1"/>
  <c r="AO400" i="1"/>
  <c r="AO802" i="1"/>
  <c r="AO4236" i="1"/>
  <c r="AO2229" i="1"/>
  <c r="AO542" i="1"/>
  <c r="AO3227" i="1"/>
  <c r="AO587" i="1"/>
  <c r="AO363" i="1"/>
  <c r="AO3140" i="1"/>
  <c r="AO72" i="1"/>
  <c r="AO1520" i="1"/>
  <c r="AO712" i="1"/>
  <c r="AO801" i="1"/>
  <c r="AO3410" i="1"/>
  <c r="AO375" i="1"/>
  <c r="AO3543" i="1"/>
  <c r="AO376" i="1"/>
  <c r="AO1565" i="1"/>
  <c r="AO4211" i="1"/>
  <c r="AO2180" i="1"/>
  <c r="AO499" i="1"/>
  <c r="AO383" i="1"/>
  <c r="AO6" i="1"/>
  <c r="AO294" i="1"/>
  <c r="AO236" i="1"/>
  <c r="AO3019" i="1"/>
  <c r="AO352" i="1"/>
  <c r="AO2772" i="1"/>
  <c r="AO1529" i="1"/>
  <c r="AO4182" i="1"/>
  <c r="AO2127" i="1"/>
  <c r="AO1306" i="1"/>
  <c r="AO360" i="1"/>
  <c r="AO171" i="1"/>
  <c r="AO668" i="1"/>
  <c r="AO617" i="1"/>
  <c r="AO329" i="1"/>
  <c r="AO647" i="1"/>
  <c r="AO3077" i="1"/>
  <c r="AO4160" i="1"/>
  <c r="AO3132" i="1"/>
  <c r="AO2092" i="1"/>
  <c r="AO425" i="1"/>
  <c r="AO335" i="1"/>
  <c r="AO136" i="1"/>
  <c r="AO2998" i="1"/>
  <c r="AO1861" i="1"/>
  <c r="AO2349" i="1"/>
  <c r="AO537" i="1"/>
  <c r="AO32" i="1"/>
  <c r="AO2608" i="1"/>
  <c r="AO2057" i="1"/>
  <c r="AO1762" i="1"/>
  <c r="AO2158" i="1"/>
  <c r="AO557" i="1"/>
  <c r="AO3827" i="1"/>
  <c r="AO3015" i="1"/>
  <c r="AO1511" i="1"/>
  <c r="AO4045" i="1"/>
  <c r="AO3477" i="1"/>
  <c r="AO2582" i="1"/>
  <c r="AO3376" i="1"/>
  <c r="AO3442" i="1"/>
  <c r="AO3724" i="1"/>
  <c r="AO2906" i="1"/>
  <c r="AO1709" i="1"/>
  <c r="AO4245" i="1"/>
  <c r="AO2613" i="1"/>
  <c r="AO3467" i="1"/>
  <c r="AO2566" i="1"/>
  <c r="AO394" i="1"/>
  <c r="AO3998" i="1"/>
  <c r="AO3208" i="1"/>
  <c r="AO2191" i="1"/>
  <c r="AO1719" i="1"/>
  <c r="AO3463" i="1"/>
  <c r="AO2564" i="1"/>
  <c r="AO3961" i="1"/>
  <c r="AO3143" i="1"/>
  <c r="AO2116" i="1"/>
  <c r="AO508" i="1"/>
  <c r="AO386" i="1"/>
  <c r="AO3804" i="1"/>
  <c r="AO2992" i="1"/>
  <c r="AO2112" i="1"/>
  <c r="AO2975" i="1"/>
  <c r="AO1125" i="1"/>
  <c r="AO189" i="1"/>
  <c r="AO3380" i="1"/>
  <c r="AO2435" i="1"/>
  <c r="AO3347" i="1"/>
  <c r="AO4319" i="1"/>
  <c r="AO3700" i="1"/>
  <c r="AO2884" i="1"/>
  <c r="AO1675" i="1"/>
  <c r="AO713" i="1"/>
  <c r="AO4222" i="1"/>
  <c r="AO3472" i="1"/>
  <c r="AO2577" i="1"/>
  <c r="AO3799" i="1"/>
  <c r="AO3441" i="1"/>
  <c r="AO371" i="1"/>
  <c r="AO640" i="1"/>
  <c r="AO3977" i="1"/>
  <c r="AO3167" i="1"/>
  <c r="AO146" i="1"/>
  <c r="AO3369" i="1"/>
  <c r="AO2419" i="1"/>
  <c r="AO1830" i="1"/>
  <c r="AO319" i="1"/>
  <c r="AO3437" i="1"/>
  <c r="AO3939" i="1"/>
  <c r="AO3122" i="1"/>
  <c r="AO2076" i="1"/>
  <c r="AO364" i="1"/>
  <c r="AO1437" i="1"/>
  <c r="AO2946" i="1"/>
  <c r="AO1488" i="1"/>
  <c r="AO3427" i="1"/>
  <c r="AO2504" i="1"/>
  <c r="AO1021" i="1"/>
  <c r="AU1021" i="1" s="1"/>
  <c r="AO4197" i="1"/>
  <c r="AO3446" i="1"/>
  <c r="AO2536" i="1"/>
  <c r="AO3779" i="1"/>
  <c r="AO2956" i="1"/>
  <c r="AO695" i="1"/>
  <c r="AO1914" i="1"/>
  <c r="AO346" i="1"/>
  <c r="AO566" i="1"/>
  <c r="AO3956" i="1"/>
  <c r="AO2385" i="1"/>
  <c r="AO1787" i="1"/>
  <c r="AO291" i="1"/>
  <c r="AO3413" i="1"/>
  <c r="AO3917" i="1"/>
  <c r="AO3096" i="1"/>
  <c r="AO2048" i="1"/>
  <c r="AO2924" i="1"/>
  <c r="AO97" i="1"/>
  <c r="AO3320" i="1"/>
  <c r="AO2358" i="1"/>
  <c r="AO4317" i="1"/>
  <c r="AO4268" i="1"/>
  <c r="AO3353" i="1"/>
  <c r="AO621" i="1"/>
  <c r="AO4169" i="1"/>
  <c r="AO3749" i="1"/>
  <c r="AO2933" i="1"/>
  <c r="AO2439" i="1"/>
  <c r="AO1609" i="1"/>
  <c r="AO3307" i="1"/>
  <c r="AO2339" i="1"/>
  <c r="AO1733" i="1"/>
  <c r="AO3385" i="1"/>
  <c r="AO2436" i="1"/>
  <c r="AO3729" i="1"/>
  <c r="AO60" i="1"/>
  <c r="AO4299" i="1"/>
  <c r="AO241" i="1"/>
  <c r="AO3256" i="1"/>
  <c r="AO2804" i="1"/>
  <c r="AO1570" i="1"/>
  <c r="AO2872" i="1"/>
  <c r="AO1652" i="1"/>
  <c r="AO3153" i="1"/>
  <c r="AO2125" i="1"/>
  <c r="AO538" i="1"/>
  <c r="AO372" i="1"/>
  <c r="AO4151" i="1"/>
  <c r="AO3397" i="1"/>
  <c r="AO2449" i="1"/>
  <c r="AO3352" i="1"/>
  <c r="AO2409" i="1"/>
  <c r="AO1835" i="1"/>
  <c r="AO295" i="1"/>
  <c r="AO462" i="1"/>
  <c r="AO3912" i="1"/>
  <c r="AO3089" i="1"/>
  <c r="AO2032" i="1"/>
  <c r="AO3048" i="1"/>
  <c r="AO1956" i="1"/>
  <c r="AO379" i="1"/>
  <c r="AO286" i="1"/>
  <c r="AO3691" i="1"/>
  <c r="AO2875" i="1"/>
  <c r="AO3338" i="1"/>
  <c r="AO2390" i="1"/>
  <c r="AO3229" i="1"/>
  <c r="AO3300" i="1"/>
  <c r="AO3499" i="1"/>
  <c r="AO3610" i="1"/>
  <c r="AO2778" i="1"/>
  <c r="AO1534" i="1"/>
  <c r="AO3131" i="1"/>
  <c r="AO2091" i="1"/>
  <c r="AO497" i="1"/>
  <c r="AO4115" i="1"/>
  <c r="AO2414" i="1"/>
  <c r="AO3697" i="1"/>
  <c r="AO2882" i="1"/>
  <c r="AO434" i="1"/>
  <c r="AO1549" i="1"/>
  <c r="AO1664" i="1"/>
  <c r="AO130" i="1"/>
  <c r="AO3321" i="1"/>
  <c r="AO2360" i="1"/>
  <c r="AO3837" i="1"/>
  <c r="AO3022" i="1"/>
  <c r="AO1908" i="1"/>
  <c r="AO1160" i="1"/>
  <c r="AO3665" i="1"/>
  <c r="AO778" i="1"/>
  <c r="AO3231" i="1"/>
  <c r="AO2235" i="1"/>
  <c r="AO139" i="1"/>
  <c r="AO3993" i="1"/>
  <c r="AO3201" i="1"/>
  <c r="AO4199" i="1"/>
  <c r="AO3264" i="1"/>
  <c r="AO1499" i="1"/>
  <c r="AO1589" i="1"/>
  <c r="AO3108" i="1"/>
  <c r="AO2060" i="1"/>
  <c r="AO290" i="1"/>
  <c r="AO3335" i="1"/>
  <c r="AO165" i="1"/>
  <c r="AO4325" i="1"/>
  <c r="AO407" i="1"/>
  <c r="AO3861" i="1"/>
  <c r="AO3039" i="1"/>
  <c r="AO1942" i="1"/>
  <c r="AO3816" i="1"/>
  <c r="AO1043" i="1"/>
  <c r="AO3641" i="1"/>
  <c r="AO4230" i="1"/>
  <c r="AO1210" i="1"/>
  <c r="AO4170" i="1"/>
  <c r="AO3236" i="1"/>
  <c r="AO3457" i="1"/>
  <c r="AO3559" i="1"/>
  <c r="AO2729" i="1"/>
  <c r="AO1467" i="1"/>
  <c r="AO3080" i="1"/>
  <c r="AO2027" i="1"/>
  <c r="AO230" i="1"/>
  <c r="AO1193" i="1"/>
  <c r="AO4068" i="1"/>
  <c r="AO3305" i="1"/>
  <c r="AO3653" i="1"/>
  <c r="AO2825" i="1"/>
  <c r="AO443" i="1"/>
  <c r="AO3263" i="1"/>
  <c r="AO133" i="1"/>
  <c r="AO3186" i="1"/>
  <c r="AO2164" i="1"/>
  <c r="AO1595" i="1"/>
  <c r="AO47" i="1"/>
  <c r="AO3261" i="1"/>
  <c r="AO2283" i="1"/>
  <c r="AO3793" i="1"/>
  <c r="AO2976" i="1"/>
  <c r="AO1822" i="1"/>
  <c r="AO3633" i="1"/>
  <c r="AO2808" i="1"/>
  <c r="AO3248" i="1"/>
  <c r="AO2260" i="1"/>
  <c r="AO708" i="1"/>
  <c r="AO56" i="1"/>
  <c r="AO2698" i="1"/>
  <c r="AO1422" i="1"/>
  <c r="AO2766" i="1"/>
  <c r="AO1519" i="1"/>
  <c r="AO3057" i="1"/>
  <c r="AO1984" i="1"/>
  <c r="AO397" i="1"/>
  <c r="AO166" i="1"/>
  <c r="AO3274" i="1"/>
  <c r="AO412" i="1"/>
  <c r="AO3235" i="1"/>
  <c r="AO1670" i="1"/>
  <c r="AO83" i="1"/>
  <c r="AO1451" i="1"/>
  <c r="AO3965" i="1"/>
  <c r="AO3147" i="1"/>
  <c r="AO2949" i="1"/>
  <c r="AO1776" i="1"/>
  <c r="AO3613" i="1"/>
  <c r="AO2781" i="1"/>
  <c r="AO4176" i="1"/>
  <c r="AO58" i="1"/>
  <c r="AO3928" i="1"/>
  <c r="AO1928" i="1"/>
  <c r="AO373" i="1"/>
  <c r="AO134" i="1"/>
  <c r="AO4020" i="1"/>
  <c r="AO3244" i="1"/>
  <c r="AO2252" i="1"/>
  <c r="AO2195" i="1"/>
  <c r="AO1630" i="1"/>
  <c r="AO4254" i="1"/>
  <c r="AO3943" i="1"/>
  <c r="AO3127" i="1"/>
  <c r="AO2082" i="1"/>
  <c r="AO3588" i="1"/>
  <c r="AO2760" i="1"/>
  <c r="AO3572" i="1"/>
  <c r="AO2745" i="1"/>
  <c r="AO4156" i="1"/>
  <c r="AO602" i="1"/>
  <c r="AO4116" i="1"/>
  <c r="AO3517" i="1"/>
  <c r="AO3375" i="1"/>
  <c r="AO1884" i="1"/>
  <c r="AO350" i="1"/>
  <c r="AO898" i="1"/>
  <c r="AO4003" i="1"/>
  <c r="AO3219" i="1"/>
  <c r="AO2214" i="1"/>
  <c r="AO3581" i="1"/>
  <c r="AO2756" i="1"/>
  <c r="AO3978" i="1"/>
  <c r="AO306" i="1"/>
  <c r="AO3763" i="1"/>
  <c r="AO2943" i="1"/>
  <c r="AO1337" i="1"/>
  <c r="AO3922" i="1"/>
  <c r="AO3103" i="1"/>
  <c r="AO2054" i="1"/>
  <c r="AO2734" i="1"/>
  <c r="AO794" i="1"/>
  <c r="AO2718" i="1"/>
  <c r="AO4124" i="1"/>
  <c r="AO842" i="1"/>
  <c r="AO4069" i="1"/>
  <c r="AO3937" i="1"/>
  <c r="AO3345" i="1"/>
  <c r="AO2682" i="1"/>
  <c r="AO3177" i="1"/>
  <c r="AO2159" i="1"/>
  <c r="AO3558" i="1"/>
  <c r="AO2727" i="1"/>
  <c r="AO341" i="1"/>
  <c r="AO2105" i="1"/>
  <c r="AO1569" i="1"/>
  <c r="AO4209" i="1"/>
  <c r="AO3733" i="1"/>
  <c r="AO2919" i="1"/>
  <c r="AO1258" i="1"/>
  <c r="AO1463" i="1"/>
  <c r="AO3955" i="1"/>
  <c r="AO3136" i="1"/>
  <c r="AO2098" i="1"/>
  <c r="AO3539" i="1"/>
  <c r="AO2703" i="1"/>
  <c r="AO752" i="1"/>
  <c r="AO2684" i="1"/>
  <c r="AO2086" i="1"/>
  <c r="AO488" i="1"/>
  <c r="AO3885" i="1"/>
  <c r="AO2643" i="1"/>
  <c r="AO1342" i="1"/>
  <c r="AO2960" i="1"/>
  <c r="AO1792" i="1"/>
  <c r="AO18" i="1"/>
  <c r="AO3117" i="1"/>
  <c r="AO1533" i="1"/>
  <c r="AO4180" i="1"/>
  <c r="AO3710" i="1"/>
  <c r="AO2893" i="1"/>
  <c r="AO3875" i="1"/>
  <c r="AO4312" i="1"/>
  <c r="AO3667" i="1"/>
  <c r="AO2670" i="1"/>
  <c r="AO721" i="1"/>
  <c r="AO4313" i="1"/>
  <c r="AO4073" i="1"/>
  <c r="AO3826" i="1"/>
  <c r="AO4301" i="1"/>
  <c r="AO2665" i="1"/>
  <c r="AO2744" i="1"/>
  <c r="AO3889" i="1"/>
  <c r="AO2512" i="1"/>
  <c r="AO3515" i="1"/>
  <c r="AO2664" i="1"/>
  <c r="AO1497" i="1"/>
  <c r="AO3025" i="1"/>
  <c r="AO1912" i="1"/>
  <c r="AO1365" i="1"/>
  <c r="AO3087" i="1"/>
  <c r="AO2031" i="1"/>
  <c r="AO3642" i="1"/>
  <c r="AO2817" i="1"/>
  <c r="AO1591" i="1"/>
  <c r="AO734" i="1"/>
  <c r="AO3895" i="1"/>
  <c r="AO2019" i="1"/>
  <c r="AO3829" i="1"/>
  <c r="AO3016" i="1"/>
  <c r="AO1893" i="1"/>
  <c r="AO4046" i="1"/>
  <c r="AO3803" i="1"/>
  <c r="AO2460" i="1"/>
  <c r="AO2568" i="1"/>
  <c r="AO733" i="1"/>
  <c r="AO3918" i="1"/>
  <c r="AO3099" i="1"/>
  <c r="AO2051" i="1"/>
  <c r="AO1996" i="1"/>
  <c r="AO1465" i="1"/>
  <c r="AO103" i="1"/>
  <c r="AO3886" i="1"/>
  <c r="AO2796" i="1"/>
  <c r="AO1559" i="1"/>
  <c r="AO3483" i="1"/>
  <c r="AO2595" i="1"/>
  <c r="AO4262" i="1"/>
  <c r="AO3470" i="1"/>
  <c r="AO2571" i="1"/>
  <c r="AO4027" i="1"/>
  <c r="AO693" i="1"/>
  <c r="AO4015" i="1"/>
  <c r="AO3782" i="1"/>
  <c r="AO3833" i="1"/>
  <c r="AO3074" i="1"/>
  <c r="AO2007" i="1"/>
  <c r="AO3478" i="1"/>
  <c r="AO2585" i="1"/>
  <c r="AO3863" i="1"/>
  <c r="AO3041" i="1"/>
  <c r="AO70" i="1"/>
  <c r="AO3636" i="1"/>
  <c r="AO4239" i="1"/>
  <c r="AO1350" i="1"/>
  <c r="AO3459" i="1"/>
  <c r="AO2561" i="1"/>
  <c r="AO643" i="1"/>
  <c r="AO3029" i="1"/>
  <c r="AO1913" i="1"/>
  <c r="AO3784" i="1"/>
  <c r="AO2969" i="1"/>
  <c r="AO1805" i="1"/>
  <c r="AO453" i="1"/>
  <c r="AO4304" i="1"/>
  <c r="AO3342" i="1"/>
  <c r="AO2394" i="1"/>
  <c r="AO2486" i="1"/>
  <c r="AO2862" i="1"/>
  <c r="AO1636" i="1"/>
  <c r="AO4075" i="1"/>
  <c r="AO31" i="1"/>
  <c r="AO3616" i="1"/>
  <c r="AO2787" i="1"/>
  <c r="AO4247" i="1"/>
  <c r="AO3775" i="1"/>
  <c r="AO2954" i="1"/>
  <c r="AO4214" i="1"/>
  <c r="AO1113" i="1"/>
  <c r="AO3017" i="1"/>
  <c r="AO1895" i="1"/>
  <c r="AO3433" i="1"/>
  <c r="AO2520" i="1"/>
  <c r="AO4216" i="1"/>
  <c r="AO3419" i="1"/>
  <c r="AO2488" i="1"/>
  <c r="AO4311" i="1"/>
  <c r="AO345" i="1"/>
  <c r="AO3757" i="1"/>
  <c r="AO3969" i="1"/>
  <c r="AO2348" i="1"/>
  <c r="AO2829" i="1"/>
  <c r="AO1601" i="1"/>
  <c r="AO55" i="1"/>
  <c r="AO1909" i="1"/>
  <c r="AO3428" i="1"/>
  <c r="AO77" i="1"/>
  <c r="AO4226" i="1"/>
  <c r="AO1459" i="1"/>
  <c r="AO1212" i="1"/>
  <c r="AO4188" i="1"/>
  <c r="AO2442" i="1"/>
  <c r="AO519" i="1"/>
  <c r="AO399" i="1"/>
  <c r="AO3704" i="1"/>
  <c r="AO4249" i="1"/>
  <c r="AO3560" i="1"/>
  <c r="AO1572" i="1"/>
  <c r="AO3817" i="1"/>
  <c r="AO3003" i="1"/>
  <c r="AO1872" i="1"/>
  <c r="AO3403" i="1"/>
  <c r="AO2455" i="1"/>
  <c r="AO4030" i="1"/>
  <c r="AO4202" i="1"/>
  <c r="AO2902" i="1"/>
  <c r="AO4162" i="1"/>
  <c r="AO919" i="1"/>
  <c r="AO2970" i="1"/>
  <c r="AO3529" i="1"/>
  <c r="AO3379" i="1"/>
  <c r="AO2433" i="1"/>
  <c r="AO1788" i="1"/>
  <c r="AO2889" i="1"/>
  <c r="AO1686" i="1"/>
  <c r="AO1070" i="1"/>
  <c r="AO4229" i="1"/>
  <c r="AO3794" i="1"/>
  <c r="AO2977" i="1"/>
  <c r="AO1825" i="1"/>
  <c r="AO3371" i="1"/>
  <c r="AO2425" i="1"/>
  <c r="AO2944" i="1"/>
  <c r="AO1763" i="1"/>
  <c r="AO860" i="1"/>
  <c r="AO3762" i="1"/>
  <c r="AO2942" i="1"/>
  <c r="AO3510" i="1"/>
  <c r="AO2646" i="1"/>
  <c r="AO1334" i="1"/>
  <c r="AO3348" i="1"/>
  <c r="AO2402" i="1"/>
  <c r="AO4141" i="1"/>
  <c r="AO2377" i="1"/>
  <c r="AO1737" i="1"/>
  <c r="AO217" i="1"/>
  <c r="AO3682" i="1"/>
  <c r="AO2865" i="1"/>
  <c r="AO1643" i="1"/>
  <c r="AO951" i="1"/>
  <c r="AO2758" i="1"/>
  <c r="AO1503" i="1"/>
  <c r="AO688" i="1"/>
  <c r="AO4153" i="1"/>
  <c r="AO3303" i="1"/>
  <c r="AO2332" i="1"/>
  <c r="AO3197" i="1"/>
  <c r="AO3290" i="1"/>
  <c r="AO2870" i="1"/>
  <c r="AO3445" i="1"/>
  <c r="AO3614" i="1"/>
  <c r="AO2204" i="1"/>
  <c r="AO3464" i="1"/>
  <c r="AO2230" i="1"/>
  <c r="AO3561" i="1"/>
  <c r="AO869" i="1"/>
  <c r="AO3578" i="1"/>
  <c r="AO3980" i="1"/>
  <c r="AO3599" i="1"/>
  <c r="AO2" i="1"/>
  <c r="Z2123" i="1"/>
  <c r="Y2123" i="1"/>
  <c r="AU132" i="1" a="1"/>
  <c r="AN1996" i="1" a="1"/>
  <c r="AN2418" i="1" a="1"/>
  <c r="AU470" i="1" a="1"/>
  <c r="AN1465" i="1" a="1"/>
  <c r="AN721" i="1" a="1"/>
  <c r="AN3321" i="1" a="1"/>
  <c r="AU99" i="1" a="1"/>
  <c r="AN2997" i="1" a="1"/>
  <c r="AN2727" i="1" a="1"/>
  <c r="AN4243" i="1" a="1"/>
  <c r="AN2888" i="1" a="1"/>
  <c r="AU44" i="1" a="1"/>
  <c r="AN2220" i="1" a="1"/>
  <c r="AN2876" i="1" a="1"/>
  <c r="AN373" i="1" a="1"/>
  <c r="AN1210" i="1" a="1"/>
  <c r="AN3814" i="1" a="1"/>
  <c r="AU322" i="1" a="1"/>
  <c r="AN1421" i="1" a="1"/>
  <c r="AN3803" i="1" a="1"/>
  <c r="AN3951" i="1" a="1"/>
  <c r="AN397" i="1" a="1"/>
  <c r="AN1625" i="1" a="1"/>
  <c r="AN566" i="1" a="1"/>
  <c r="AN459" i="1" a="1"/>
  <c r="AN3328" i="1" a="1"/>
  <c r="AN2191" i="1" a="1"/>
  <c r="AN4240" i="1" a="1"/>
  <c r="AN2068" i="1" a="1"/>
  <c r="AN2327" i="1" a="1"/>
  <c r="AN261" i="1" a="1"/>
  <c r="AU26" i="1" a="1"/>
  <c r="AN3044" i="1" a="1"/>
  <c r="AN2925" i="1" a="1"/>
  <c r="AN3584" i="1" a="1"/>
  <c r="AU329" i="1" a="1"/>
  <c r="AN1717" i="1" a="1"/>
  <c r="AN3128" i="1" a="1"/>
  <c r="AN3769" i="1" a="1"/>
  <c r="AN4050" i="1" a="1"/>
  <c r="AN3304" i="1" a="1"/>
  <c r="AN4079" i="1" a="1"/>
  <c r="AN957" i="1" a="1"/>
  <c r="AN3612" i="1" a="1"/>
  <c r="AN3195" i="1" a="1"/>
  <c r="AU869" i="1" a="1"/>
  <c r="AN2534" i="1" a="1"/>
  <c r="AU379" i="1" a="1"/>
  <c r="AN2662" i="1" a="1"/>
  <c r="AN1726" i="1" a="1"/>
  <c r="AN2207" i="1" a="1"/>
  <c r="AN4255" i="1" a="1"/>
  <c r="AN2285" i="1" a="1"/>
  <c r="AN2513" i="1" a="1"/>
  <c r="AN1581" i="1" a="1"/>
  <c r="AN3696" i="1" a="1"/>
  <c r="AU133" i="1" a="1"/>
  <c r="AN4191" i="1" a="1"/>
  <c r="AN1608" i="1" a="1"/>
  <c r="AN3887" i="1" a="1"/>
  <c r="AN727" i="1" a="1"/>
  <c r="AN2313" i="1" a="1"/>
  <c r="AN1480" i="1" a="1"/>
  <c r="AN3892" i="1" a="1"/>
  <c r="AN4059" i="1" a="1"/>
  <c r="AN3938" i="1" a="1"/>
  <c r="AN3505" i="1" a="1"/>
  <c r="AU453" i="1" a="1"/>
  <c r="AN1662" i="1" a="1"/>
  <c r="AN4000" i="1" a="1"/>
  <c r="AN2743" i="1" a="1"/>
  <c r="AU134" i="1" a="1"/>
  <c r="AN2723" i="1" a="1"/>
  <c r="AN2806" i="1" a="1"/>
  <c r="AN1491" i="1" a="1"/>
  <c r="AN3781" i="1" a="1"/>
  <c r="AU519" i="1" a="1"/>
  <c r="AN3734" i="1" a="1"/>
  <c r="AN3846" i="1" a="1"/>
  <c r="AU286" i="1" a="1"/>
  <c r="AN1351" i="1" a="1"/>
  <c r="AN3544" i="1" a="1"/>
  <c r="AN1367" i="1" a="1"/>
  <c r="AN1696" i="1" a="1"/>
  <c r="AN2705" i="1" a="1"/>
  <c r="AN1813" i="1" a="1"/>
  <c r="AN3332" i="1" a="1"/>
  <c r="AN4097" i="1" a="1"/>
  <c r="AN3021" i="1" a="1"/>
  <c r="AN1386" i="1" a="1"/>
  <c r="AN3101" i="1" a="1"/>
  <c r="AU371" i="1" a="1"/>
  <c r="AN2348" i="1" a="1"/>
  <c r="AN3485" i="1" a="1"/>
  <c r="AN1164" i="1" a="1"/>
  <c r="AN3225" i="1" a="1"/>
  <c r="AU186" i="1" a="1"/>
  <c r="AN2796" i="1" a="1"/>
  <c r="AN1533" i="1" a="1"/>
  <c r="AU144" i="1" a="1"/>
  <c r="AN1559" i="1" a="1"/>
  <c r="AN4301" i="1" a="1"/>
  <c r="AN2656" i="1" a="1"/>
  <c r="AU368" i="1" a="1"/>
  <c r="AN2469" i="1" a="1"/>
  <c r="AN2098" i="1" a="1"/>
  <c r="AN2579" i="1" a="1"/>
  <c r="AN2778" i="1" a="1"/>
  <c r="AU463" i="1" a="1"/>
  <c r="AN1312" i="1" a="1"/>
  <c r="AN4086" i="1" a="1"/>
  <c r="AN1388" i="1" a="1"/>
  <c r="AN1467" i="1" a="1"/>
  <c r="AN2480" i="1" a="1"/>
  <c r="AN2906" i="1" a="1"/>
  <c r="AN1524" i="1" a="1"/>
  <c r="AN1407" i="1" a="1"/>
  <c r="AN3375" i="1" a="1"/>
  <c r="AN1451" i="1" a="1"/>
  <c r="AN3995" i="1" a="1"/>
  <c r="AN2939" i="1" a="1"/>
  <c r="AN1873" i="1" a="1"/>
  <c r="AU923" i="1" a="1"/>
  <c r="AN3792" i="1" a="1"/>
  <c r="AN3179" i="1" a="1"/>
  <c r="AN3856" i="1" a="1"/>
  <c r="AN4221" i="1" a="1"/>
  <c r="AN1724" i="1" a="1"/>
  <c r="AU475" i="1" a="1"/>
  <c r="AN206" i="1" a="1"/>
  <c r="AN4150" i="1" a="1"/>
  <c r="AN2330" i="1" a="1"/>
  <c r="AN3630" i="1" a="1"/>
  <c r="AU309" i="1" a="1"/>
  <c r="AN3405" i="1" a="1"/>
  <c r="AN22" i="1" a="1"/>
  <c r="AN4008" i="1" a="1"/>
  <c r="AN1464" i="1" a="1"/>
  <c r="AN3878" i="1" a="1"/>
  <c r="AN2761" i="1" a="1"/>
  <c r="AN2308" i="1" a="1"/>
  <c r="AN3359" i="1" a="1"/>
  <c r="AN1280" i="1" a="1"/>
  <c r="AN2783" i="1" a="1"/>
  <c r="AN1112" i="1" a="1"/>
  <c r="AN3694" i="1" a="1"/>
  <c r="AN2953" i="1" a="1"/>
  <c r="AN3852" i="1" a="1"/>
  <c r="AN3649" i="1" a="1"/>
  <c r="AN3836" i="1" a="1"/>
  <c r="AN2660" i="1" a="1"/>
  <c r="AN2802" i="1" a="1"/>
  <c r="AN4314" i="1" a="1"/>
  <c r="AU752" i="1" a="1"/>
  <c r="AN2736" i="1" a="1"/>
  <c r="AN1596" i="1" a="1"/>
  <c r="AN166" i="1" a="1"/>
  <c r="AN3605" i="1" a="1"/>
  <c r="AN2495" i="1" a="1"/>
  <c r="AN1937" i="1" a="1"/>
  <c r="AN420" i="1" a="1"/>
  <c r="AN2073" i="1" a="1"/>
  <c r="AN3538" i="1" a="1"/>
  <c r="AN667" i="1" a="1"/>
  <c r="AN2023" i="1" a="1"/>
  <c r="AN3622" i="1" a="1"/>
  <c r="AN2735" i="1" a="1"/>
  <c r="AN1082" i="1" a="1"/>
  <c r="AN3031" i="1" a="1"/>
  <c r="AN851" i="1" a="1"/>
  <c r="AN804" i="1" a="1"/>
  <c r="AN4023" i="1" a="1"/>
  <c r="AN2624" i="1" a="1"/>
  <c r="AN3896" i="1" a="1"/>
  <c r="AN687" i="1" a="1"/>
  <c r="AN3542" i="1" a="1"/>
  <c r="AN3617" i="1" a="1"/>
  <c r="AN4242" i="1" a="1"/>
  <c r="AN4154" i="1" a="1"/>
  <c r="AN3571" i="1" a="1"/>
  <c r="AN832" i="1" a="1"/>
  <c r="AN3532" i="1" a="1"/>
  <c r="AN3392" i="1" a="1"/>
  <c r="AN3273" i="1" a="1"/>
  <c r="AN2904" i="1" a="1"/>
  <c r="AN448" i="1" a="1"/>
  <c r="AN355" i="1" a="1"/>
  <c r="AN4103" i="1" a="1"/>
  <c r="AN4180" i="1" a="1"/>
  <c r="AN3550" i="1" a="1"/>
  <c r="AU71" i="1" a="1"/>
  <c r="AN4015" i="1" a="1"/>
  <c r="AN2670" i="1" a="1"/>
  <c r="AU157" i="1" a="1"/>
  <c r="AN3782" i="1" a="1"/>
  <c r="AN3940" i="1" a="1"/>
  <c r="AN407" i="1" a="1"/>
  <c r="AU826" i="1" a="1"/>
  <c r="AN4249" i="1" a="1"/>
  <c r="AN3060" i="1" a="1"/>
  <c r="AN1670" i="1" a="1"/>
  <c r="AN2882" i="1" a="1"/>
  <c r="AU416" i="1" a="1"/>
  <c r="AN3391" i="1" a="1"/>
  <c r="AN1710" i="1" a="1"/>
  <c r="AN902" i="1" a="1"/>
  <c r="AN443" i="1" a="1"/>
  <c r="AN3096" i="1" a="1"/>
  <c r="AN394" i="1" a="1"/>
  <c r="AN3754" i="1" a="1"/>
  <c r="AN2954" i="1" a="1"/>
  <c r="AN3581" i="1" a="1"/>
  <c r="AN3224" i="1" a="1"/>
  <c r="AN2790" i="1" a="1"/>
  <c r="AN3654" i="1" a="1"/>
  <c r="AN3277" i="1" a="1"/>
  <c r="AU15" i="1" a="1"/>
  <c r="AN3623" i="1" a="1"/>
  <c r="AN3568" i="1" a="1"/>
  <c r="AN2384" i="1" a="1"/>
  <c r="AN2027" i="1" a="1"/>
  <c r="AN2103" i="1" a="1"/>
  <c r="AU4" i="1" a="1"/>
  <c r="AN3065" i="1" a="1"/>
  <c r="AN3454" i="1" a="1"/>
  <c r="AN1869" i="1" a="1"/>
  <c r="AN3848" i="1" a="1"/>
  <c r="AU23" i="1" a="1"/>
  <c r="AN3068" i="1" a="1"/>
  <c r="AN3210" i="1" a="1"/>
  <c r="AN3075" i="1" a="1"/>
  <c r="AN2749" i="1" a="1"/>
  <c r="AN1215" i="1" a="1"/>
  <c r="AN2147" i="1" a="1"/>
  <c r="AN2867" i="1" a="1"/>
  <c r="AN1530" i="1" a="1"/>
  <c r="AN2413" i="1" a="1"/>
  <c r="AN2666" i="1" a="1"/>
  <c r="AN3671" i="1" a="1"/>
  <c r="AN2087" i="1" a="1"/>
  <c r="AN3351" i="1" a="1"/>
  <c r="AN3668" i="1" a="1"/>
  <c r="AN4298" i="1" a="1"/>
  <c r="AU695" i="1" a="1"/>
  <c r="AN4147" i="1" a="1"/>
  <c r="AN4159" i="1" a="1"/>
  <c r="AN3625" i="1" a="1"/>
  <c r="AU70" i="1" a="1"/>
  <c r="AN3556" i="1" a="1"/>
  <c r="AN3843" i="1" a="1"/>
  <c r="AN2682" i="1" a="1"/>
  <c r="AN4270" i="1" a="1"/>
  <c r="AN1527" i="1" a="1"/>
  <c r="AN837" i="1" a="1"/>
  <c r="AU166" i="1" a="1"/>
  <c r="AN3401" i="1" a="1"/>
  <c r="AN2784" i="1" a="1"/>
  <c r="AN4076" i="1" a="1"/>
  <c r="AN3651" i="1" a="1"/>
  <c r="AN1597" i="1" a="1"/>
  <c r="AN2223" i="1" a="1"/>
  <c r="AN1033" i="1" a="1"/>
  <c r="AN1983" i="1" a="1"/>
  <c r="AN1387" i="1" a="1"/>
  <c r="AN429" i="1" a="1"/>
  <c r="AN1751" i="1" a="1"/>
  <c r="AN4235" i="1" a="1"/>
  <c r="AN3967" i="1" a="1"/>
  <c r="AN2878" i="1" a="1"/>
  <c r="AN1566" i="1" a="1"/>
  <c r="AN2074" i="1" a="1"/>
  <c r="AU566" i="1" a="1"/>
  <c r="AU290" i="1" a="1"/>
  <c r="AN4022" i="1" a="1"/>
  <c r="AU339" i="1" a="1"/>
  <c r="AN3247" i="1" a="1"/>
  <c r="AU346" i="1" a="1"/>
  <c r="AU441" i="1" a="1"/>
  <c r="AN3074" i="1" a="1"/>
  <c r="AN3826" i="1" a="1"/>
  <c r="AU828" i="1" a="1"/>
  <c r="AN2007" i="1" a="1"/>
  <c r="AN1912" i="1" a="1"/>
  <c r="AN1043" i="1" a="1"/>
  <c r="AU8" i="1" a="1"/>
  <c r="AU577" i="1" a="1"/>
  <c r="AN2568" i="1" a="1"/>
  <c r="AN2781" i="1" a="1"/>
  <c r="AN3837" i="1" a="1"/>
  <c r="AU150" i="1" a="1"/>
  <c r="AU287" i="1" a="1"/>
  <c r="AN2845" i="1" a="1"/>
  <c r="AN18" i="1" a="1"/>
  <c r="AN3793" i="1" a="1"/>
  <c r="AN4268" i="1" a="1"/>
  <c r="AN3804" i="1" a="1"/>
  <c r="AN3949" i="1" a="1"/>
  <c r="AN1875" i="1" a="1"/>
  <c r="AN3975" i="1" a="1"/>
  <c r="AN4020" i="1" a="1"/>
  <c r="AN133" i="1" a="1"/>
  <c r="AN3388" i="1" a="1"/>
  <c r="AN2390" i="1" a="1"/>
  <c r="AU39" i="1" a="1"/>
  <c r="AN640" i="1" a="1"/>
  <c r="AN3355" i="1" a="1"/>
  <c r="AN3685" i="1" a="1"/>
  <c r="AN3018" i="1" a="1"/>
  <c r="AN4323" i="1" a="1"/>
  <c r="AU192" i="1" a="1"/>
  <c r="AN3806" i="1" a="1"/>
  <c r="AN3935" i="1" a="1"/>
  <c r="AN3970" i="1" a="1"/>
  <c r="AN3981" i="1" a="1"/>
  <c r="AU369" i="1" a="1"/>
  <c r="AN3621" i="1" a="1"/>
  <c r="AN190" i="1" a="1"/>
  <c r="AU32" i="1" a="1"/>
  <c r="AN446" i="1" a="1"/>
  <c r="AN3952" i="1" a="1"/>
  <c r="AN2525" i="1" a="1"/>
  <c r="AN2858" i="1" a="1"/>
  <c r="AN2980" i="1" a="1"/>
  <c r="AN3541" i="1" a="1"/>
  <c r="AN2565" i="1" a="1"/>
  <c r="AN4316" i="1" a="1"/>
  <c r="AN3034" i="1" a="1"/>
  <c r="AN3916" i="1" a="1"/>
  <c r="AN653" i="1" a="1"/>
  <c r="AN2699" i="1" a="1"/>
  <c r="AU241" i="1" a="1"/>
  <c r="AN2464" i="1" a="1"/>
  <c r="AN2476" i="1" a="1"/>
  <c r="AN3237" i="1" a="1"/>
  <c r="AU372" i="1" a="1"/>
  <c r="AN650" i="1" a="1"/>
  <c r="AN1587" i="1" a="1"/>
  <c r="AN3498" i="1" a="1"/>
  <c r="AN3389" i="1" a="1"/>
  <c r="AU587" i="1" a="1"/>
  <c r="AN825" i="1" a="1"/>
  <c r="AN2275" i="1" a="1"/>
  <c r="AN4110" i="1" a="1"/>
  <c r="AN4326" i="1" a="1"/>
  <c r="AN1576" i="1" a="1"/>
  <c r="AN3968" i="1" a="1"/>
  <c r="AN1495" i="1" a="1"/>
  <c r="AN1745" i="1" a="1"/>
  <c r="AN3607" i="1" a="1"/>
  <c r="AN867" i="1" a="1"/>
  <c r="AN4041" i="1" a="1"/>
  <c r="AN3925" i="1" a="1"/>
  <c r="AN886" i="1" a="1"/>
  <c r="AN3111" i="1" a="1"/>
  <c r="AN4217" i="1" a="1"/>
  <c r="AN1718" i="1" a="1"/>
  <c r="AN2696" i="1" a="1"/>
  <c r="AN816" i="1" a="1"/>
  <c r="AN1378" i="1" a="1"/>
  <c r="AN944" i="1" a="1"/>
  <c r="AN514" i="1" a="1"/>
  <c r="AN2108" i="1" a="1"/>
  <c r="AN2821" i="1" a="1"/>
  <c r="AN2881" i="1" a="1"/>
  <c r="AN3306" i="1" a="1"/>
  <c r="AU112" i="1" a="1"/>
  <c r="AN2265" i="1" a="1"/>
  <c r="AU383" i="1" a="1"/>
  <c r="AN4239" i="1" a="1"/>
  <c r="AN1528" i="1" a="1"/>
  <c r="AU400" i="1" a="1"/>
  <c r="AN1228" i="1" a="1"/>
  <c r="AN3895" i="1" a="1"/>
  <c r="AN3236" i="1" a="1"/>
  <c r="AU294" i="1" a="1"/>
  <c r="AU821" i="1" a="1"/>
  <c r="AN103" i="1" a="1"/>
  <c r="AN3171" i="1" a="1"/>
  <c r="AN3108" i="1" a="1"/>
  <c r="AU945" i="1" a="1"/>
  <c r="AU517" i="1" a="1"/>
  <c r="AN3470" i="1" a="1"/>
  <c r="AN3052" i="1" a="1"/>
  <c r="AN4195" i="1" a="1"/>
  <c r="AN2493" i="1" a="1"/>
  <c r="AN3586" i="1" a="1"/>
  <c r="AN3789" i="1" a="1"/>
  <c r="AN1601" i="1" a="1"/>
  <c r="AN2121" i="1" a="1"/>
  <c r="AN2082" i="1" a="1"/>
  <c r="AN114" i="1" a="1"/>
  <c r="AN3729" i="1" a="1"/>
  <c r="AN3131" i="1" a="1"/>
  <c r="AU147" i="1" a="1"/>
  <c r="AN364" i="1" a="1"/>
  <c r="AN4309" i="1" a="1"/>
  <c r="AN2629" i="1" a="1"/>
  <c r="AN946" i="1" a="1"/>
  <c r="AN3577" i="1" a="1"/>
  <c r="AU136" i="1" a="1"/>
  <c r="AN1462" i="1" a="1"/>
  <c r="AN2853" i="1" a="1"/>
  <c r="AN1732" i="1" a="1"/>
  <c r="AN2472" i="1" a="1"/>
  <c r="AU278" i="1" a="1"/>
  <c r="AN1846" i="1" a="1"/>
  <c r="AN3364" i="1" a="1"/>
  <c r="AU640" i="1" a="1"/>
  <c r="AN3533" i="1" a="1"/>
  <c r="AN3500" i="1" a="1"/>
  <c r="AN2181" i="1" a="1"/>
  <c r="AN1967" i="1" a="1"/>
  <c r="AN1517" i="1" a="1"/>
  <c r="AN4134" i="1" a="1"/>
  <c r="AN4042" i="1" a="1"/>
  <c r="AN3921" i="1" a="1"/>
  <c r="AU291" i="1" a="1"/>
  <c r="AN3009" i="1" a="1"/>
  <c r="AN1819" i="1" a="1"/>
  <c r="AN2603" i="1" a="1"/>
  <c r="AU443" i="1" a="1"/>
  <c r="AN1896" i="1" a="1"/>
  <c r="AN3142" i="1" a="1"/>
  <c r="AN3825" i="1" a="1"/>
  <c r="AU434" i="1" a="1"/>
  <c r="AN2618" i="1" a="1"/>
  <c r="AN735" i="1" a="1"/>
  <c r="AN2167" i="1" a="1"/>
  <c r="AN515" i="1" a="1"/>
  <c r="AU364" i="1" a="1"/>
  <c r="AN4263" i="1" a="1"/>
  <c r="AN3890" i="1" a="1"/>
  <c r="AN1453" i="1" a="1"/>
  <c r="AN3503" i="1" a="1"/>
  <c r="AN3173" i="1" a="1"/>
  <c r="AN2134" i="1" a="1"/>
  <c r="AN3899" i="1" a="1"/>
  <c r="AN2896" i="1" a="1"/>
  <c r="AN3929" i="1" a="1"/>
  <c r="AN678" i="1" a="1"/>
  <c r="AN3059" i="1" a="1"/>
  <c r="AN390" i="1" a="1"/>
  <c r="AN1081" i="1" a="1"/>
  <c r="AN3341" i="1" a="1"/>
  <c r="AN4300" i="1" a="1"/>
  <c r="AN2711" i="1" a="1"/>
  <c r="AN3771" i="1" a="1"/>
  <c r="AN827" i="1" a="1"/>
  <c r="AN2549" i="1" a="1"/>
  <c r="AN2295" i="1" a="1"/>
  <c r="AN2855" i="1" a="1"/>
  <c r="AN3496" i="1" a="1"/>
  <c r="AN410" i="1" a="1"/>
  <c r="AN3709" i="1" a="1"/>
  <c r="AN2407" i="1" a="1"/>
  <c r="AN3604" i="1" a="1"/>
  <c r="AU68" i="1" a="1"/>
  <c r="AU5" i="1" a="1"/>
  <c r="AU919" i="1" a="1"/>
  <c r="AN445" i="1" a="1"/>
  <c r="AN3029" i="1" a="1"/>
  <c r="AN3025" i="1" a="1"/>
  <c r="AN4245" i="1" a="1"/>
  <c r="AN1913" i="1" a="1"/>
  <c r="AN2394" i="1" a="1"/>
  <c r="AN3305" i="1" a="1"/>
  <c r="AN3670" i="1" a="1"/>
  <c r="AU596" i="1" a="1"/>
  <c r="AN2595" i="1" a="1"/>
  <c r="AN3788" i="1" a="1"/>
  <c r="AN3039" i="1" a="1"/>
  <c r="AU554" i="1" a="1"/>
  <c r="AU617" i="1" a="1"/>
  <c r="AN3833" i="1" a="1"/>
  <c r="AN4073" i="1" a="1"/>
  <c r="AN3959" i="1" a="1"/>
  <c r="AN3891" i="1" a="1"/>
  <c r="AN3441" i="1" a="1"/>
  <c r="AN1108" i="1" a="1"/>
  <c r="AN4226" i="1" a="1"/>
  <c r="AU335" i="1" a="1"/>
  <c r="AU621" i="1" a="1"/>
  <c r="AN3463" i="1" a="1"/>
  <c r="AN1572" i="1" a="1"/>
  <c r="AN734" i="1" a="1"/>
  <c r="AN2564" i="1" a="1"/>
  <c r="AN1283" i="1" a="1"/>
  <c r="AN31" i="1" a="1"/>
  <c r="AN1595" i="1" a="1"/>
  <c r="AN2608" i="1" a="1"/>
  <c r="AU72" i="1" a="1"/>
  <c r="AN1633" i="1" a="1"/>
  <c r="AN2745" i="1" a="1"/>
  <c r="AN2815" i="1" a="1"/>
  <c r="AN2998" i="1" a="1"/>
  <c r="AN3611" i="1" a="1"/>
  <c r="AN3041" i="1" a="1"/>
  <c r="AN3889" i="1" a="1"/>
  <c r="AN3219" i="1" a="1"/>
  <c r="AN303" i="1" a="1"/>
  <c r="AN3939" i="1" a="1"/>
  <c r="AN2267" i="1" a="1"/>
  <c r="AN4289" i="1" a="1"/>
  <c r="AN4209" i="1" a="1"/>
  <c r="AN3962" i="1" a="1"/>
  <c r="AN2756" i="1" a="1"/>
  <c r="AN3965" i="1" a="1"/>
  <c r="AN1160" i="1" a="1"/>
  <c r="AN32" i="1" a="1"/>
  <c r="AN4151" i="1" a="1"/>
  <c r="AN2377" i="1" a="1"/>
  <c r="AN3453" i="1" a="1"/>
  <c r="AN3170" i="1" a="1"/>
  <c r="AN2898" i="1" a="1"/>
  <c r="AN191" i="1" a="1"/>
  <c r="AN643" i="1" a="1"/>
  <c r="AN1269" i="1" a="1"/>
  <c r="AN2792" i="1" a="1"/>
  <c r="AN102" i="1" a="1"/>
  <c r="AU499" i="1" a="1"/>
  <c r="AN2981" i="1" a="1"/>
  <c r="AN3521" i="1" a="1"/>
  <c r="AN2225" i="1" a="1"/>
  <c r="AN2328" i="1" a="1"/>
  <c r="AN2335" i="1" a="1"/>
  <c r="AN3643" i="1" a="1"/>
  <c r="AN762" i="1" a="1"/>
  <c r="AN3849" i="1" a="1"/>
  <c r="AN3121" i="1" a="1"/>
  <c r="AN2753" i="1" a="1"/>
  <c r="AN4081" i="1" a="1"/>
  <c r="AU47" i="1" a="1"/>
  <c r="AN3084" i="1" a="1"/>
  <c r="AN709" i="1" a="1"/>
  <c r="AN3664" i="1" a="1"/>
  <c r="AU386" i="1" a="1"/>
  <c r="AN3800" i="1" a="1"/>
  <c r="AN529" i="1" a="1"/>
  <c r="AN3661" i="1" a="1"/>
  <c r="AU602" i="1" a="1"/>
  <c r="AN3719" i="1" a="1"/>
  <c r="AN1237" i="1" a="1"/>
  <c r="AN2703" i="1" a="1"/>
  <c r="AN4225" i="1" a="1"/>
  <c r="AN2302" i="1" a="1"/>
  <c r="AN3017" i="1" a="1"/>
  <c r="AN2899" i="1" a="1"/>
  <c r="AN4012" i="1" a="1"/>
  <c r="AN3847" i="1" a="1"/>
  <c r="AN623" i="1" a="1"/>
  <c r="AN1722" i="1" a="1"/>
  <c r="AN1512" i="1" a="1"/>
  <c r="AU103" i="1" a="1"/>
  <c r="AN3526" i="1" a="1"/>
  <c r="AN1252" i="1" a="1"/>
  <c r="AU295" i="1" a="1"/>
  <c r="AN1770" i="1" a="1"/>
  <c r="AN3482" i="1" a="1"/>
  <c r="AN1543" i="1" a="1"/>
  <c r="AN4061" i="1" a="1"/>
  <c r="AN1015" i="1" a="1"/>
  <c r="AN2290" i="1" a="1"/>
  <c r="AN1935" i="1" a="1"/>
  <c r="AN2323" i="1" a="1"/>
  <c r="AN2812" i="1" a="1"/>
  <c r="AN2770" i="1" a="1"/>
  <c r="AN4303" i="1" a="1"/>
  <c r="AN1125" i="1" a="1"/>
  <c r="AN2902" i="1" a="1"/>
  <c r="AN3342" i="1" a="1"/>
  <c r="AN189" i="1" a="1"/>
  <c r="AN4162" i="1" a="1"/>
  <c r="AN2520" i="1" a="1"/>
  <c r="AN708" i="1" a="1"/>
  <c r="AN411" i="1" a="1"/>
  <c r="AU236" i="1" a="1"/>
  <c r="AN2585" i="1" a="1"/>
  <c r="AN2960" i="1" a="1"/>
  <c r="AN3559" i="1" a="1"/>
  <c r="AN417" i="1" a="1"/>
  <c r="AN2566" i="1" a="1"/>
  <c r="AN3603" i="1" a="1"/>
  <c r="AN2664" i="1" a="1"/>
  <c r="AN2054" i="1" a="1"/>
  <c r="AN3201" i="1" a="1"/>
  <c r="AN353" i="1" a="1"/>
  <c r="AN2944" i="1" a="1"/>
  <c r="AU638" i="1" a="1"/>
  <c r="AN1411" i="1" a="1"/>
  <c r="AN3164" i="1" a="1"/>
  <c r="AN2222" i="1" a="1"/>
  <c r="AN2500" i="1" a="1"/>
  <c r="AU16" i="1" a="1"/>
  <c r="AN4064" i="1" a="1"/>
  <c r="AN713" i="1" a="1"/>
  <c r="AN1788" i="1" a="1"/>
  <c r="AN4075" i="1" a="1"/>
  <c r="AN413" i="1" a="1"/>
  <c r="AN2889" i="1" a="1"/>
  <c r="AN3315" i="1" a="1"/>
  <c r="AN4116" i="1" a="1"/>
  <c r="AN2536" i="1" a="1"/>
  <c r="AN766" i="1" a="1"/>
  <c r="AN3038" i="1" a="1"/>
  <c r="AN2893" i="1" a="1"/>
  <c r="AN3653" i="1" a="1"/>
  <c r="AN3015" i="1" a="1"/>
  <c r="AN508" i="1" a="1"/>
  <c r="AN1332" i="1" a="1"/>
  <c r="AN3087" i="1" a="1"/>
  <c r="AN3966" i="1" a="1"/>
  <c r="AN3057" i="1" a="1"/>
  <c r="AN2125" i="1" a="1"/>
  <c r="AN3348" i="1" a="1"/>
  <c r="AU404" i="1" a="1"/>
  <c r="AN3918" i="1" a="1"/>
  <c r="AN3104" i="1" a="1"/>
  <c r="AN530" i="1" a="1"/>
  <c r="AN3244" i="1" a="1"/>
  <c r="AN2383" i="1" a="1"/>
  <c r="AN2582" i="1" a="1"/>
  <c r="AN3259" i="1" a="1"/>
  <c r="AU41" i="1" a="1"/>
  <c r="AN1755" i="1" a="1"/>
  <c r="AN2030" i="1" a="1"/>
  <c r="AN3274" i="1" a="1"/>
  <c r="AN2945" i="1" a="1"/>
  <c r="AN758" i="1" a="1"/>
  <c r="AN3491" i="1" a="1"/>
  <c r="AN2687" i="1" a="1"/>
  <c r="AN146" i="1" a="1"/>
  <c r="AN1216" i="1" a="1"/>
  <c r="AN3433" i="1" a="1"/>
  <c r="AN3369" i="1" a="1"/>
  <c r="AN3794" i="1" a="1"/>
  <c r="AN3812" i="1" a="1"/>
  <c r="AN87" i="1" a="1"/>
  <c r="AN291" i="1" a="1"/>
  <c r="AN3143" i="1" a="1"/>
  <c r="AN2969" i="1" a="1"/>
  <c r="AN3509" i="1" a="1"/>
  <c r="AN3261" i="1" a="1"/>
  <c r="AN2956" i="1" a="1"/>
  <c r="AN4319" i="1" a="1"/>
  <c r="AN3403" i="1" a="1"/>
  <c r="AN1893" i="1" a="1"/>
  <c r="AN3399" i="1" a="1"/>
  <c r="AN3809" i="1" a="1"/>
  <c r="AN2032" i="1" a="1"/>
  <c r="AU326" i="1" a="1"/>
  <c r="AU831" i="1" a="1"/>
  <c r="AN3819" i="1" a="1"/>
  <c r="AN3430" i="1" a="1"/>
  <c r="AN1400" i="1" a="1"/>
  <c r="AN3996" i="1" a="1"/>
  <c r="AN79" i="1" a="1"/>
  <c r="AN3956" i="1" a="1"/>
  <c r="AN2091" i="1" a="1"/>
  <c r="AU66" i="1" a="1"/>
  <c r="AN3838" i="1" a="1"/>
  <c r="AN324" i="1" a="1"/>
  <c r="AN14" i="1" a="1"/>
  <c r="AN3167" i="1" a="1"/>
  <c r="AN4258" i="1" a="1"/>
  <c r="AN1487" i="1" a="1"/>
  <c r="AN145" i="1" a="1"/>
  <c r="AN3116" i="1" a="1"/>
  <c r="AN2550" i="1" a="1"/>
  <c r="AN3720" i="1" a="1"/>
  <c r="AN460" i="1" a="1"/>
  <c r="AN2946" i="1" a="1"/>
  <c r="AN860" i="1" a="1"/>
  <c r="AN3969" i="1" a="1"/>
  <c r="AN1488" i="1" a="1"/>
  <c r="AN3762" i="1" a="1"/>
  <c r="AN1212" i="1" a="1"/>
  <c r="AN2943" i="1" a="1"/>
  <c r="AN2358" i="1" a="1"/>
  <c r="AN2435" i="1" a="1"/>
  <c r="AN3003" i="1" a="1"/>
  <c r="AN2744" i="1" a="1"/>
  <c r="AN3163" i="1" a="1"/>
  <c r="AN2474" i="1" a="1"/>
  <c r="AN3799" i="1" a="1"/>
  <c r="AN1808" i="1" a="1"/>
  <c r="AN2862" i="1" a="1"/>
  <c r="AN2105" i="1" a="1"/>
  <c r="AN4176" i="1" a="1"/>
  <c r="AN4278" i="1" a="1"/>
  <c r="AU888" i="1" a="1"/>
  <c r="AU194" i="1" a="1"/>
  <c r="AN693" i="1" a="1"/>
  <c r="AN2037" i="1" a="1"/>
  <c r="AN3733" i="1" a="1"/>
  <c r="AN602" i="1" a="1"/>
  <c r="AN3204" i="1" a="1"/>
  <c r="AN3736" i="1" a="1"/>
  <c r="AN3067" i="1" a="1"/>
  <c r="AU342" i="1" a="1"/>
  <c r="AN1017" i="1" a="1"/>
  <c r="AN3894" i="1" a="1"/>
  <c r="AN3135" i="1" a="1"/>
  <c r="AN2967" i="1" a="1"/>
  <c r="AN2779" i="1" a="1"/>
  <c r="AN3832" i="1" a="1"/>
  <c r="AN717" i="1" a="1"/>
  <c r="AN1401" i="1" a="1"/>
  <c r="AN2268" i="1" a="1"/>
  <c r="AN2955" i="1" a="1"/>
  <c r="AN4056" i="1" a="1"/>
  <c r="AN2926" i="1" a="1"/>
  <c r="AN3435" i="1" a="1"/>
  <c r="AN3595" i="1" a="1"/>
  <c r="AN3660" i="1" a="1"/>
  <c r="AN2804" i="1" a="1"/>
  <c r="AN1737" i="1" a="1"/>
  <c r="AN77" i="1" a="1"/>
  <c r="AN1570" i="1" a="1"/>
  <c r="AN217" i="1" a="1"/>
  <c r="AN3704" i="1" a="1"/>
  <c r="AN3547" i="1" a="1"/>
  <c r="AN621" i="1" a="1"/>
  <c r="AN3472" i="1" a="1"/>
  <c r="AN3785" i="1" a="1"/>
  <c r="AN2077" i="1" a="1"/>
  <c r="AN2538" i="1" a="1"/>
  <c r="AN330" i="1" a="1"/>
  <c r="AN3437" i="1" a="1"/>
  <c r="AN3926" i="1" a="1"/>
  <c r="AN4247" i="1" a="1"/>
  <c r="AN1660" i="1" a="1"/>
  <c r="AN134" i="1" a="1"/>
  <c r="AN2694" i="1" a="1"/>
  <c r="AN537" i="1" a="1"/>
  <c r="AU212" i="1" a="1"/>
  <c r="AN3275" i="1" a="1"/>
  <c r="AN2817" i="1" a="1"/>
  <c r="AN752" i="1" a="1"/>
  <c r="AN4049" i="1" a="1"/>
  <c r="AN1554" i="1" a="1"/>
  <c r="AN2826" i="1" a="1"/>
  <c r="AN3665" i="1" a="1"/>
  <c r="AU308" i="1" a="1"/>
  <c r="AN321" i="1" a="1"/>
  <c r="AN4094" i="1" a="1"/>
  <c r="AN2777" i="1" a="1"/>
  <c r="AN3326" i="1" a="1"/>
  <c r="AN3695" i="1" a="1"/>
  <c r="AN3574" i="1" a="1"/>
  <c r="AN839" i="1" a="1"/>
  <c r="AN3308" i="1" a="1"/>
  <c r="AN1691" i="1" a="1"/>
  <c r="AN1314" i="1" a="1"/>
  <c r="AN3990" i="1" a="1"/>
  <c r="AN1687" i="1" a="1"/>
  <c r="AU497" i="1" a="1"/>
  <c r="AN1948" i="1" a="1"/>
  <c r="AN2096" i="1" a="1"/>
  <c r="AN3152" i="1" a="1"/>
  <c r="AN2857" i="1" a="1"/>
  <c r="AN3352" i="1" a="1"/>
  <c r="AU88" i="1" a="1"/>
  <c r="AN1459" i="1" a="1"/>
  <c r="AN2409" i="1" a="1"/>
  <c r="AU805" i="1" a="1"/>
  <c r="AN1503" i="1" a="1"/>
  <c r="AN3120" i="1" a="1"/>
  <c r="AN2339" i="1" a="1"/>
  <c r="AN1830" i="1" a="1"/>
  <c r="AN1070" i="1" a="1"/>
  <c r="AN1365" i="1" a="1"/>
  <c r="AN898" i="1" a="1"/>
  <c r="AN366" i="1" a="1"/>
  <c r="AN3349" i="1" a="1"/>
  <c r="AN2425" i="1" a="1"/>
  <c r="AN4311" i="1" a="1"/>
  <c r="AN3853" i="1" a="1"/>
  <c r="AN3943" i="1" a="1"/>
  <c r="AN2371" i="1" a="1"/>
  <c r="AN2239" i="1" a="1"/>
  <c r="AU376" i="1" a="1"/>
  <c r="AN4096" i="1" a="1"/>
  <c r="AN3869" i="1" a="1"/>
  <c r="AN3099" i="1" a="1"/>
  <c r="AN3144" i="1" a="1"/>
  <c r="AN4308" i="1" a="1"/>
  <c r="AN2439" i="1" a="1"/>
  <c r="AN4199" i="1" a="1"/>
  <c r="AU542" i="1" a="1"/>
  <c r="AU204" i="1" a="1"/>
  <c r="AN3864" i="1" a="1"/>
  <c r="AN3738" i="1" a="1"/>
  <c r="AN2449" i="1" a="1"/>
  <c r="AN4237" i="1" a="1"/>
  <c r="AN3701" i="1" a="1"/>
  <c r="AN2017" i="1" a="1"/>
  <c r="AN3431" i="1" a="1"/>
  <c r="AN3767" i="1" a="1"/>
  <c r="AN4139" i="1" a="1"/>
  <c r="AN1368" i="1" a="1"/>
  <c r="AN3634" i="1" a="1"/>
  <c r="AN3942" i="1" a="1"/>
  <c r="AN1856" i="1" a="1"/>
  <c r="AN3545" i="1" a="1"/>
  <c r="AN3987" i="1" a="1"/>
  <c r="AN2597" i="1" a="1"/>
  <c r="AN3458" i="1" a="1"/>
  <c r="AN3635" i="1" a="1"/>
  <c r="AN3048" i="1" a="1"/>
  <c r="AU641" i="1" a="1"/>
  <c r="AN399" i="1" a="1"/>
  <c r="AN1956" i="1" a="1"/>
  <c r="AU6" i="1" a="1"/>
  <c r="AN4153" i="1" a="1"/>
  <c r="AN3558" i="1" a="1"/>
  <c r="AN3293" i="1" a="1"/>
  <c r="AN2504" i="1" a="1"/>
  <c r="AN1825" i="1" a="1"/>
  <c r="AN3829" i="1" a="1"/>
  <c r="AN3922" i="1" a="1"/>
  <c r="AN3385" i="1" a="1"/>
  <c r="AN1652" i="1" a="1"/>
  <c r="AN2646" i="1" a="1"/>
  <c r="AN2441" i="1" a="1"/>
  <c r="AN1493" i="1" a="1"/>
  <c r="AN3986" i="1" a="1"/>
  <c r="AN354" i="1" a="1"/>
  <c r="AN3000" i="1" a="1"/>
  <c r="AN1709" i="1" a="1"/>
  <c r="AN1350" i="1" a="1"/>
  <c r="AN4214" i="1" a="1"/>
  <c r="AN3006" i="1" a="1"/>
  <c r="AN3933" i="1" a="1"/>
  <c r="AN3633" i="1" a="1"/>
  <c r="AN2910" i="1" a="1"/>
  <c r="AN3673" i="1" a="1"/>
  <c r="AU801" i="1" a="1"/>
  <c r="AU129" i="1" a="1"/>
  <c r="AN2621" i="1" a="1"/>
  <c r="AN2067" i="1" a="1"/>
  <c r="AN3350" i="1" a="1"/>
  <c r="AU49" i="1" a="1"/>
  <c r="AN1909" i="1" a="1"/>
  <c r="AN3944" i="1" a="1"/>
  <c r="AN3628" i="1" a="1"/>
  <c r="AN3629" i="1" a="1"/>
  <c r="AN2930" i="1" a="1"/>
  <c r="AN1275" i="1" a="1"/>
  <c r="AN2900" i="1" a="1"/>
  <c r="AN1023" i="1" a="1"/>
  <c r="AN3865" i="1" a="1"/>
  <c r="AN3946" i="1" a="1"/>
  <c r="AN1544" i="1" a="1"/>
  <c r="AN4142" i="1" a="1"/>
  <c r="AN108" i="1" a="1"/>
  <c r="AN3387" i="1" a="1"/>
  <c r="AN4001" i="1" a="1"/>
  <c r="AN3071" i="1" a="1"/>
  <c r="AN3229" i="1" a="1"/>
  <c r="AU363" i="1" a="1"/>
  <c r="AN2758" i="1" a="1"/>
  <c r="AN3300" i="1" a="1"/>
  <c r="AN1743" i="1" a="1"/>
  <c r="AN2332" i="1" a="1"/>
  <c r="AN3136" i="1" a="1"/>
  <c r="AN2235" i="1" a="1"/>
  <c r="AN2722" i="1" a="1"/>
  <c r="AN1758" i="1" a="1"/>
  <c r="AN2253" i="1" a="1"/>
  <c r="AN4124" i="1" a="1"/>
  <c r="AN4299" i="1" a="1"/>
  <c r="AN3912" i="1" a="1"/>
  <c r="AN951" i="1" a="1"/>
  <c r="AN4058" i="1" a="1"/>
  <c r="AN971" i="1" a="1"/>
  <c r="AN1563" i="1" a="1"/>
  <c r="AN290" i="1" a="1"/>
  <c r="AN1914" i="1" a="1"/>
  <c r="AN689" i="1" a="1"/>
  <c r="AN4304" i="1" a="1"/>
  <c r="AN345" i="1" a="1"/>
  <c r="AN3876" i="1" a="1"/>
  <c r="AN2056" i="1" a="1"/>
  <c r="AN2623" i="1" a="1"/>
  <c r="AN1701" i="1" a="1"/>
  <c r="AN3297" i="1" a="1"/>
  <c r="AN4267" i="1" a="1"/>
  <c r="AU156" i="1" a="1"/>
  <c r="AN3886" i="1" a="1"/>
  <c r="AN3317" i="1" a="1"/>
  <c r="AN4266" i="1" a="1"/>
  <c r="AU81" i="1" a="1"/>
  <c r="AN1855" i="1" a="1"/>
  <c r="AN3254" i="1" a="1"/>
  <c r="AN2238" i="1" a="1"/>
  <c r="AN2905" i="1" a="1"/>
  <c r="AU299" i="1" a="1"/>
  <c r="AN3791" i="1" a="1"/>
  <c r="AN4273" i="1" a="1"/>
  <c r="AN903" i="1" a="1"/>
  <c r="AN3824" i="1" a="1"/>
  <c r="AN755" i="1" a="1"/>
  <c r="AN2773" i="1" a="1"/>
  <c r="AN4092" i="1" a="1"/>
  <c r="AN414" i="1" a="1"/>
  <c r="AN2075" i="1" a="1"/>
  <c r="AN812" i="1" a="1"/>
  <c r="AN2639" i="1" a="1"/>
  <c r="AU898" i="1" a="1"/>
  <c r="AN3093" i="1" a="1"/>
  <c r="AN3818" i="1" a="1"/>
  <c r="AN385" i="1" a="1"/>
  <c r="AU56" i="1" a="1"/>
  <c r="AN2984" i="1" a="1"/>
  <c r="AN2115" i="1" a="1"/>
  <c r="AN917" i="1" a="1"/>
  <c r="AN1962" i="1" a="1"/>
  <c r="AN1478" i="1" a="1"/>
  <c r="AN3256" i="1" a="1"/>
  <c r="AN2975" i="1" a="1"/>
  <c r="AN3751" i="1" a="1"/>
  <c r="AU97" i="1" a="1"/>
  <c r="AN1704" i="1" a="1"/>
  <c r="AN4213" i="1" a="1"/>
  <c r="AN2813" i="1" a="1"/>
  <c r="AN210" i="1" a="1"/>
  <c r="AN3877" i="1" a="1"/>
  <c r="AN336" i="1" a="1"/>
  <c r="AN2003" i="1" a="1"/>
  <c r="AN3985" i="1" a="1"/>
  <c r="AN3484" i="1" a="1"/>
  <c r="AN2811" i="1" a="1"/>
  <c r="AN431" i="1" a="1"/>
  <c r="AN4219" i="1" a="1"/>
  <c r="AN490" i="1" a="1"/>
  <c r="AN2581" i="1" a="1"/>
  <c r="AN2245" i="1" a="1"/>
  <c r="AN1667" i="1" a="1"/>
  <c r="AN3486" i="1" a="1"/>
  <c r="AN3432" i="1" a="1"/>
  <c r="AN3904" i="1" a="1"/>
  <c r="AN1777" i="1" a="1"/>
  <c r="AN3448" i="1" a="1"/>
  <c r="AN3477" i="1" a="1"/>
  <c r="AN387" i="1" a="1"/>
  <c r="AN1322" i="1" a="1"/>
  <c r="AN3409" i="1" a="1"/>
  <c r="AN406" i="1" a="1"/>
  <c r="AN2673" i="1" a="1"/>
  <c r="AN4115" i="1" a="1"/>
  <c r="AN2934" i="1" a="1"/>
  <c r="AN688" i="1" a="1"/>
  <c r="AN3363" i="1" a="1"/>
  <c r="AN3488" i="1" a="1"/>
  <c r="AU302" i="1" a="1"/>
  <c r="AN3885" i="1" a="1"/>
  <c r="AN3473" i="1" a="1"/>
  <c r="AN295" i="1" a="1"/>
  <c r="AN2865" i="1" a="1"/>
  <c r="AN2787" i="1" a="1"/>
  <c r="AN3479" i="1" a="1"/>
  <c r="AN139" i="1" a="1"/>
  <c r="AN3691" i="1" a="1"/>
  <c r="AU885" i="1" a="1"/>
  <c r="AN2442" i="1" a="1"/>
  <c r="AN2571" i="1" a="1"/>
  <c r="AN1973" i="1" a="1"/>
  <c r="AN3223" i="1" a="1"/>
  <c r="AN2048" i="1" a="1"/>
  <c r="AN2992" i="1" a="1"/>
  <c r="AN3281" i="1" a="1"/>
  <c r="AN55" i="1" a="1"/>
  <c r="AN2301" i="1" a="1"/>
  <c r="AN2512" i="1" a="1"/>
  <c r="AN365" i="1" a="1"/>
  <c r="AN3147" i="1" a="1"/>
  <c r="AN2184" i="1" a="1"/>
  <c r="AN4051" i="1" a="1"/>
  <c r="AU456" i="1" a="1"/>
  <c r="AN391" i="1" a="1"/>
  <c r="AN314" i="1" a="1"/>
  <c r="AN347" i="1" a="1"/>
  <c r="AU433" i="1" a="1"/>
  <c r="AN2912" i="1" a="1"/>
  <c r="AN3888" i="1" a="1"/>
  <c r="AN4168" i="1" a="1"/>
  <c r="AN3866" i="1" a="1"/>
  <c r="AU396" i="1" a="1"/>
  <c r="AN2508" i="1" a="1"/>
  <c r="AN1905" i="1" a="1"/>
  <c r="AN3632" i="1" a="1"/>
  <c r="AN1406" i="1" a="1"/>
  <c r="AN2635" i="1" a="1"/>
  <c r="AN3795" i="1" a="1"/>
  <c r="AN4084" i="1" a="1"/>
  <c r="AN1617" i="1" a="1"/>
  <c r="AN1923" i="1" a="1"/>
  <c r="AN4007" i="1" a="1"/>
  <c r="AN3266" i="1" a="1"/>
  <c r="AU341" i="1" a="1"/>
  <c r="AN2927" i="1" a="1"/>
  <c r="AN1085" i="1" a="1"/>
  <c r="AN1426" i="1" a="1"/>
  <c r="AU733" i="1" a="1"/>
  <c r="AN2681" i="1" a="1"/>
  <c r="AN2797" i="1" a="1"/>
  <c r="AN2801" i="1" a="1"/>
  <c r="AN3830" i="1" a="1"/>
  <c r="AN2726" i="1" a="1"/>
  <c r="AN3318" i="1" a="1"/>
  <c r="AN2924" i="1" a="1"/>
  <c r="AN3796" i="1" a="1"/>
  <c r="AU643" i="1" a="1"/>
  <c r="AN726" i="1" a="1"/>
  <c r="AN3693" i="1" a="1"/>
  <c r="AN1831" i="1" a="1"/>
  <c r="AN3618" i="1" a="1"/>
  <c r="AU693" i="1" a="1"/>
  <c r="AN2276" i="1" a="1"/>
  <c r="AN1474" i="1" a="1"/>
  <c r="AN1622" i="1" a="1"/>
  <c r="AN2637" i="1" a="1"/>
  <c r="AU189" i="1" a="1"/>
  <c r="AN1540" i="1" a="1"/>
  <c r="AN4091" i="1" a="1"/>
  <c r="AN4203" i="1" a="1"/>
  <c r="AN3626" i="1" a="1"/>
  <c r="AU721" i="1" a="1"/>
  <c r="AN1604" i="1" a="1"/>
  <c r="AN1550" i="1" a="1"/>
  <c r="AN4192" i="1" a="1"/>
  <c r="AN3158" i="1" a="1"/>
  <c r="AN2123" i="1" a="1"/>
  <c r="AN2247" i="1" a="1"/>
  <c r="AU688" i="1" a="1"/>
  <c r="AN1664" i="1" a="1"/>
  <c r="AN811" i="1" a="1"/>
  <c r="AN3303" i="1" a="1"/>
  <c r="AN130" i="1" a="1"/>
  <c r="AN557" i="1" a="1"/>
  <c r="AU323" i="1" a="1"/>
  <c r="AN2338" i="1" a="1"/>
  <c r="AN2242" i="1" a="1"/>
  <c r="AN286" i="1" a="1"/>
  <c r="AU300" i="1" a="1"/>
  <c r="AN3419" i="1" a="1"/>
  <c r="AN341" i="1" a="1"/>
  <c r="AN2766" i="1" a="1"/>
  <c r="AN1534" i="1" a="1"/>
  <c r="AU201" i="1" a="1"/>
  <c r="AU672" i="1" a="1"/>
  <c r="AN3373" i="1" a="1"/>
  <c r="AN761" i="1" a="1"/>
  <c r="AN3278" i="1" a="1"/>
  <c r="AN3353" i="1" a="1"/>
  <c r="AN3700" i="1" a="1"/>
  <c r="AN2972" i="1" a="1"/>
  <c r="AN3743" i="1" a="1"/>
  <c r="AN70" i="1" a="1"/>
  <c r="AN1497" i="1" a="1"/>
  <c r="AN2137" i="1" a="1"/>
  <c r="AN658" i="1" a="1"/>
  <c r="AN3080" i="1" a="1"/>
  <c r="AN1232" i="1" a="1"/>
  <c r="AU171" i="1" a="1"/>
  <c r="AN1676" i="1" a="1"/>
  <c r="AN3667" i="1" a="1"/>
  <c r="AN1549" i="1" a="1"/>
  <c r="AU760" i="1" a="1"/>
  <c r="AU19" i="1" a="1"/>
  <c r="AN1992" i="1" a="1"/>
  <c r="AN3999" i="1" a="1"/>
  <c r="AN250" i="1" a="1"/>
  <c r="AU3" i="1" a="1"/>
  <c r="AN2719" i="1" a="1"/>
  <c r="AN2089" i="1" a="1"/>
  <c r="AN1731" i="1" a="1"/>
  <c r="AN3504" i="1" a="1"/>
  <c r="AN3924" i="1" a="1"/>
  <c r="AN2764" i="1" a="1"/>
  <c r="AN3780" i="1" a="1"/>
  <c r="AN2959" i="1" a="1"/>
  <c r="AN605" i="1" a="1"/>
  <c r="AN2155" i="1" a="1"/>
  <c r="AN3893" i="1" a="1"/>
  <c r="AU319" i="1" a="1"/>
  <c r="AN3322" i="1" a="1"/>
  <c r="AN1716" i="1" a="1"/>
  <c r="AN561" i="1" a="1"/>
  <c r="AU394" i="1" a="1"/>
  <c r="AN466" i="1" a="1"/>
  <c r="AN3592" i="1" a="1"/>
  <c r="AN2246" i="1" a="1"/>
  <c r="AN2941" i="1" a="1"/>
  <c r="AN3576" i="1" a="1"/>
  <c r="AN3648" i="1" a="1"/>
  <c r="AN3423" i="1" a="1"/>
  <c r="AN2598" i="1" a="1"/>
  <c r="AN2676" i="1" a="1"/>
  <c r="AU2" i="1" a="1"/>
  <c r="AN3078" i="1" a="1"/>
  <c r="AN305" i="1" a="1"/>
  <c r="AN3523" i="1" a="1"/>
  <c r="AN4009" i="1" a="1"/>
  <c r="AN3527" i="1" a="1"/>
  <c r="AN3514" i="1" a="1"/>
  <c r="AN2047" i="1" a="1"/>
  <c r="AN4071" i="1" a="1"/>
  <c r="AN4241" i="1" a="1"/>
  <c r="AU146" i="1" a="1"/>
  <c r="AN1997" i="1" a="1"/>
  <c r="AN3566" i="1" a="1"/>
  <c r="AN2574" i="1" a="1"/>
  <c r="AN2361" i="1" a="1"/>
  <c r="AN2" i="1" a="1"/>
  <c r="AN1639" i="1" a="1"/>
  <c r="AU508" i="1" a="1"/>
  <c r="AN3553" i="1" a="1"/>
  <c r="AU557" i="1" a="1"/>
  <c r="AN2877" i="1" a="1"/>
  <c r="AN3257" i="1" a="1"/>
  <c r="AN2915" i="1" a="1"/>
  <c r="AN3587" i="1" a="1"/>
  <c r="AN1562" i="1" a="1"/>
  <c r="AN1650" i="1" a="1"/>
  <c r="AN1499" i="1" a="1"/>
  <c r="AN2158" i="1" a="1"/>
  <c r="AN3197" i="1" a="1"/>
  <c r="AN3512" i="1" a="1"/>
  <c r="AN3446" i="1" a="1"/>
  <c r="AU94" i="1" a="1"/>
  <c r="AN4130" i="1" a="1"/>
  <c r="AN3613" i="1" a="1"/>
  <c r="AN3610" i="1" a="1"/>
  <c r="AU25" i="1" a="1"/>
  <c r="AN3222" i="1" a="1"/>
  <c r="AN3692" i="1" a="1"/>
  <c r="AN83" i="1" a="1"/>
  <c r="AN522" i="1" a="1"/>
  <c r="AU162" i="1" a="1"/>
  <c r="AN3724" i="1" a="1"/>
  <c r="AN1943" i="1" a="1"/>
  <c r="AN3069" i="1" a="1"/>
  <c r="AN3494" i="1" a="1"/>
  <c r="AN3749" i="1" a="1"/>
  <c r="AN2528" i="1" a="1"/>
  <c r="AN3379" i="1" a="1"/>
  <c r="AN3798" i="1" a="1"/>
  <c r="AN3459" i="1" a="1"/>
  <c r="AN1591" i="1" a="1"/>
  <c r="AN3905" i="1" a="1"/>
  <c r="AN2252" i="1" a="1"/>
  <c r="AN3831" i="1" a="1"/>
  <c r="AN2921" i="1" a="1"/>
  <c r="AN1816" i="1" a="1"/>
  <c r="AN890" i="1" a="1"/>
  <c r="AN3037" i="1" a="1"/>
  <c r="AN4252" i="1" a="1"/>
  <c r="AN3468" i="1" a="1"/>
  <c r="AU151" i="1" a="1"/>
  <c r="AN2993" i="1" a="1"/>
  <c r="AN1729" i="1" a="1"/>
  <c r="AN318" i="1" a="1"/>
  <c r="AU646" i="1" a="1"/>
  <c r="AN1163" i="1" a="1"/>
  <c r="AN3663" i="1" a="1"/>
  <c r="AN3471" i="1" a="1"/>
  <c r="AN2521" i="1" a="1"/>
  <c r="AN2708" i="1" a="1"/>
  <c r="AN1685" i="1" a="1"/>
  <c r="AN846" i="1" a="1"/>
  <c r="AN3507" i="1" a="1"/>
  <c r="AN2066" i="1" a="1"/>
  <c r="AN3898" i="1" a="1"/>
  <c r="AN1341" i="1" a="1"/>
  <c r="AU462" i="1" a="1"/>
  <c r="AN2029" i="1" a="1"/>
  <c r="AN3519" i="1" a="1"/>
  <c r="AN1845" i="1" a="1"/>
  <c r="AN2391" i="1" a="1"/>
  <c r="AN458" i="1" a="1"/>
  <c r="AN3522" i="1" a="1"/>
  <c r="AN3948" i="1" a="1"/>
  <c r="AN570" i="1" a="1"/>
  <c r="AN4121" i="1" a="1"/>
  <c r="AN1763" i="1" a="1"/>
  <c r="AN2161" i="1" a="1"/>
  <c r="AN2757" i="1" a="1"/>
  <c r="AN2429" i="1" a="1"/>
  <c r="AU83" i="1" a="1"/>
  <c r="AN3567" i="1" a="1"/>
  <c r="AN4033" i="1" a="1"/>
  <c r="AN3495" i="1" a="1"/>
  <c r="AN1455" i="1" a="1"/>
  <c r="AU217" i="1" a="1"/>
  <c r="AN2836" i="1" a="1"/>
  <c r="AN2490" i="1" a="1"/>
  <c r="AN4118" i="1" a="1"/>
  <c r="AN1838" i="1" a="1"/>
  <c r="AN877" i="1" a="1"/>
  <c r="AN2294" i="1" a="1"/>
  <c r="AN2890" i="1" a="1"/>
  <c r="AN3079" i="1" a="1"/>
  <c r="AN3639" i="1" a="1"/>
  <c r="AU58" i="1" a="1"/>
  <c r="AN3717" i="1" a="1"/>
  <c r="AN3960" i="1" a="1"/>
  <c r="AN3742" i="1" a="1"/>
  <c r="AN2803" i="1" a="1"/>
  <c r="AN165" i="1" a="1"/>
  <c r="AN3376" i="1" a="1"/>
  <c r="AN2894" i="1" a="1"/>
  <c r="AN4325" i="1" a="1"/>
  <c r="AN1787" i="1" a="1"/>
  <c r="AU343" i="1" a="1"/>
  <c r="AN3483" i="1" a="1"/>
  <c r="AN3675" i="1" a="1"/>
  <c r="AN3697" i="1" a="1"/>
  <c r="AU333" i="1" a="1"/>
  <c r="AN1857" i="1" a="1"/>
  <c r="AN1991" i="1" a="1"/>
  <c r="AN3601" i="1" a="1"/>
  <c r="AN3022" i="1" a="1"/>
  <c r="AU802" i="1" a="1"/>
  <c r="AN2020" i="1" a="1"/>
  <c r="AN2768" i="1" a="1"/>
  <c r="AN3914" i="1" a="1"/>
  <c r="AN3263" i="1" a="1"/>
  <c r="AN3072" i="1" a="1"/>
  <c r="AN3122" i="1" a="1"/>
  <c r="AN3963" i="1" a="1"/>
  <c r="AU939" i="1" a="1"/>
  <c r="AN2311" i="1" a="1"/>
  <c r="AN3049" i="1" a="1"/>
  <c r="AN2987" i="1" a="1"/>
  <c r="AN3206" i="1" a="1"/>
  <c r="AN2808" i="1" a="1"/>
  <c r="AN3138" i="1" a="1"/>
  <c r="AN1719" i="1" a="1"/>
  <c r="AN3443" i="1" a="1"/>
  <c r="AN2609" i="1" a="1"/>
  <c r="AN3481" i="1" a="1"/>
  <c r="AN2652" i="1" a="1"/>
  <c r="AU352" i="1" a="1"/>
  <c r="AN690" i="1" a="1"/>
  <c r="AN3903" i="1" a="1"/>
  <c r="AN2254" i="1" a="1"/>
  <c r="AU647" i="1" a="1"/>
  <c r="AN2331" i="1" a="1"/>
  <c r="AN3420" i="1" a="1"/>
  <c r="AN2810" i="1" a="1"/>
  <c r="AU230" i="1" a="1"/>
  <c r="AN1414" i="1" a="1"/>
  <c r="AN3725" i="1" a="1"/>
  <c r="AN3218" i="1" a="1"/>
  <c r="AN2212" i="1" a="1"/>
  <c r="AN2168" i="1" a="1"/>
  <c r="AN2789" i="1" a="1"/>
  <c r="AN809" i="1" a="1"/>
  <c r="AU139" i="1" a="1"/>
  <c r="AN3508" i="1" a="1"/>
  <c r="AN738" i="1" a="1"/>
  <c r="AN2008" i="1" a="1"/>
  <c r="AN3732" i="1" a="1"/>
  <c r="AN4108" i="1" a="1"/>
  <c r="AN747" i="1" a="1"/>
  <c r="AN3249" i="1" a="1"/>
  <c r="AN4186" i="1" a="1"/>
  <c r="AN1659" i="1" a="1"/>
  <c r="AN1235" i="1" a="1"/>
  <c r="AN2919" i="1" a="1"/>
  <c r="AN3932" i="1" a="1"/>
  <c r="AN2869" i="1" a="1"/>
  <c r="AU668" i="1" a="1"/>
  <c r="AN2554" i="1" a="1"/>
  <c r="AN1699" i="1" a="1"/>
  <c r="AN3569" i="1" a="1"/>
  <c r="AN3971" i="1" a="1"/>
  <c r="AN2695" i="1" a="1"/>
  <c r="AN2838" i="1" a="1"/>
  <c r="AN2437" i="1" a="1"/>
  <c r="AN3530" i="1" a="1"/>
  <c r="AN844" i="1" a="1"/>
  <c r="AN1449" i="1" a="1"/>
  <c r="AN2052" i="1" a="1"/>
  <c r="AN1025" i="1" a="1"/>
  <c r="AN4320" i="1" a="1"/>
  <c r="AN1790" i="1" a="1"/>
  <c r="AN2620" i="1" a="1"/>
  <c r="AN2641" i="1" a="1"/>
  <c r="AN4063" i="1" a="1"/>
  <c r="AN1577" i="1" a="1"/>
  <c r="AN3882" i="1" a="1"/>
  <c r="AN3678" i="1" a="1"/>
  <c r="AU60" i="1" a="1"/>
  <c r="AN4062" i="1" a="1"/>
  <c r="AN4138" i="1" a="1"/>
  <c r="AN3721" i="1" a="1"/>
  <c r="AN3659" i="1" a="1"/>
  <c r="AN4197" i="1" a="1"/>
  <c r="AN3290" i="1" a="1"/>
  <c r="AN2835" i="1" a="1"/>
  <c r="AN3320" i="1" a="1"/>
  <c r="AU694" i="1" a="1"/>
  <c r="AN4322" i="1" a="1"/>
  <c r="AN4254" i="1" a="1"/>
  <c r="AN2360" i="1" a="1"/>
  <c r="AU769" i="1" a="1"/>
  <c r="AN4188" i="1" a="1"/>
  <c r="AN2907" i="1" a="1"/>
  <c r="AN1928" i="1" a="1"/>
  <c r="AN2060" i="1" a="1"/>
  <c r="AN1861" i="1" a="1"/>
  <c r="AN386" i="1" a="1"/>
  <c r="AN453" i="1" a="1"/>
  <c r="AN2031" i="1" a="1"/>
  <c r="AN2976" i="1" a="1"/>
  <c r="AN1113" i="1" a="1"/>
  <c r="AN3299" i="1" a="1"/>
  <c r="AN48" i="1" a="1"/>
  <c r="AN800" i="1" a="1"/>
  <c r="AN2901" i="1" a="1"/>
  <c r="AN1895" i="1" a="1"/>
  <c r="AU538" i="1" a="1"/>
  <c r="AN1646" i="1" a="1"/>
  <c r="AU31" i="1" a="1"/>
  <c r="AN527" i="1" a="1"/>
  <c r="AN280" i="1" a="1"/>
  <c r="AN2460" i="1" a="1"/>
  <c r="AN2859" i="1" a="1"/>
  <c r="AN3606" i="1" a="1"/>
  <c r="AN2771" i="1" a="1"/>
  <c r="AN2385" i="1" a="1"/>
  <c r="AN2870" i="1" a="1"/>
  <c r="AN4170" i="1" a="1"/>
  <c r="AN2179" i="1" a="1"/>
  <c r="AU506" i="1" a="1"/>
  <c r="AN3478" i="1" a="1"/>
  <c r="AN3572" i="1" a="1"/>
  <c r="AN1589" i="1" a="1"/>
  <c r="AU265" i="1" a="1"/>
  <c r="AU304" i="1" a="1"/>
  <c r="AN3662" i="1" a="1"/>
  <c r="AN2971" i="1" a="1"/>
  <c r="AN1942" i="1" a="1"/>
  <c r="AN728" i="1" a="1"/>
  <c r="AN3417" i="1" a="1"/>
  <c r="AN3560" i="1" a="1"/>
  <c r="AN4046" i="1" a="1"/>
  <c r="AN56" i="1" a="1"/>
  <c r="AN1984" i="1" a="1"/>
  <c r="AN538" i="1" a="1"/>
  <c r="AN2402" i="1" a="1"/>
  <c r="AN3998" i="1" a="1"/>
  <c r="AN2433" i="1" a="1"/>
  <c r="AN3757" i="1" a="1"/>
  <c r="AN3528" i="1" a="1"/>
  <c r="AN3915" i="1" a="1"/>
  <c r="AN3978" i="1" a="1"/>
  <c r="AN1598" i="1" a="1"/>
  <c r="AN2800" i="1" a="1"/>
  <c r="AN2742" i="1" a="1"/>
  <c r="AN4295" i="1" a="1"/>
  <c r="AN3816" i="1" a="1"/>
  <c r="AN3411" i="1" a="1"/>
  <c r="AN748" i="1" a="1"/>
  <c r="AN4331" i="1" a="1"/>
  <c r="AN3117" i="1" a="1"/>
  <c r="AN1738" i="1" a="1"/>
  <c r="AN3030" i="1" a="1"/>
  <c r="AN4105" i="1" a="1"/>
  <c r="AN3024" i="1" a="1"/>
  <c r="AN740" i="1" a="1"/>
  <c r="AN2081" i="1" a="1"/>
  <c r="AN3476" i="1" a="1"/>
  <c r="AN576" i="1" a="1"/>
  <c r="AU165" i="1" a="1"/>
  <c r="AU350" i="1" a="1"/>
  <c r="AN1881" i="1" a="1"/>
  <c r="AN1439" i="1" a="1"/>
  <c r="AN943" i="1" a="1"/>
  <c r="AN2952" i="1" a="1"/>
  <c r="AN3243" i="1" a="1"/>
  <c r="AN3580" i="1" a="1"/>
  <c r="AN4248" i="1" a="1"/>
  <c r="AN2730" i="1" a="1"/>
  <c r="AN4066" i="1" a="1"/>
  <c r="AN4037" i="1" a="1"/>
  <c r="AN2824" i="1" a="1"/>
  <c r="AN3226" i="1" a="1"/>
  <c r="AN3298" i="1" a="1"/>
  <c r="AU78" i="1" a="1"/>
  <c r="AN2929" i="1" a="1"/>
  <c r="AN3086" i="1" a="1"/>
  <c r="AN3783" i="1" a="1"/>
  <c r="AN2551" i="1" a="1"/>
  <c r="AN1649" i="1" a="1"/>
  <c r="AN4202" i="1" a="1"/>
  <c r="AN3156" i="1" a="1"/>
  <c r="AN3994" i="1" a="1"/>
  <c r="AN3319" i="1" a="1"/>
  <c r="AN3105" i="1" a="1"/>
  <c r="AU488" i="1" a="1"/>
  <c r="AN3513" i="1" a="1"/>
  <c r="AN3492" i="1" a="1"/>
  <c r="AN3778" i="1" a="1"/>
  <c r="AN2848" i="1" a="1"/>
  <c r="AN4167" i="1" a="1"/>
  <c r="AN2448" i="1" a="1"/>
  <c r="AN3686" i="1" a="1"/>
  <c r="AN4227" i="1" a="1"/>
  <c r="AN3741" i="1" a="1"/>
  <c r="AU130" i="1" a="1"/>
  <c r="AU842" i="1" a="1"/>
  <c r="AN2587" i="1" a="1"/>
  <c r="AU412" i="1" a="1"/>
  <c r="AN3005" i="1" a="1"/>
  <c r="AN535" i="1" a="1"/>
  <c r="AN1959" i="1" a="1"/>
  <c r="AU18" i="1" a="1"/>
  <c r="AN707" i="1" a="1"/>
  <c r="AN625" i="1" a="1"/>
  <c r="AN3615" i="1" a="1"/>
  <c r="AN1193" i="1" a="1"/>
  <c r="AN97" i="1" a="1"/>
  <c r="AN3445" i="1" a="1"/>
  <c r="AN4068" i="1" a="1"/>
  <c r="AN3307" i="1" a="1"/>
  <c r="AN2613" i="1" a="1"/>
  <c r="AN3859" i="1" a="1"/>
  <c r="AN1342" i="1" a="1"/>
  <c r="AN3861" i="1" a="1"/>
  <c r="AU384" i="1" a="1"/>
  <c r="AU830" i="1" a="1"/>
  <c r="AN4262" i="1" a="1"/>
  <c r="AN4156" i="1" a="1"/>
  <c r="AN4230" i="1" a="1"/>
  <c r="AN1511" i="1" a="1"/>
  <c r="AN736" i="1" a="1"/>
  <c r="AN2455" i="1" a="1"/>
  <c r="AN1636" i="1" a="1"/>
  <c r="AN3141" i="1" a="1"/>
  <c r="AN2995" i="1" a="1"/>
  <c r="AN1586" i="1" a="1"/>
  <c r="AU96" i="1" a="1"/>
  <c r="AN2112" i="1" a="1"/>
  <c r="AN3146" i="1" a="1"/>
  <c r="AN1354" i="1" a="1"/>
  <c r="AN2051" i="1" a="1"/>
  <c r="AN3534" i="1" a="1"/>
  <c r="AN3716" i="1" a="1"/>
  <c r="AN1878" i="1" a="1"/>
  <c r="AN3977" i="1" a="1"/>
  <c r="AN2411" i="1" a="1"/>
  <c r="AN1375" i="1" a="1"/>
  <c r="AN141" i="1" a="1"/>
  <c r="AN2227" i="1" a="1"/>
  <c r="AN3400" i="1" a="1"/>
  <c r="AN2410" i="1" a="1"/>
  <c r="AN1619" i="1" a="1"/>
  <c r="AN153" i="1" a="1"/>
  <c r="AN3175" i="1" a="1"/>
  <c r="AN3988" i="1" a="1"/>
  <c r="AN780" i="1" a="1"/>
  <c r="AN4161" i="1" a="1"/>
  <c r="AN1452" i="1" a="1"/>
  <c r="AN3045" i="1" a="1"/>
  <c r="AN505" i="1" a="1"/>
  <c r="AU306" i="1" a="1"/>
  <c r="AU794" i="1" a="1"/>
  <c r="AN4318" i="1" a="1"/>
  <c r="AN2555" i="1" a="1"/>
  <c r="AN4070" i="1" a="1"/>
  <c r="AN4104" i="1" a="1"/>
  <c r="AN3462" i="1" a="1"/>
  <c r="AN2039" i="1" a="1"/>
  <c r="AN1864" i="1" a="1"/>
  <c r="AN4080" i="1" a="1"/>
  <c r="AU537" i="1" a="1"/>
  <c r="AN4165" i="1" a="1"/>
  <c r="AN3107" i="1" a="1"/>
  <c r="AN2920" i="1" a="1"/>
  <c r="AN1989" i="1" a="1"/>
  <c r="AN1347" i="1" a="1"/>
  <c r="AN4259" i="1" a="1"/>
  <c r="AN3714" i="1" a="1"/>
  <c r="AN2375" i="1" a="1"/>
  <c r="AN230" i="1" a="1"/>
  <c r="AN3451" i="1" a="1"/>
  <c r="AN4067" i="1" a="1"/>
  <c r="AN3711" i="1" a="1"/>
  <c r="AN3870" i="1" a="1"/>
  <c r="AN3490" i="1" a="1"/>
  <c r="AU860" i="1" a="1"/>
  <c r="AN3217" i="1" a="1"/>
  <c r="AN4183" i="1" a="1"/>
  <c r="AN1767" i="1" a="1"/>
  <c r="AU713" i="1" a="1"/>
  <c r="AN3262" i="1" a="1"/>
  <c r="AN3337" i="1" a="1"/>
  <c r="AN3772" i="1" a="1"/>
  <c r="AU397" i="1" a="1"/>
  <c r="AU778" i="1" a="1"/>
  <c r="AN892" i="1" a="1"/>
  <c r="AU345" i="1" a="1"/>
  <c r="AN4287" i="1" a="1"/>
  <c r="AU55" i="1" a="1"/>
  <c r="AU373" i="1" a="1"/>
  <c r="AN2175" i="1" a="1"/>
  <c r="AN163" i="1" a="1"/>
  <c r="AN2397" i="1" a="1"/>
  <c r="AN3186" i="1" a="1"/>
  <c r="AN3198" i="1" a="1"/>
  <c r="AN3614" i="1" a="1"/>
  <c r="AN2164" i="1" a="1"/>
  <c r="AN60" i="1" a="1"/>
  <c r="AN3961" i="1" a="1"/>
  <c r="AN3784" i="1" a="1"/>
  <c r="AN3710" i="1" a="1"/>
  <c r="AN3641" i="1" a="1"/>
  <c r="AU375" i="1" a="1"/>
  <c r="AU880" i="1" a="1"/>
  <c r="AN3979" i="1" a="1"/>
  <c r="AN1792" i="1" a="1"/>
  <c r="AN2729" i="1" a="1"/>
  <c r="AN695" i="1" a="1"/>
  <c r="AN2524" i="1" a="1"/>
  <c r="AN3529" i="1" a="1"/>
  <c r="AN3775" i="1" a="1"/>
  <c r="AN2214" i="1" a="1"/>
  <c r="AN1000" i="1" a="1"/>
  <c r="AN2884" i="1" a="1"/>
  <c r="AN1481" i="1" a="1"/>
  <c r="AN3114" i="1" a="1"/>
  <c r="AN402" i="1" a="1"/>
  <c r="AN3248" i="1" a="1"/>
  <c r="AN1609" i="1" a="1"/>
  <c r="AN2204" i="1" a="1"/>
  <c r="AN2260" i="1" a="1"/>
  <c r="AN3231" i="1" a="1"/>
  <c r="AN3380" i="1" a="1"/>
  <c r="AN3817" i="1" a="1"/>
  <c r="AN4313" i="1" a="1"/>
  <c r="AN3457" i="1" a="1"/>
  <c r="AN2856" i="1" a="1"/>
  <c r="AN3442" i="1" a="1"/>
  <c r="AN3863" i="1" a="1"/>
  <c r="AN3875" i="1" a="1"/>
  <c r="AN2825" i="1" a="1"/>
  <c r="AN3917" i="1" a="1"/>
  <c r="AN2403" i="1" a="1"/>
  <c r="AN3252" i="1" a="1"/>
  <c r="AN3821" i="1" a="1"/>
  <c r="AN1494" i="1" a="1"/>
  <c r="AN1663" i="1" a="1"/>
  <c r="AN2849" i="1" a="1"/>
  <c r="AU338" i="1" a="1"/>
  <c r="AN1977" i="1" a="1"/>
  <c r="AN4141" i="1" a="1"/>
  <c r="AN2982" i="1" a="1"/>
  <c r="AN3053" i="1" a="1"/>
  <c r="AN447" i="1" a="1"/>
  <c r="AN1839" i="1" a="1"/>
  <c r="AN4152" i="1" a="1"/>
  <c r="AN4246" i="1" a="1"/>
  <c r="AN4172" i="1" a="1"/>
  <c r="AN2935" i="1" a="1"/>
  <c r="AN1884" i="1" a="1"/>
  <c r="AN2422" i="1" a="1"/>
  <c r="AN3464" i="1" a="1"/>
  <c r="AN350" i="1" a="1"/>
  <c r="AN1422" i="1" a="1"/>
  <c r="AN4222" i="1" a="1"/>
  <c r="AN919" i="1" a="1"/>
  <c r="AN2665" i="1" a="1"/>
  <c r="AN2337" i="1" a="1"/>
  <c r="AN2057" i="1" a="1"/>
  <c r="AN3467" i="1" a="1"/>
  <c r="AN1941" i="1" a="1"/>
  <c r="AN2644" i="1" a="1"/>
  <c r="AN2283" i="1" a="1"/>
  <c r="AN3287" i="1" a="1"/>
  <c r="AN3153" i="1" a="1"/>
  <c r="AN10" i="1" a="1"/>
  <c r="AN2829" i="1" a="1"/>
  <c r="AN3148" i="1" a="1"/>
  <c r="AN3127" i="1" a="1"/>
  <c r="AN1789" i="1" a="1"/>
  <c r="AN4082" i="1" a="1"/>
  <c r="AN2076" i="1" a="1"/>
  <c r="AU743" i="1" a="1"/>
  <c r="AU749" i="1" a="1"/>
  <c r="AN2529" i="1" a="1"/>
  <c r="AN3336" i="1" a="1"/>
  <c r="AN1258" i="1" a="1"/>
  <c r="AN4047" i="1" a="1"/>
  <c r="AN3397" i="1" a="1"/>
  <c r="AN439" i="1" a="1"/>
  <c r="AN4274" i="1" a="1"/>
  <c r="AN3619" i="1" a="1"/>
  <c r="AN2752" i="1" a="1"/>
  <c r="AN2140" i="1" a="1"/>
  <c r="AN1537" i="1" a="1"/>
  <c r="AN3314" i="1" a="1"/>
  <c r="AN306" i="1" a="1"/>
  <c r="AN778" i="1" a="1"/>
  <c r="AN2230" i="1" a="1"/>
  <c r="AN3763" i="1" a="1"/>
  <c r="AN3235" i="1" a="1"/>
  <c r="AN2419" i="1" a="1"/>
  <c r="AN1686" i="1" a="1"/>
  <c r="AN3123" i="1" a="1"/>
  <c r="AN47" i="1" a="1"/>
  <c r="AN3827" i="1" a="1"/>
  <c r="AN2116" i="1" a="1"/>
  <c r="AN1805" i="1" a="1"/>
  <c r="AN4021" i="1" a="1"/>
  <c r="AN2136" i="1" a="1"/>
  <c r="AN4169" i="1" a="1"/>
  <c r="AN3089" i="1" a="1"/>
  <c r="AN1334" i="1" a="1"/>
  <c r="AN3593" i="1" a="1"/>
  <c r="AN2451" i="1" a="1"/>
  <c r="AN3192" i="1" a="1"/>
  <c r="AN3681" i="1" a="1"/>
  <c r="AN1762" i="1" a="1"/>
  <c r="AN372" i="1" a="1"/>
  <c r="AU7" i="1" a="1"/>
  <c r="AU792" i="1" a="1"/>
  <c r="AN3636" i="1" a="1"/>
  <c r="AN4158" i="1" a="1"/>
  <c r="AN2684" i="1" a="1"/>
  <c r="AN2119" i="1" a="1"/>
  <c r="AN1703" i="1" a="1"/>
  <c r="AU382" i="1" a="1"/>
  <c r="AN3023" i="1" a="1"/>
  <c r="AN2717" i="1" a="1"/>
  <c r="AN3934" i="1" a="1"/>
  <c r="AN1437" i="1" a="1"/>
  <c r="AN2880" i="1" a="1"/>
  <c r="AN2611" i="1" a="1"/>
  <c r="AN4206" i="1" a="1"/>
  <c r="AN2453" i="1" a="1"/>
  <c r="AN3589" i="1" a="1"/>
  <c r="AN2734" i="1" a="1"/>
  <c r="AN2698" i="1" a="1"/>
  <c r="AN3561" i="1" a="1"/>
  <c r="AN794" i="1" a="1"/>
  <c r="AN1776" i="1" a="1"/>
  <c r="AN3427" i="1" a="1"/>
  <c r="AN2977" i="1" a="1"/>
  <c r="AN4294" i="1" a="1"/>
  <c r="AN3972" i="1" a="1"/>
  <c r="AN3779" i="1" a="1"/>
  <c r="AN3347" i="1" a="1"/>
  <c r="AN1872" i="1" a="1"/>
  <c r="AN3515" i="1" a="1"/>
  <c r="AN4089" i="1" a="1"/>
  <c r="AN2436" i="1" a="1"/>
  <c r="AN2875" i="1" a="1"/>
  <c r="AN3658" i="1" a="1"/>
  <c r="AN519" i="1" a="1"/>
  <c r="AN1569" i="1" a="1"/>
  <c r="AN13" i="1" a="1"/>
  <c r="AN4087" i="1" a="1"/>
  <c r="AN4045" i="1" a="1"/>
  <c r="AN27" i="1" a="1"/>
  <c r="AU422" i="1" a="1"/>
  <c r="AU360" i="1" a="1"/>
  <c r="AN2561" i="1" a="1"/>
  <c r="AN3502" i="1" a="1"/>
  <c r="AN3447" i="1" a="1"/>
  <c r="AN3953" i="1" a="1"/>
  <c r="AN2279" i="1" a="1"/>
  <c r="AU361" i="1" a="1"/>
  <c r="AN2994" i="1" a="1"/>
  <c r="AN2144" i="1" a="1"/>
  <c r="AN4305" i="1" a="1"/>
  <c r="AN3518" i="1" a="1"/>
  <c r="AN3744" i="1" a="1"/>
  <c r="AN3813" i="1" a="1"/>
  <c r="AN3011" i="1" a="1"/>
  <c r="AN1693" i="1" a="1"/>
  <c r="AN1627" i="1" a="1"/>
  <c r="AN285" i="1" a="1"/>
  <c r="AN4181" i="1" a="1"/>
  <c r="AN3854" i="1" a="1"/>
  <c r="AN4069" i="1" a="1"/>
  <c r="AN412" i="1" a="1"/>
  <c r="AN869" i="1" a="1"/>
  <c r="AN3937" i="1" a="1"/>
  <c r="AN3928" i="1" a="1"/>
  <c r="AN3552" i="1" a="1"/>
  <c r="AN2942" i="1" a="1"/>
  <c r="AN2019" i="1" a="1"/>
  <c r="AN3517" i="1" a="1"/>
  <c r="AN3413" i="1" a="1"/>
  <c r="AN2577" i="1" a="1"/>
  <c r="AN2970" i="1" a="1"/>
  <c r="AN3910" i="1" a="1"/>
  <c r="AN4003" i="1" a="1"/>
  <c r="AN241" i="1" a="1"/>
  <c r="AN3531" i="1" a="1"/>
  <c r="AU491" i="1" a="1"/>
  <c r="AU639" i="1" a="1"/>
  <c r="AN3539" i="1" a="1"/>
  <c r="AN4312" i="1" a="1"/>
  <c r="AN2221" i="1" a="1"/>
  <c r="AN346" i="1" a="1"/>
  <c r="AN3338" i="1" a="1"/>
  <c r="AU712" i="1" a="1"/>
  <c r="AN2819" i="1" a="1"/>
  <c r="AN3984" i="1" a="1"/>
  <c r="AU374" i="1" a="1"/>
  <c r="AN3497" i="1" a="1"/>
  <c r="AN3609" i="1" a="1"/>
  <c r="AN497" i="1" a="1"/>
  <c r="AU793" i="1" a="1"/>
  <c r="AN3731" i="1" a="1"/>
  <c r="AN1698" i="1" a="1"/>
  <c r="AN3215" i="1" a="1"/>
  <c r="AN3722" i="1" a="1"/>
  <c r="AU73" i="1" a="1"/>
  <c r="AN1901" i="1" a="1"/>
  <c r="AN4233" i="1" a="1"/>
  <c r="AN2072" i="1" a="1"/>
  <c r="AN4210" i="1" a="1"/>
  <c r="AN3753" i="1" a="1"/>
  <c r="AN3440" i="1" a="1"/>
  <c r="AN3280" i="1" a="1"/>
  <c r="AN3524" i="1" a="1"/>
  <c r="AN1955" i="1" a="1"/>
  <c r="AN3414" i="1" a="1"/>
  <c r="AN3177" i="1" a="1"/>
  <c r="AN2949" i="1" a="1"/>
  <c r="AN3578" i="1" a="1"/>
  <c r="AN2159" i="1" a="1"/>
  <c r="AN1630" i="1" a="1"/>
  <c r="AN1835" i="1" a="1"/>
  <c r="AN3682" i="1" a="1"/>
  <c r="AN3246" i="1" a="1"/>
  <c r="AN1624" i="1" a="1"/>
  <c r="AN4317" i="1" a="1"/>
  <c r="AN319" i="1" a="1"/>
  <c r="AN4229" i="1" a="1"/>
  <c r="AN3016" i="1" a="1"/>
  <c r="AN3103" i="1" a="1"/>
  <c r="AN3993" i="1" a="1"/>
  <c r="AN3325" i="1" a="1"/>
  <c r="AU450" i="1" a="1"/>
  <c r="AU863" i="1" a="1"/>
  <c r="AN733" i="1" a="1"/>
  <c r="AN3923" i="1" a="1"/>
  <c r="AN2303" i="1" a="1"/>
  <c r="AN3755" i="1" a="1"/>
  <c r="AN1616" i="1" a="1"/>
  <c r="AU425" i="1" a="1"/>
  <c r="AN3208" i="1" a="1"/>
  <c r="AN4030" i="1" a="1"/>
  <c r="AU351" i="1" a="1"/>
  <c r="AN1305" i="1" a="1"/>
  <c r="AN2189" i="1" a="1"/>
  <c r="AN1995" i="1" a="1"/>
  <c r="AU464" i="1" a="1"/>
  <c r="AU432" i="1" a="1"/>
  <c r="AN4112" i="1" a="1"/>
  <c r="AN2298" i="1" a="1"/>
  <c r="AN2406" i="1" a="1"/>
  <c r="AU124" i="1" a="1"/>
  <c r="AN2746" i="1" a="1"/>
  <c r="AN3564" i="1" a="1"/>
  <c r="AN3370" i="1" a="1"/>
  <c r="AN1265" i="1" a="1"/>
  <c r="AN3149" i="1" a="1"/>
  <c r="AN3202" i="1" a="1"/>
  <c r="AN3683" i="1" a="1"/>
  <c r="AN2354" i="1" a="1"/>
  <c r="AN3657" i="1" a="1"/>
  <c r="AU734" i="1" a="1"/>
  <c r="AN916" i="1" a="1"/>
  <c r="AN1463" i="1" a="1"/>
  <c r="AN58" i="1" a="1"/>
  <c r="AN3980" i="1" a="1"/>
  <c r="AN3955" i="1" a="1"/>
  <c r="AN2760" i="1" a="1"/>
  <c r="AN379" i="1" a="1"/>
  <c r="AU759" i="1" a="1"/>
  <c r="AN3616" i="1" a="1"/>
  <c r="AN1337" i="1" a="1"/>
  <c r="AN1910" i="1" a="1"/>
  <c r="AN1021" i="1" a="1"/>
  <c r="AN3371" i="1" a="1"/>
  <c r="AN2486" i="1" a="1"/>
  <c r="AN842" i="1" a="1"/>
  <c r="AN1519" i="1" a="1"/>
  <c r="AN1908" i="1" a="1"/>
  <c r="AU671" i="1" a="1"/>
  <c r="AU9" i="1" a="1"/>
  <c r="AN4302" i="1" a="1"/>
  <c r="AN3285" i="1" a="1"/>
  <c r="AN2616" i="1" a="1"/>
  <c r="AN3536" i="1" a="1"/>
  <c r="AN434" i="1" a="1"/>
  <c r="AN473" i="1" a="1"/>
  <c r="AN1472" i="1" a="1"/>
  <c r="AN4164" i="1" a="1"/>
  <c r="AU452" i="1" a="1"/>
  <c r="AN1976" i="1" a="1"/>
  <c r="AN3113" i="1" a="1"/>
  <c r="AN2852" i="1" a="1"/>
  <c r="AU226" i="1" a="1"/>
  <c r="AU332" i="1" a="1"/>
  <c r="AN52" i="1" a="1"/>
  <c r="AN3232" i="1" a="1"/>
  <c r="AN184" i="1" a="1"/>
  <c r="AU723" i="1" a="1"/>
  <c r="AN3406" i="1" a="1"/>
  <c r="AN3881" i="1" a="1"/>
  <c r="AN2340" i="1" a="1"/>
  <c r="AN3230" i="1" a="1"/>
  <c r="AN2381" i="1" a="1"/>
  <c r="AN676" i="1" a="1"/>
  <c r="AN3672" i="1" a="1"/>
  <c r="AN3879" i="1" a="1"/>
  <c r="AN3054" i="1" a="1"/>
  <c r="AU77" i="1" a="1"/>
  <c r="AN1398" i="1" a="1"/>
  <c r="AU407" i="1" a="1"/>
  <c r="AN4264" i="1" a="1"/>
  <c r="AN2086" i="1" a="1"/>
  <c r="AN2195" i="1" a="1"/>
  <c r="AN3599" i="1" a="1"/>
  <c r="AN488" i="1" a="1"/>
  <c r="AN2643" i="1" a="1"/>
  <c r="AN3499" i="1" a="1"/>
  <c r="AU409" i="1" a="1"/>
  <c r="AN4216" i="1" a="1"/>
  <c r="AN2718" i="1" a="1"/>
  <c r="AN1733" i="1" a="1"/>
  <c r="AN2872" i="1" a="1"/>
  <c r="AN3510" i="1" a="1"/>
  <c r="AN833" i="1" a="1"/>
  <c r="AN2586" i="1" a="1"/>
  <c r="AN4282" i="1" a="1"/>
  <c r="AN1783" i="1" a="1"/>
  <c r="AN2349" i="1" a="1"/>
  <c r="AU438" i="1" a="1"/>
  <c r="AN4027" i="1" a="1"/>
  <c r="AN3090" i="1" a="1"/>
  <c r="AN2289" i="1" a="1"/>
  <c r="AN2933" i="1" a="1"/>
  <c r="AN2864" i="1" a="1"/>
  <c r="AN3425" i="1" a="1"/>
  <c r="AN1675" i="1" a="1"/>
  <c r="AN2118" i="1" a="1"/>
  <c r="AU521" i="1" a="1"/>
  <c r="AN2885" i="1" a="1"/>
  <c r="AN3091" i="1" a="1"/>
  <c r="AN3264" i="1" a="1"/>
  <c r="AN3511" i="1" a="1"/>
  <c r="AU266" i="1" a="1"/>
  <c r="AN3076" i="1" a="1"/>
  <c r="AN2097" i="1" a="1"/>
  <c r="AN1829" i="1" a="1"/>
  <c r="AU571" i="1" a="1"/>
  <c r="AN3428" i="1" a="1"/>
  <c r="AN3983" i="1" a="1"/>
  <c r="AN3535" i="1" a="1"/>
  <c r="AN753" i="1" a="1"/>
  <c r="AN546" i="1" a="1"/>
  <c r="AN307" i="1" a="1"/>
  <c r="AN3051" i="1" a="1"/>
  <c r="AN2344" i="1" a="1"/>
  <c r="AN4002" i="1" a="1"/>
  <c r="AU399" i="1" a="1"/>
  <c r="AN2320" i="1" a="1"/>
  <c r="AU708" i="1" a="1"/>
  <c r="AN3551" i="1" a="1"/>
  <c r="AN782" i="1" a="1"/>
  <c r="AN4296" i="1" a="1"/>
  <c r="AN4321" i="1" a="1"/>
  <c r="AN2562" i="1" a="1"/>
  <c r="AN4173" i="1" a="1"/>
  <c r="AN3801" i="1" a="1"/>
  <c r="AN1134" i="1" a="1"/>
  <c r="AN34" i="1" a="1"/>
  <c r="AN2762" i="1" a="1"/>
  <c r="AN3130" i="1" a="1"/>
  <c r="AN3588" i="1" a="1"/>
  <c r="AN2414" i="1" a="1"/>
  <c r="AN3345" i="1" a="1"/>
  <c r="AN462" i="1" a="1"/>
  <c r="AN1643" i="1" a="1"/>
  <c r="AN2488" i="1" a="1"/>
  <c r="AN3958" i="1" a="1"/>
  <c r="AN2767" i="1" a="1"/>
  <c r="AN1515" i="1" a="1"/>
  <c r="AN3234" i="1" a="1"/>
  <c r="AU628" i="1" a="1"/>
  <c r="AN2426" i="1" a="1"/>
  <c r="AN3642" i="1" a="1"/>
  <c r="AN1822" i="1" a="1"/>
  <c r="AN2004" i="1" a="1"/>
  <c r="AN3335" i="1" a="1"/>
  <c r="AN371" i="1" a="1"/>
  <c r="AN2710" i="1" a="1"/>
  <c r="AN2974" i="1" a="1"/>
  <c r="AN2697" i="1" a="1"/>
  <c r="AN808" i="1" a="1"/>
  <c r="AN4332" i="1" a="1"/>
  <c r="AN1610" i="1" a="1"/>
  <c r="AN2675" i="1" a="1"/>
  <c r="AN2755" i="1" a="1"/>
  <c r="AN2620" i="1" l="1"/>
  <c r="AN4071" i="1"/>
  <c r="AN3530" i="1"/>
  <c r="AN1989" i="1"/>
  <c r="AN3298" i="1"/>
  <c r="AN2901" i="1"/>
  <c r="AN1659" i="1"/>
  <c r="AN4121" i="1"/>
  <c r="AN3576" i="1"/>
  <c r="AN2726" i="1"/>
  <c r="AN1478" i="1"/>
  <c r="AN3604" i="1"/>
  <c r="AN1386" i="1"/>
  <c r="AN3332" i="1"/>
  <c r="AN3967" i="1"/>
  <c r="AN3571" i="1"/>
  <c r="AN1770" i="1"/>
  <c r="AN2723" i="1"/>
  <c r="AN1237" i="1"/>
  <c r="AN2735" i="1"/>
  <c r="AN735" i="1"/>
  <c r="AN1587" i="1"/>
  <c r="AN3843" i="1"/>
  <c r="AN1596" i="1"/>
  <c r="AN1608" i="1"/>
  <c r="AN2265" i="1"/>
  <c r="AN3130" i="1"/>
  <c r="AN4264" i="1"/>
  <c r="AN4062" i="1"/>
  <c r="AN3717" i="1"/>
  <c r="AN1667" i="1"/>
  <c r="AN2890" i="1"/>
  <c r="AN3741" i="1"/>
  <c r="AN2836" i="1"/>
  <c r="AN3492" i="1"/>
  <c r="AN2920" i="1"/>
  <c r="AN3226" i="1"/>
  <c r="AN1831" i="1"/>
  <c r="AN4186" i="1"/>
  <c r="AN570" i="1"/>
  <c r="AN2941" i="1"/>
  <c r="AN3830" i="1"/>
  <c r="AN1962" i="1"/>
  <c r="AU371" i="1"/>
  <c r="AU566" i="1"/>
  <c r="AN3496" i="1"/>
  <c r="AN2549" i="1"/>
  <c r="AN4300" i="1"/>
  <c r="AN3059" i="1"/>
  <c r="AN804" i="1"/>
  <c r="AN3719" i="1"/>
  <c r="AN4110" i="1"/>
  <c r="AN2618" i="1"/>
  <c r="AN650" i="1"/>
  <c r="AN3556" i="1"/>
  <c r="AN2736" i="1"/>
  <c r="AN4191" i="1"/>
  <c r="AN2673" i="1"/>
  <c r="AN2762" i="1"/>
  <c r="AN1562" i="1"/>
  <c r="AN2123" i="1"/>
  <c r="AN4192" i="1"/>
  <c r="AN3553" i="1"/>
  <c r="AN2587" i="1"/>
  <c r="AN3566" i="1"/>
  <c r="AN2448" i="1"/>
  <c r="AN2813" i="1"/>
  <c r="AN3107" i="1"/>
  <c r="AN2824" i="1"/>
  <c r="AN2838" i="1"/>
  <c r="AN3249" i="1"/>
  <c r="AN3948" i="1"/>
  <c r="AN2246" i="1"/>
  <c r="AN2801" i="1"/>
  <c r="AN917" i="1"/>
  <c r="AN2881" i="1"/>
  <c r="AN3709" i="1"/>
  <c r="AN1015" i="1"/>
  <c r="AN3660" i="1"/>
  <c r="AN1718" i="1"/>
  <c r="AN3734" i="1"/>
  <c r="AN3899" i="1"/>
  <c r="AU602" i="1"/>
  <c r="AU166" i="1"/>
  <c r="AU434" i="1"/>
  <c r="AU372" i="1"/>
  <c r="AU70" i="1"/>
  <c r="AU752" i="1"/>
  <c r="AU133" i="1"/>
  <c r="AU346" i="1"/>
  <c r="AN34" i="1"/>
  <c r="AN3448" i="1"/>
  <c r="AN527" i="1"/>
  <c r="AN3432" i="1"/>
  <c r="AN3882" i="1"/>
  <c r="AN490" i="1"/>
  <c r="AN1838" i="1"/>
  <c r="AN2003" i="1"/>
  <c r="AN3495" i="1"/>
  <c r="AN4165" i="1"/>
  <c r="AN4037" i="1"/>
  <c r="AN3567" i="1"/>
  <c r="AN747" i="1"/>
  <c r="AN3522" i="1"/>
  <c r="AN3592" i="1"/>
  <c r="AN2797" i="1"/>
  <c r="AN2115" i="1"/>
  <c r="AN4022" i="1"/>
  <c r="AN2108" i="1"/>
  <c r="AN1566" i="1"/>
  <c r="AN3392" i="1"/>
  <c r="AN1351" i="1"/>
  <c r="AN3925" i="1"/>
  <c r="AN3651" i="1"/>
  <c r="AN3661" i="1"/>
  <c r="AN1662" i="1"/>
  <c r="AN3825" i="1"/>
  <c r="AN3237" i="1"/>
  <c r="AN3625" i="1"/>
  <c r="AN4314" i="1"/>
  <c r="AN3696" i="1"/>
  <c r="AN4303" i="1"/>
  <c r="AN1134" i="1"/>
  <c r="AN163" i="1"/>
  <c r="AN2915" i="1"/>
  <c r="AN1959" i="1"/>
  <c r="AU55" i="1"/>
  <c r="AU345" i="1"/>
  <c r="AU397" i="1"/>
  <c r="AU538" i="1"/>
  <c r="AU693" i="1"/>
  <c r="AU537" i="1"/>
  <c r="AN4066" i="1"/>
  <c r="AN305" i="1"/>
  <c r="AN4108" i="1"/>
  <c r="AN458" i="1"/>
  <c r="AN466" i="1"/>
  <c r="AN2681" i="1"/>
  <c r="AN2984" i="1"/>
  <c r="AN3071" i="1"/>
  <c r="AN355" i="1"/>
  <c r="AN944" i="1"/>
  <c r="AN1696" i="1"/>
  <c r="AN4154" i="1"/>
  <c r="AN1033" i="1"/>
  <c r="AN1495" i="1"/>
  <c r="AN529" i="1"/>
  <c r="AN3622" i="1"/>
  <c r="AN3142" i="1"/>
  <c r="AN2476" i="1"/>
  <c r="AN4159" i="1"/>
  <c r="AN2802" i="1"/>
  <c r="AN1581" i="1"/>
  <c r="AN3225" i="1"/>
  <c r="AN3801" i="1"/>
  <c r="AN4138" i="1"/>
  <c r="AN707" i="1"/>
  <c r="AN2877" i="1"/>
  <c r="AN3639" i="1"/>
  <c r="AN4063" i="1"/>
  <c r="AN4091" i="1"/>
  <c r="AN1025" i="1"/>
  <c r="AN4183" i="1"/>
  <c r="AN4080" i="1"/>
  <c r="AN2730" i="1"/>
  <c r="AN1704" i="1"/>
  <c r="AN3732" i="1"/>
  <c r="AN2391" i="1"/>
  <c r="AU394" i="1"/>
  <c r="AU733" i="1"/>
  <c r="AU56" i="1"/>
  <c r="AU290" i="1"/>
  <c r="AN3021" i="1"/>
  <c r="AN1813" i="1"/>
  <c r="AN827" i="1"/>
  <c r="AN429" i="1"/>
  <c r="AN687" i="1"/>
  <c r="AN3526" i="1"/>
  <c r="AN3800" i="1"/>
  <c r="AN3890" i="1"/>
  <c r="AN1896" i="1"/>
  <c r="AN2464" i="1"/>
  <c r="AN4147" i="1"/>
  <c r="AN2660" i="1"/>
  <c r="AN2513" i="1"/>
  <c r="AN2755" i="1"/>
  <c r="AN4173" i="1"/>
  <c r="AN280" i="1"/>
  <c r="AN3960" i="1"/>
  <c r="AN3414" i="1"/>
  <c r="AN3005" i="1"/>
  <c r="AN3626" i="1"/>
  <c r="AN2811" i="1"/>
  <c r="AN1622" i="1"/>
  <c r="AN3618" i="1"/>
  <c r="AN1864" i="1"/>
  <c r="AN4248" i="1"/>
  <c r="AN3693" i="1"/>
  <c r="AN2008" i="1"/>
  <c r="AN1845" i="1"/>
  <c r="AN561" i="1"/>
  <c r="AN1426" i="1"/>
  <c r="AN385" i="1"/>
  <c r="AN2821" i="1"/>
  <c r="AN2290" i="1"/>
  <c r="AN2904" i="1"/>
  <c r="AN816" i="1"/>
  <c r="AN3341" i="1"/>
  <c r="AU519" i="1"/>
  <c r="AU134" i="1"/>
  <c r="AU386" i="1"/>
  <c r="AU453" i="1"/>
  <c r="AU443" i="1"/>
  <c r="AU241" i="1"/>
  <c r="AU695" i="1"/>
  <c r="AN3836" i="1"/>
  <c r="AN2285" i="1"/>
  <c r="AN2397" i="1"/>
  <c r="AN2562" i="1"/>
  <c r="AN2247" i="1"/>
  <c r="AN916" i="1"/>
  <c r="AN3678" i="1"/>
  <c r="AN1604" i="1"/>
  <c r="AN2361" i="1"/>
  <c r="AN1997" i="1"/>
  <c r="AN2047" i="1"/>
  <c r="AN3513" i="1"/>
  <c r="AN2039" i="1"/>
  <c r="AN3580" i="1"/>
  <c r="AN2695" i="1"/>
  <c r="AN738" i="1"/>
  <c r="AN3519" i="1"/>
  <c r="AN1716" i="1"/>
  <c r="AN1085" i="1"/>
  <c r="AN3818" i="1"/>
  <c r="AN4103" i="1"/>
  <c r="AN3635" i="1"/>
  <c r="AN2855" i="1"/>
  <c r="AN4235" i="1"/>
  <c r="AN4242" i="1"/>
  <c r="AN4041" i="1"/>
  <c r="AN851" i="1"/>
  <c r="AN3664" i="1"/>
  <c r="AN2275" i="1"/>
  <c r="AN2603" i="1"/>
  <c r="AN2699" i="1"/>
  <c r="AN4298" i="1"/>
  <c r="AN3649" i="1"/>
  <c r="AN4255" i="1"/>
  <c r="AN3721" i="1"/>
  <c r="AN4321" i="1"/>
  <c r="AN1777" i="1"/>
  <c r="AU18" i="1"/>
  <c r="AU373" i="1"/>
  <c r="AU508" i="1"/>
  <c r="AU842" i="1"/>
  <c r="AN1540" i="1"/>
  <c r="AN3262" i="1"/>
  <c r="AN4033" i="1"/>
  <c r="AN3462" i="1"/>
  <c r="AN3243" i="1"/>
  <c r="AN3078" i="1"/>
  <c r="AN3508" i="1"/>
  <c r="AN2029" i="1"/>
  <c r="AN3322" i="1"/>
  <c r="AN2927" i="1"/>
  <c r="AN3093" i="1"/>
  <c r="AN2407" i="1"/>
  <c r="AN4097" i="1"/>
  <c r="AN4061" i="1"/>
  <c r="AN3532" i="1"/>
  <c r="AN4217" i="1"/>
  <c r="AN678" i="1"/>
  <c r="AN2134" i="1"/>
  <c r="AN709" i="1"/>
  <c r="AN2023" i="1"/>
  <c r="AN1819" i="1"/>
  <c r="AN653" i="1"/>
  <c r="AN3668" i="1"/>
  <c r="AN3852" i="1"/>
  <c r="AN2207" i="1"/>
  <c r="AN3606" i="1"/>
  <c r="AN4296" i="1"/>
  <c r="AN3587" i="1"/>
  <c r="AN3257" i="1"/>
  <c r="AN3486" i="1"/>
  <c r="AN2245" i="1"/>
  <c r="AN2294" i="1"/>
  <c r="AN4118" i="1"/>
  <c r="AN2052" i="1"/>
  <c r="AN4213" i="1"/>
  <c r="AN4104" i="1"/>
  <c r="AN2952" i="1"/>
  <c r="AU83" i="1"/>
  <c r="AU139" i="1"/>
  <c r="AU462" i="1"/>
  <c r="AU319" i="1"/>
  <c r="AU341" i="1"/>
  <c r="AU898" i="1"/>
  <c r="AN1935" i="1"/>
  <c r="AN448" i="1"/>
  <c r="AN2878" i="1"/>
  <c r="AN1367" i="1"/>
  <c r="AN1387" i="1"/>
  <c r="AN3896" i="1"/>
  <c r="AN4076" i="1"/>
  <c r="AN3084" i="1"/>
  <c r="AN837" i="1"/>
  <c r="AN3009" i="1"/>
  <c r="AN3916" i="1"/>
  <c r="AN3351" i="1"/>
  <c r="AN2953" i="1"/>
  <c r="AN1726" i="1"/>
  <c r="AN406" i="1"/>
  <c r="AN782" i="1"/>
  <c r="AN625" i="1"/>
  <c r="AN3158" i="1"/>
  <c r="AN1550" i="1"/>
  <c r="AN3079" i="1"/>
  <c r="AN4219" i="1"/>
  <c r="AN4227" i="1"/>
  <c r="AN336" i="1"/>
  <c r="AN3217" i="1"/>
  <c r="AN4070" i="1"/>
  <c r="AN943" i="1"/>
  <c r="AN800" i="1"/>
  <c r="AN809" i="1"/>
  <c r="AN1341" i="1"/>
  <c r="AN3893" i="1"/>
  <c r="AN3266" i="1"/>
  <c r="AN2639" i="1"/>
  <c r="AN3101" i="1"/>
  <c r="AN410" i="1"/>
  <c r="AN2857" i="1"/>
  <c r="AN3771" i="1"/>
  <c r="AU286" i="1"/>
  <c r="AU295" i="1"/>
  <c r="AU103" i="1"/>
  <c r="AU47" i="1"/>
  <c r="AU621" i="1"/>
  <c r="AU291" i="1"/>
  <c r="AN3034" i="1"/>
  <c r="AN2087" i="1"/>
  <c r="AN3694" i="1"/>
  <c r="AN2662" i="1"/>
  <c r="AN2675" i="1"/>
  <c r="AN3551" i="1"/>
  <c r="AN3742" i="1"/>
  <c r="AN3904" i="1"/>
  <c r="AN535" i="1"/>
  <c r="AN1639" i="1"/>
  <c r="AN892" i="1"/>
  <c r="AN3772" i="1"/>
  <c r="AN4167" i="1"/>
  <c r="AN2437" i="1"/>
  <c r="AN2555" i="1"/>
  <c r="AN1439" i="1"/>
  <c r="AN3971" i="1"/>
  <c r="AN2789" i="1"/>
  <c r="AN3898" i="1"/>
  <c r="AN2155" i="1"/>
  <c r="AN4007" i="1"/>
  <c r="AN812" i="1"/>
  <c r="AN4001" i="1"/>
  <c r="AN514" i="1"/>
  <c r="AN1378" i="1"/>
  <c r="AN1543" i="1"/>
  <c r="AN1081" i="1"/>
  <c r="AN867" i="1"/>
  <c r="AN3968" i="1"/>
  <c r="AN4081" i="1"/>
  <c r="AN3505" i="1"/>
  <c r="AN3921" i="1"/>
  <c r="AN4316" i="1"/>
  <c r="AN3671" i="1"/>
  <c r="AN1112" i="1"/>
  <c r="AU379" i="1"/>
  <c r="AU919" i="1"/>
  <c r="AU708" i="1"/>
  <c r="AU407" i="1"/>
  <c r="AU60" i="1"/>
  <c r="AU557" i="1"/>
  <c r="AN3854" i="1"/>
  <c r="AN2641" i="1"/>
  <c r="AN1790" i="1"/>
  <c r="AN3514" i="1"/>
  <c r="AN3523" i="1"/>
  <c r="AN4318" i="1"/>
  <c r="AN1881" i="1"/>
  <c r="AN726" i="1"/>
  <c r="AN2168" i="1"/>
  <c r="AN2066" i="1"/>
  <c r="AN605" i="1"/>
  <c r="AN1923" i="1"/>
  <c r="AN2075" i="1"/>
  <c r="AN3387" i="1"/>
  <c r="AN2074" i="1"/>
  <c r="AN2705" i="1"/>
  <c r="AN832" i="1"/>
  <c r="AN3617" i="1"/>
  <c r="AN3781" i="1"/>
  <c r="AN3173" i="1"/>
  <c r="AN2753" i="1"/>
  <c r="AN4263" i="1"/>
  <c r="AN4042" i="1"/>
  <c r="AN2565" i="1"/>
  <c r="AN2666" i="1"/>
  <c r="AN2783" i="1"/>
  <c r="AN2534" i="1"/>
  <c r="AN1650" i="1"/>
  <c r="AN2320" i="1"/>
  <c r="AN1398" i="1"/>
  <c r="AN2175" i="1"/>
  <c r="AU31" i="1"/>
  <c r="AU721" i="1"/>
  <c r="AU130" i="1"/>
  <c r="AU189" i="1"/>
  <c r="AU217" i="1"/>
  <c r="AU488" i="1"/>
  <c r="AU794" i="1"/>
  <c r="AU350" i="1"/>
  <c r="AU97" i="1"/>
  <c r="AN2212" i="1"/>
  <c r="AN3507" i="1"/>
  <c r="AN2959" i="1"/>
  <c r="AN1617" i="1"/>
  <c r="AN414" i="1"/>
  <c r="AN108" i="1"/>
  <c r="AN3458" i="1"/>
  <c r="AN2295" i="1"/>
  <c r="AN2711" i="1"/>
  <c r="AN3111" i="1"/>
  <c r="AN2223" i="1"/>
  <c r="AN3031" i="1"/>
  <c r="AN3121" i="1"/>
  <c r="AN667" i="1"/>
  <c r="AN4134" i="1"/>
  <c r="AN3541" i="1"/>
  <c r="AN2413" i="1"/>
  <c r="AN1280" i="1"/>
  <c r="AU869" i="1"/>
  <c r="AU688" i="1"/>
  <c r="AU399" i="1"/>
  <c r="AU77" i="1"/>
  <c r="AU734" i="1"/>
  <c r="AU58" i="1"/>
  <c r="AU412" i="1"/>
  <c r="AU778" i="1"/>
  <c r="AU146" i="1"/>
  <c r="AU713" i="1"/>
  <c r="AU860" i="1"/>
  <c r="AU306" i="1"/>
  <c r="AU165" i="1"/>
  <c r="AU2" i="1"/>
  <c r="AN3218" i="1"/>
  <c r="AN846" i="1"/>
  <c r="AN3780" i="1"/>
  <c r="AN4084" i="1"/>
  <c r="AN4092" i="1"/>
  <c r="AN4142" i="1"/>
  <c r="AN2597" i="1"/>
  <c r="AN3273" i="1"/>
  <c r="AN3544" i="1"/>
  <c r="AN3482" i="1"/>
  <c r="AN3929" i="1"/>
  <c r="AN2743" i="1"/>
  <c r="AN3849" i="1"/>
  <c r="AN3938" i="1"/>
  <c r="AN1517" i="1"/>
  <c r="AN2980" i="1"/>
  <c r="AN1530" i="1"/>
  <c r="AN3359" i="1"/>
  <c r="AN3195" i="1"/>
  <c r="AN3409" i="1"/>
  <c r="AN4002" i="1"/>
  <c r="AN3054" i="1"/>
  <c r="AN3657" i="1"/>
  <c r="AN1955" i="1"/>
  <c r="AN2581" i="1"/>
  <c r="AN877" i="1"/>
  <c r="AN3484" i="1"/>
  <c r="AN1449" i="1"/>
  <c r="AN3105" i="1"/>
  <c r="AN505" i="1"/>
  <c r="AN576" i="1"/>
  <c r="AN3569" i="1"/>
  <c r="AN3725" i="1"/>
  <c r="AN1685" i="1"/>
  <c r="AN2764" i="1"/>
  <c r="AN3795" i="1"/>
  <c r="AN2773" i="1"/>
  <c r="AN1544" i="1"/>
  <c r="AN3987" i="1"/>
  <c r="AN3152" i="1"/>
  <c r="AN1751" i="1"/>
  <c r="AN460" i="1"/>
  <c r="AN2624" i="1"/>
  <c r="AN1512" i="1"/>
  <c r="AN762" i="1"/>
  <c r="AN825" i="1"/>
  <c r="AN1967" i="1"/>
  <c r="AN2858" i="1"/>
  <c r="AN2867" i="1"/>
  <c r="AN2308" i="1"/>
  <c r="AN3612" i="1"/>
  <c r="AN1164" i="1"/>
  <c r="AN2344" i="1"/>
  <c r="AN3879" i="1"/>
  <c r="AN2354" i="1"/>
  <c r="AN3524" i="1"/>
  <c r="AN4287" i="1"/>
  <c r="AN431" i="1"/>
  <c r="AN2637" i="1"/>
  <c r="AN3877" i="1"/>
  <c r="AN3490" i="1"/>
  <c r="AN3045" i="1"/>
  <c r="AN3476" i="1"/>
  <c r="AN2429" i="1"/>
  <c r="AN1414" i="1"/>
  <c r="AN2708" i="1"/>
  <c r="AN3924" i="1"/>
  <c r="AN2635" i="1"/>
  <c r="AN755" i="1"/>
  <c r="AN3946" i="1"/>
  <c r="AN3545" i="1"/>
  <c r="AN2096" i="1"/>
  <c r="AN3595" i="1"/>
  <c r="AN1983" i="1"/>
  <c r="AN3607" i="1"/>
  <c r="AN2784" i="1"/>
  <c r="AN3643" i="1"/>
  <c r="AN3538" i="1"/>
  <c r="AN2181" i="1"/>
  <c r="AN2525" i="1"/>
  <c r="AN2147" i="1"/>
  <c r="AN2761" i="1"/>
  <c r="AN957" i="1"/>
  <c r="AN1610" i="1"/>
  <c r="AN3051" i="1"/>
  <c r="AN3672" i="1"/>
  <c r="AN3683" i="1"/>
  <c r="AN3280" i="1"/>
  <c r="AN1577" i="1"/>
  <c r="AN2574" i="1"/>
  <c r="AN3314" i="1"/>
  <c r="AN3527" i="1"/>
  <c r="AN3319" i="1"/>
  <c r="AN1452" i="1"/>
  <c r="AN2081" i="1"/>
  <c r="AU643" i="1"/>
  <c r="AU230" i="1"/>
  <c r="AN2521" i="1"/>
  <c r="AN3504" i="1"/>
  <c r="AN1406" i="1"/>
  <c r="AN3824" i="1"/>
  <c r="AN3865" i="1"/>
  <c r="AN1856" i="1"/>
  <c r="AN1948" i="1"/>
  <c r="AN2696" i="1"/>
  <c r="AN3542" i="1"/>
  <c r="AN1491" i="1"/>
  <c r="AN3503" i="1"/>
  <c r="AN2335" i="1"/>
  <c r="AN1527" i="1"/>
  <c r="AN3500" i="1"/>
  <c r="AN3952" i="1"/>
  <c r="AN1215" i="1"/>
  <c r="AN3878" i="1"/>
  <c r="AN4079" i="1"/>
  <c r="AN3615" i="1"/>
  <c r="AN307" i="1"/>
  <c r="AN676" i="1"/>
  <c r="AN3202" i="1"/>
  <c r="AN3440" i="1"/>
  <c r="AN4181" i="1"/>
  <c r="AN3589" i="1"/>
  <c r="AN2490" i="1"/>
  <c r="AN2848" i="1"/>
  <c r="AN3870" i="1"/>
  <c r="AN4161" i="1"/>
  <c r="AN740" i="1"/>
  <c r="AN1699" i="1"/>
  <c r="AN2810" i="1"/>
  <c r="AN3471" i="1"/>
  <c r="AN1731" i="1"/>
  <c r="AN3632" i="1"/>
  <c r="AN903" i="1"/>
  <c r="AN1023" i="1"/>
  <c r="AN3942" i="1"/>
  <c r="AU497" i="1"/>
  <c r="AN3435" i="1"/>
  <c r="AN390" i="1"/>
  <c r="AN2687" i="1"/>
  <c r="AN1576" i="1"/>
  <c r="AN2328" i="1"/>
  <c r="AN4059" i="1"/>
  <c r="AN3533" i="1"/>
  <c r="AN446" i="1"/>
  <c r="AN2749" i="1"/>
  <c r="AN1464" i="1"/>
  <c r="AN3304" i="1"/>
  <c r="AN2770" i="1"/>
  <c r="AN546" i="1"/>
  <c r="AN2381" i="1"/>
  <c r="AN3149" i="1"/>
  <c r="AN3753" i="1"/>
  <c r="AN285" i="1"/>
  <c r="AN4203" i="1"/>
  <c r="AN4241" i="1"/>
  <c r="AN1474" i="1"/>
  <c r="AN3994" i="1"/>
  <c r="AN780" i="1"/>
  <c r="AN3024" i="1"/>
  <c r="AN48" i="1"/>
  <c r="AN3420" i="1"/>
  <c r="AN3663" i="1"/>
  <c r="AN2089" i="1"/>
  <c r="AN1905" i="1"/>
  <c r="AN4273" i="1"/>
  <c r="AN2900" i="1"/>
  <c r="AN3634" i="1"/>
  <c r="AN1687" i="1"/>
  <c r="AN2926" i="1"/>
  <c r="AN886" i="1"/>
  <c r="AN1252" i="1"/>
  <c r="AN1722" i="1"/>
  <c r="AN2225" i="1"/>
  <c r="AU364" i="1"/>
  <c r="AU640" i="1"/>
  <c r="AU32" i="1"/>
  <c r="AN3075" i="1"/>
  <c r="AN4008" i="1"/>
  <c r="AN4050" i="1"/>
  <c r="AN1322" i="1"/>
  <c r="AN753" i="1"/>
  <c r="AN3230" i="1"/>
  <c r="AN1265" i="1"/>
  <c r="AN4210" i="1"/>
  <c r="AN1627" i="1"/>
  <c r="AN1646" i="1"/>
  <c r="AN3686" i="1"/>
  <c r="AN844" i="1"/>
  <c r="AN3711" i="1"/>
  <c r="AN3988" i="1"/>
  <c r="AN4105" i="1"/>
  <c r="AN2676" i="1"/>
  <c r="AN2331" i="1"/>
  <c r="AN1163" i="1"/>
  <c r="AN2719" i="1"/>
  <c r="AN2508" i="1"/>
  <c r="AN3791" i="1"/>
  <c r="AN1275" i="1"/>
  <c r="AN1368" i="1"/>
  <c r="AN3990" i="1"/>
  <c r="AN4056" i="1"/>
  <c r="AN3846" i="1"/>
  <c r="AN1745" i="1"/>
  <c r="AN623" i="1"/>
  <c r="AN3521" i="1"/>
  <c r="AN2073" i="1"/>
  <c r="AN3364" i="1"/>
  <c r="AN190" i="1"/>
  <c r="AN3210" i="1"/>
  <c r="AN22" i="1"/>
  <c r="AN3769" i="1"/>
  <c r="AN2803" i="1"/>
  <c r="AN3535" i="1"/>
  <c r="AN2340" i="1"/>
  <c r="AN3370" i="1"/>
  <c r="AN2072" i="1"/>
  <c r="AN1693" i="1"/>
  <c r="AN2453" i="1"/>
  <c r="AN3337" i="1"/>
  <c r="AN4009" i="1"/>
  <c r="AN402" i="1"/>
  <c r="AN3175" i="1"/>
  <c r="AN3030" i="1"/>
  <c r="AN3751" i="1"/>
  <c r="AU647" i="1"/>
  <c r="AU646" i="1"/>
  <c r="AU3" i="1"/>
  <c r="AU396" i="1"/>
  <c r="AU299" i="1"/>
  <c r="AN2930" i="1"/>
  <c r="AN4139" i="1"/>
  <c r="AN1314" i="1"/>
  <c r="AN2955" i="1"/>
  <c r="AN3720" i="1"/>
  <c r="AN2806" i="1"/>
  <c r="AN3847" i="1"/>
  <c r="AN2981" i="1"/>
  <c r="AN3892" i="1"/>
  <c r="AN1846" i="1"/>
  <c r="AN3621" i="1"/>
  <c r="AN3068" i="1"/>
  <c r="AN3405" i="1"/>
  <c r="AN3128" i="1"/>
  <c r="AN4332" i="1"/>
  <c r="AN3983" i="1"/>
  <c r="AN3881" i="1"/>
  <c r="AN3564" i="1"/>
  <c r="AN4233" i="1"/>
  <c r="AN3011" i="1"/>
  <c r="AN4206" i="1"/>
  <c r="AN3985" i="1"/>
  <c r="AN210" i="1"/>
  <c r="AN3156" i="1"/>
  <c r="AN153" i="1"/>
  <c r="AN1738" i="1"/>
  <c r="AN2757" i="1"/>
  <c r="AN2254" i="1"/>
  <c r="AN318" i="1"/>
  <c r="AN250" i="1"/>
  <c r="AN3866" i="1"/>
  <c r="AN2905" i="1"/>
  <c r="AN3629" i="1"/>
  <c r="AN3767" i="1"/>
  <c r="AN1691" i="1"/>
  <c r="AN2268" i="1"/>
  <c r="AN2550" i="1"/>
  <c r="AN4023" i="1"/>
  <c r="AN4064" i="1"/>
  <c r="AU499" i="1"/>
  <c r="AU587" i="1"/>
  <c r="AU278" i="1"/>
  <c r="AU369" i="1"/>
  <c r="AU23" i="1"/>
  <c r="AU309" i="1"/>
  <c r="AN1717" i="1"/>
  <c r="AN3550" i="1"/>
  <c r="AN3428" i="1"/>
  <c r="AN3406" i="1"/>
  <c r="AN2746" i="1"/>
  <c r="AN1901" i="1"/>
  <c r="AN3813" i="1"/>
  <c r="AN2611" i="1"/>
  <c r="AN4320" i="1"/>
  <c r="AN2935" i="1"/>
  <c r="AN4067" i="1"/>
  <c r="AN1619" i="1"/>
  <c r="AN3117" i="1"/>
  <c r="AN2554" i="1"/>
  <c r="AN3903" i="1"/>
  <c r="AN1729" i="1"/>
  <c r="AN3999" i="1"/>
  <c r="AN4168" i="1"/>
  <c r="AN2238" i="1"/>
  <c r="AN3628" i="1"/>
  <c r="AN3431" i="1"/>
  <c r="AN3308" i="1"/>
  <c r="AN1401" i="1"/>
  <c r="AN3116" i="1"/>
  <c r="AN2896" i="1"/>
  <c r="AN3401" i="1"/>
  <c r="AN102" i="1"/>
  <c r="AN420" i="1"/>
  <c r="AN2472" i="1"/>
  <c r="AN3981" i="1"/>
  <c r="AN3848" i="1"/>
  <c r="AN3630" i="1"/>
  <c r="AU329" i="1"/>
  <c r="AU112" i="1"/>
  <c r="AU571" i="1"/>
  <c r="AU723" i="1"/>
  <c r="AU124" i="1"/>
  <c r="AU73" i="1"/>
  <c r="AN3744" i="1"/>
  <c r="AN2880" i="1"/>
  <c r="AN1537" i="1"/>
  <c r="AN3778" i="1"/>
  <c r="AN4202" i="1"/>
  <c r="AN2410" i="1"/>
  <c r="AN4331" i="1"/>
  <c r="AN3796" i="1"/>
  <c r="AN690" i="1"/>
  <c r="AN2993" i="1"/>
  <c r="AN1992" i="1"/>
  <c r="AN3888" i="1"/>
  <c r="AN3254" i="1"/>
  <c r="AN3944" i="1"/>
  <c r="AN2017" i="1"/>
  <c r="AN839" i="1"/>
  <c r="AN717" i="1"/>
  <c r="AN145" i="1"/>
  <c r="AN1597" i="1"/>
  <c r="AN1453" i="1"/>
  <c r="AN2792" i="1"/>
  <c r="AN1480" i="1"/>
  <c r="AN1732" i="1"/>
  <c r="AN3970" i="1"/>
  <c r="AN1869" i="1"/>
  <c r="AN2330" i="1"/>
  <c r="AN3584" i="1"/>
  <c r="AN3247" i="1"/>
  <c r="AN1829" i="1"/>
  <c r="AN184" i="1"/>
  <c r="AN2406" i="1"/>
  <c r="AN3722" i="1"/>
  <c r="AN3518" i="1"/>
  <c r="AN1437" i="1"/>
  <c r="AN2140" i="1"/>
  <c r="AN1767" i="1"/>
  <c r="AN3451" i="1"/>
  <c r="AN3400" i="1"/>
  <c r="AN748" i="1"/>
  <c r="AU668" i="1"/>
  <c r="AU352" i="1"/>
  <c r="AU151" i="1"/>
  <c r="AU19" i="1"/>
  <c r="AN2912" i="1"/>
  <c r="AN1855" i="1"/>
  <c r="AN1909" i="1"/>
  <c r="AN3701" i="1"/>
  <c r="AN3574" i="1"/>
  <c r="AN3832" i="1"/>
  <c r="AN1487" i="1"/>
  <c r="AN3491" i="1"/>
  <c r="AN1082" i="1"/>
  <c r="AN1269" i="1"/>
  <c r="AN1937" i="1"/>
  <c r="AN2853" i="1"/>
  <c r="AN3935" i="1"/>
  <c r="AN3454" i="1"/>
  <c r="AN4150" i="1"/>
  <c r="AN2925" i="1"/>
  <c r="AN387" i="1"/>
  <c r="AN2097" i="1"/>
  <c r="AN3232" i="1"/>
  <c r="AN2298" i="1"/>
  <c r="AN3215" i="1"/>
  <c r="AN4305" i="1"/>
  <c r="AN3934" i="1"/>
  <c r="AN2752" i="1"/>
  <c r="AN1455" i="1"/>
  <c r="AN1649" i="1"/>
  <c r="AN2227" i="1"/>
  <c r="AN3411" i="1"/>
  <c r="AN2598" i="1"/>
  <c r="AN2652" i="1"/>
  <c r="AN3468" i="1"/>
  <c r="AU760" i="1"/>
  <c r="AU433" i="1"/>
  <c r="AU81" i="1"/>
  <c r="AU49" i="1"/>
  <c r="AN4237" i="1"/>
  <c r="AN3695" i="1"/>
  <c r="AN2779" i="1"/>
  <c r="AN4258" i="1"/>
  <c r="AN758" i="1"/>
  <c r="AN4326" i="1"/>
  <c r="AN643" i="1"/>
  <c r="AN4270" i="1"/>
  <c r="AN1462" i="1"/>
  <c r="AN3806" i="1"/>
  <c r="AN3065" i="1"/>
  <c r="AN206" i="1"/>
  <c r="AN3044" i="1"/>
  <c r="AN808" i="1"/>
  <c r="AN3076" i="1"/>
  <c r="AN52" i="1"/>
  <c r="AN4112" i="1"/>
  <c r="AN1698" i="1"/>
  <c r="AN2144" i="1"/>
  <c r="AN2717" i="1"/>
  <c r="AN3619" i="1"/>
  <c r="AN2276" i="1"/>
  <c r="AN230" i="1"/>
  <c r="AN141" i="1"/>
  <c r="AN3816" i="1"/>
  <c r="AN3299" i="1"/>
  <c r="AN3481" i="1"/>
  <c r="AN4252" i="1"/>
  <c r="AN1549" i="1"/>
  <c r="AN347" i="1"/>
  <c r="AN4266" i="1"/>
  <c r="AN3350" i="1"/>
  <c r="AN2449" i="1"/>
  <c r="AN3326" i="1"/>
  <c r="AN2967" i="1"/>
  <c r="AN3167" i="1"/>
  <c r="AN2945" i="1"/>
  <c r="AN4012" i="1"/>
  <c r="AN191" i="1"/>
  <c r="AN2313" i="1"/>
  <c r="AU136" i="1"/>
  <c r="AU192" i="1"/>
  <c r="AU4" i="1"/>
  <c r="AU475" i="1"/>
  <c r="AU26" i="1"/>
  <c r="AU5" i="1"/>
  <c r="AU266" i="1"/>
  <c r="AU332" i="1"/>
  <c r="AU432" i="1"/>
  <c r="AN3731" i="1"/>
  <c r="AN2994" i="1"/>
  <c r="AN3023" i="1"/>
  <c r="AN4274" i="1"/>
  <c r="AN1895" i="1"/>
  <c r="AN2551" i="1"/>
  <c r="AN1375" i="1"/>
  <c r="AN4295" i="1"/>
  <c r="AN2869" i="1"/>
  <c r="AN2609" i="1"/>
  <c r="AN3037" i="1"/>
  <c r="AN3667" i="1"/>
  <c r="AN314" i="1"/>
  <c r="AN3317" i="1"/>
  <c r="AN2067" i="1"/>
  <c r="AN3738" i="1"/>
  <c r="AN2777" i="1"/>
  <c r="AN3135" i="1"/>
  <c r="AN14" i="1"/>
  <c r="AN3274" i="1"/>
  <c r="AN4000" i="1"/>
  <c r="AN2898" i="1"/>
  <c r="AN515" i="1"/>
  <c r="AN3577" i="1"/>
  <c r="AN4323" i="1"/>
  <c r="AN2103" i="1"/>
  <c r="AN1724" i="1"/>
  <c r="AN261" i="1"/>
  <c r="AN3485" i="1"/>
  <c r="AN3511" i="1"/>
  <c r="AU226" i="1"/>
  <c r="AU464" i="1"/>
  <c r="AU793" i="1"/>
  <c r="AU361" i="1"/>
  <c r="AU382" i="1"/>
  <c r="AN439" i="1"/>
  <c r="AN4172" i="1"/>
  <c r="AN2375" i="1"/>
  <c r="AN2411" i="1"/>
  <c r="AN2742" i="1"/>
  <c r="AN2161" i="1"/>
  <c r="AN3443" i="1"/>
  <c r="AN890" i="1"/>
  <c r="AN1676" i="1"/>
  <c r="AN391" i="1"/>
  <c r="AN3886" i="1"/>
  <c r="AN2621" i="1"/>
  <c r="AN3864" i="1"/>
  <c r="AN4094" i="1"/>
  <c r="AN3894" i="1"/>
  <c r="AN324" i="1"/>
  <c r="AN2030" i="1"/>
  <c r="AN2899" i="1"/>
  <c r="AN3170" i="1"/>
  <c r="AN2495" i="1"/>
  <c r="AN946" i="1"/>
  <c r="AN3018" i="1"/>
  <c r="AN2027" i="1"/>
  <c r="AN4221" i="1"/>
  <c r="AN2327" i="1"/>
  <c r="AN2859" i="1"/>
  <c r="AN3264" i="1"/>
  <c r="AN2852" i="1"/>
  <c r="AN1995" i="1"/>
  <c r="AN497" i="1"/>
  <c r="AN2279" i="1"/>
  <c r="AN1703" i="1"/>
  <c r="AN3397" i="1"/>
  <c r="AN4246" i="1"/>
  <c r="AN3783" i="1"/>
  <c r="AN3977" i="1"/>
  <c r="AN2800" i="1"/>
  <c r="AN2975" i="1"/>
  <c r="AN1719" i="1"/>
  <c r="AN1816" i="1"/>
  <c r="AU171" i="1"/>
  <c r="AU456" i="1"/>
  <c r="AU156" i="1"/>
  <c r="AU129" i="1"/>
  <c r="AU204" i="1"/>
  <c r="AN321" i="1"/>
  <c r="AN1017" i="1"/>
  <c r="AN3838" i="1"/>
  <c r="AN1755" i="1"/>
  <c r="AN3017" i="1"/>
  <c r="AN3453" i="1"/>
  <c r="AN3389" i="1"/>
  <c r="AN2629" i="1"/>
  <c r="AN3685" i="1"/>
  <c r="AN2384" i="1"/>
  <c r="AN3856" i="1"/>
  <c r="AN2068" i="1"/>
  <c r="AN2697" i="1"/>
  <c r="AN3091" i="1"/>
  <c r="AN3113" i="1"/>
  <c r="AN2189" i="1"/>
  <c r="AN3609" i="1"/>
  <c r="AN3953" i="1"/>
  <c r="AN2119" i="1"/>
  <c r="AN4047" i="1"/>
  <c r="AN4152" i="1"/>
  <c r="AN3714" i="1"/>
  <c r="AN1878" i="1"/>
  <c r="AN1598" i="1"/>
  <c r="AN2924" i="1"/>
  <c r="AN3138" i="1"/>
  <c r="AN2921" i="1"/>
  <c r="AN1232" i="1"/>
  <c r="AN4051" i="1"/>
  <c r="AN4267" i="1"/>
  <c r="AU801" i="1"/>
  <c r="AU542" i="1"/>
  <c r="AU308" i="1"/>
  <c r="AU342" i="1"/>
  <c r="AU66" i="1"/>
  <c r="AU41" i="1"/>
  <c r="AU16" i="1"/>
  <c r="AN2377" i="1"/>
  <c r="AN727" i="1"/>
  <c r="AN4309" i="1"/>
  <c r="AN3355" i="1"/>
  <c r="AN3568" i="1"/>
  <c r="AN3179" i="1"/>
  <c r="AN4240" i="1"/>
  <c r="AN2812" i="1"/>
  <c r="AN2885" i="1"/>
  <c r="AN1976" i="1"/>
  <c r="AN1305" i="1"/>
  <c r="AN3497" i="1"/>
  <c r="AN3447" i="1"/>
  <c r="AN2684" i="1"/>
  <c r="AN1258" i="1"/>
  <c r="AN1839" i="1"/>
  <c r="AN3086" i="1"/>
  <c r="AN3716" i="1"/>
  <c r="AN3978" i="1"/>
  <c r="AN3423" i="1"/>
  <c r="AN2808" i="1"/>
  <c r="AN3831" i="1"/>
  <c r="AN3080" i="1"/>
  <c r="AN2184" i="1"/>
  <c r="AN3297" i="1"/>
  <c r="AN3673" i="1"/>
  <c r="AN4199" i="1"/>
  <c r="AN3665" i="1"/>
  <c r="AN3067" i="1"/>
  <c r="AN2091" i="1"/>
  <c r="AN3259" i="1"/>
  <c r="AN2302" i="1"/>
  <c r="AN4151" i="1"/>
  <c r="AN3605" i="1"/>
  <c r="AN364" i="1"/>
  <c r="AN640" i="1"/>
  <c r="AN3623" i="1"/>
  <c r="AN3792" i="1"/>
  <c r="AN2191" i="1"/>
  <c r="AN2974" i="1"/>
  <c r="AU521" i="1"/>
  <c r="AU452" i="1"/>
  <c r="AU351" i="1"/>
  <c r="AU374" i="1"/>
  <c r="AN3502" i="1"/>
  <c r="AN4158" i="1"/>
  <c r="AN3336" i="1"/>
  <c r="AN447" i="1"/>
  <c r="AN3114" i="1"/>
  <c r="AN3534" i="1"/>
  <c r="AN3915" i="1"/>
  <c r="AN3932" i="1"/>
  <c r="AN3206" i="1"/>
  <c r="AN2252" i="1"/>
  <c r="AN658" i="1"/>
  <c r="AN3147" i="1"/>
  <c r="AN1701" i="1"/>
  <c r="AN2910" i="1"/>
  <c r="AN2439" i="1"/>
  <c r="AN2826" i="1"/>
  <c r="AN3736" i="1"/>
  <c r="AN3956" i="1"/>
  <c r="AN2582" i="1"/>
  <c r="AN2500" i="1"/>
  <c r="AN32" i="1"/>
  <c r="AU335" i="1"/>
  <c r="AU147" i="1"/>
  <c r="AU39" i="1"/>
  <c r="AU15" i="1"/>
  <c r="AU923" i="1"/>
  <c r="AN3328" i="1"/>
  <c r="AN2710" i="1"/>
  <c r="AN2118" i="1"/>
  <c r="AN4164" i="1"/>
  <c r="AN4030" i="1"/>
  <c r="AN3984" i="1"/>
  <c r="AN2561" i="1"/>
  <c r="AN3636" i="1"/>
  <c r="AN2529" i="1"/>
  <c r="AN3053" i="1"/>
  <c r="AN4259" i="1"/>
  <c r="AN2051" i="1"/>
  <c r="AN3528" i="1"/>
  <c r="AN2919" i="1"/>
  <c r="AN2987" i="1"/>
  <c r="AN3905" i="1"/>
  <c r="AN2137" i="1"/>
  <c r="AN365" i="1"/>
  <c r="AN2623" i="1"/>
  <c r="AN3633" i="1"/>
  <c r="AN4308" i="1"/>
  <c r="AN1554" i="1"/>
  <c r="AN3204" i="1"/>
  <c r="AN79" i="1"/>
  <c r="AN2383" i="1"/>
  <c r="AN4225" i="1"/>
  <c r="AN1160" i="1"/>
  <c r="AN3887" i="1"/>
  <c r="AN3131" i="1"/>
  <c r="AN2390" i="1"/>
  <c r="AN3277" i="1"/>
  <c r="AN1873" i="1"/>
  <c r="AN459" i="1"/>
  <c r="AN371" i="1"/>
  <c r="AN1675" i="1"/>
  <c r="AN1472" i="1"/>
  <c r="AN3208" i="1"/>
  <c r="AN2819" i="1"/>
  <c r="AU360" i="1"/>
  <c r="AU792" i="1"/>
  <c r="AU749" i="1"/>
  <c r="AN2982" i="1"/>
  <c r="AN2929" i="1"/>
  <c r="AN1354" i="1"/>
  <c r="AN3757" i="1"/>
  <c r="AN1113" i="1"/>
  <c r="AN3049" i="1"/>
  <c r="AN1591" i="1"/>
  <c r="AN1497" i="1"/>
  <c r="AN2512" i="1"/>
  <c r="AN2056" i="1"/>
  <c r="AN3933" i="1"/>
  <c r="AN3144" i="1"/>
  <c r="AN4049" i="1"/>
  <c r="AN602" i="1"/>
  <c r="AN3996" i="1"/>
  <c r="AN3244" i="1"/>
  <c r="AN2222" i="1"/>
  <c r="AN3965" i="1"/>
  <c r="AN166" i="1"/>
  <c r="AN3729" i="1"/>
  <c r="AN3388" i="1"/>
  <c r="AN3654" i="1"/>
  <c r="AN2939" i="1"/>
  <c r="AN566" i="1"/>
  <c r="AN3477" i="1"/>
  <c r="AN3425" i="1"/>
  <c r="AN473" i="1"/>
  <c r="AU425" i="1"/>
  <c r="AU712" i="1"/>
  <c r="AU422" i="1"/>
  <c r="AU7" i="1"/>
  <c r="AU743" i="1"/>
  <c r="AN4141" i="1"/>
  <c r="AN1481" i="1"/>
  <c r="AN3146" i="1"/>
  <c r="AN2433" i="1"/>
  <c r="AN1235" i="1"/>
  <c r="AN2311" i="1"/>
  <c r="AN3459" i="1"/>
  <c r="AN70" i="1"/>
  <c r="AN2301" i="1"/>
  <c r="AN3876" i="1"/>
  <c r="AN3006" i="1"/>
  <c r="AN3099" i="1"/>
  <c r="AN752" i="1"/>
  <c r="AN3733" i="1"/>
  <c r="AN1400" i="1"/>
  <c r="AN530" i="1"/>
  <c r="AN3164" i="1"/>
  <c r="AN2756" i="1"/>
  <c r="AN3498" i="1"/>
  <c r="AN114" i="1"/>
  <c r="AN133" i="1"/>
  <c r="AN2790" i="1"/>
  <c r="AN3995" i="1"/>
  <c r="AN1625" i="1"/>
  <c r="AN3335" i="1"/>
  <c r="AN2864" i="1"/>
  <c r="AN434" i="1"/>
  <c r="AN1616" i="1"/>
  <c r="AN3338" i="1"/>
  <c r="AN27" i="1"/>
  <c r="AN372" i="1"/>
  <c r="AN2076" i="1"/>
  <c r="AN1977" i="1"/>
  <c r="AN2884" i="1"/>
  <c r="AN2112" i="1"/>
  <c r="AN3998" i="1"/>
  <c r="AN3648" i="1"/>
  <c r="AU939" i="1"/>
  <c r="AN3798" i="1"/>
  <c r="AN3743" i="1"/>
  <c r="AN55" i="1"/>
  <c r="AN345" i="1"/>
  <c r="AN4214" i="1"/>
  <c r="AN3869" i="1"/>
  <c r="AN2817" i="1"/>
  <c r="AN2037" i="1"/>
  <c r="AN3430" i="1"/>
  <c r="AN3104" i="1"/>
  <c r="AN1411" i="1"/>
  <c r="AN3962" i="1"/>
  <c r="AN2167" i="1"/>
  <c r="AN2082" i="1"/>
  <c r="AN4020" i="1"/>
  <c r="AN3224" i="1"/>
  <c r="AN1451" i="1"/>
  <c r="AN397" i="1"/>
  <c r="AN2004" i="1"/>
  <c r="AN2933" i="1"/>
  <c r="AN3536" i="1"/>
  <c r="AN3755" i="1"/>
  <c r="AN346" i="1"/>
  <c r="AN4045" i="1"/>
  <c r="AN1762" i="1"/>
  <c r="AN4082" i="1"/>
  <c r="AU338" i="1"/>
  <c r="AU78" i="1"/>
  <c r="AU96" i="1"/>
  <c r="AN2402" i="1"/>
  <c r="AN1763" i="1"/>
  <c r="AN3963" i="1"/>
  <c r="AN3379" i="1"/>
  <c r="AN2972" i="1"/>
  <c r="AN3281" i="1"/>
  <c r="AN4304" i="1"/>
  <c r="AN1350" i="1"/>
  <c r="AN4096" i="1"/>
  <c r="AN3275" i="1"/>
  <c r="AN693" i="1"/>
  <c r="AN3819" i="1"/>
  <c r="AN3918" i="1"/>
  <c r="AN2703" i="1"/>
  <c r="AN4209" i="1"/>
  <c r="AN2682" i="1"/>
  <c r="AN2121" i="1"/>
  <c r="AN3975" i="1"/>
  <c r="AN3581" i="1"/>
  <c r="AN3375" i="1"/>
  <c r="AN3951" i="1"/>
  <c r="AN1822" i="1"/>
  <c r="AN2289" i="1"/>
  <c r="AN2616" i="1"/>
  <c r="AN2303" i="1"/>
  <c r="AN2221" i="1"/>
  <c r="AN4087" i="1"/>
  <c r="AN3681" i="1"/>
  <c r="AN1789" i="1"/>
  <c r="AN2849" i="1"/>
  <c r="AN1347" i="1"/>
  <c r="AN1586" i="1"/>
  <c r="AN538" i="1"/>
  <c r="AN3318" i="1"/>
  <c r="AN3122" i="1"/>
  <c r="AN2528" i="1"/>
  <c r="AN3700" i="1"/>
  <c r="AN2992" i="1"/>
  <c r="AN689" i="1"/>
  <c r="AN1709" i="1"/>
  <c r="AU376" i="1"/>
  <c r="AU212" i="1"/>
  <c r="AU194" i="1"/>
  <c r="AU831" i="1"/>
  <c r="AU404" i="1"/>
  <c r="AU638" i="1"/>
  <c r="AN4289" i="1"/>
  <c r="AN4226" i="1"/>
  <c r="AN1601" i="1"/>
  <c r="AN1875" i="1"/>
  <c r="AN2954" i="1"/>
  <c r="AN1407" i="1"/>
  <c r="AN3803" i="1"/>
  <c r="AN3642" i="1"/>
  <c r="AN3090" i="1"/>
  <c r="AN3285" i="1"/>
  <c r="AN3923" i="1"/>
  <c r="AN4312" i="1"/>
  <c r="AN13" i="1"/>
  <c r="AN3192" i="1"/>
  <c r="AN3127" i="1"/>
  <c r="AN1663" i="1"/>
  <c r="AN1000" i="1"/>
  <c r="AN2995" i="1"/>
  <c r="AN1984" i="1"/>
  <c r="AN3256" i="1"/>
  <c r="AN3072" i="1"/>
  <c r="AN3749" i="1"/>
  <c r="AN3353" i="1"/>
  <c r="AN2048" i="1"/>
  <c r="AN1914" i="1"/>
  <c r="AN3000" i="1"/>
  <c r="AN2239" i="1"/>
  <c r="AN537" i="1"/>
  <c r="AU888" i="1"/>
  <c r="AU326" i="1"/>
  <c r="AN3348" i="1"/>
  <c r="AN2944" i="1"/>
  <c r="AN2267" i="1"/>
  <c r="AN1108" i="1"/>
  <c r="AN3789" i="1"/>
  <c r="AN3949" i="1"/>
  <c r="AN3754" i="1"/>
  <c r="AN1524" i="1"/>
  <c r="AN1421" i="1"/>
  <c r="AN2426" i="1"/>
  <c r="AN4027" i="1"/>
  <c r="AN4302" i="1"/>
  <c r="AN733" i="1"/>
  <c r="AN3539" i="1"/>
  <c r="AN1569" i="1"/>
  <c r="AN2451" i="1"/>
  <c r="AN3148" i="1"/>
  <c r="AN1494" i="1"/>
  <c r="AN2214" i="1"/>
  <c r="AN3141" i="1"/>
  <c r="AN56" i="1"/>
  <c r="AN2976" i="1"/>
  <c r="AN3263" i="1"/>
  <c r="AN3494" i="1"/>
  <c r="AN3278" i="1"/>
  <c r="AN3223" i="1"/>
  <c r="AN290" i="1"/>
  <c r="AN354" i="1"/>
  <c r="AN2371" i="1"/>
  <c r="AN2694" i="1"/>
  <c r="AN4278" i="1"/>
  <c r="AN2032" i="1"/>
  <c r="AN2125" i="1"/>
  <c r="AN353" i="1"/>
  <c r="AN3939" i="1"/>
  <c r="AN3441" i="1"/>
  <c r="AN3586" i="1"/>
  <c r="AN3804" i="1"/>
  <c r="AN394" i="1"/>
  <c r="AN2906" i="1"/>
  <c r="AU322" i="1"/>
  <c r="AU628" i="1"/>
  <c r="AU438" i="1"/>
  <c r="AU9" i="1"/>
  <c r="AU863" i="1"/>
  <c r="AU639" i="1"/>
  <c r="AN519" i="1"/>
  <c r="AN3593" i="1"/>
  <c r="AN2829" i="1"/>
  <c r="AN3821" i="1"/>
  <c r="AN3775" i="1"/>
  <c r="AN1636" i="1"/>
  <c r="AN4046" i="1"/>
  <c r="AN2031" i="1"/>
  <c r="AN3914" i="1"/>
  <c r="AN3069" i="1"/>
  <c r="AN761" i="1"/>
  <c r="AN1973" i="1"/>
  <c r="AN1563" i="1"/>
  <c r="AN3986" i="1"/>
  <c r="AN3943" i="1"/>
  <c r="AN134" i="1"/>
  <c r="AN4176" i="1"/>
  <c r="AN3809" i="1"/>
  <c r="AN3057" i="1"/>
  <c r="AN3201" i="1"/>
  <c r="AN303" i="1"/>
  <c r="AN3891" i="1"/>
  <c r="AN2493" i="1"/>
  <c r="AN4268" i="1"/>
  <c r="AN3096" i="1"/>
  <c r="AN2480" i="1"/>
  <c r="AN3814" i="1"/>
  <c r="AN3234" i="1"/>
  <c r="AN2349" i="1"/>
  <c r="AU671" i="1"/>
  <c r="AU450" i="1"/>
  <c r="AU491" i="1"/>
  <c r="AN3658" i="1"/>
  <c r="AN1334" i="1"/>
  <c r="AN10" i="1"/>
  <c r="AN3252" i="1"/>
  <c r="AN3529" i="1"/>
  <c r="AN2455" i="1"/>
  <c r="AN3560" i="1"/>
  <c r="AN453" i="1"/>
  <c r="AN2768" i="1"/>
  <c r="AN1943" i="1"/>
  <c r="AN3373" i="1"/>
  <c r="AN2571" i="1"/>
  <c r="AN971" i="1"/>
  <c r="AN1493" i="1"/>
  <c r="AN3853" i="1"/>
  <c r="AN1660" i="1"/>
  <c r="AN2105" i="1"/>
  <c r="AN3399" i="1"/>
  <c r="AN3966" i="1"/>
  <c r="AN2054" i="1"/>
  <c r="AN3219" i="1"/>
  <c r="AN3959" i="1"/>
  <c r="AN4195" i="1"/>
  <c r="AN3793" i="1"/>
  <c r="AN443" i="1"/>
  <c r="AN1467" i="1"/>
  <c r="AN1210" i="1"/>
  <c r="AN1515" i="1"/>
  <c r="AN1783" i="1"/>
  <c r="AN1908" i="1"/>
  <c r="AN3325" i="1"/>
  <c r="AN3531" i="1"/>
  <c r="AN2875" i="1"/>
  <c r="AN3089" i="1"/>
  <c r="AN3153" i="1"/>
  <c r="AN2403" i="1"/>
  <c r="AN2524" i="1"/>
  <c r="AN736" i="1"/>
  <c r="AN3417" i="1"/>
  <c r="AN386" i="1"/>
  <c r="AN2020" i="1"/>
  <c r="AN3724" i="1"/>
  <c r="AU672" i="1"/>
  <c r="AN2442" i="1"/>
  <c r="AN4058" i="1"/>
  <c r="AN2441" i="1"/>
  <c r="AN4311" i="1"/>
  <c r="AN4247" i="1"/>
  <c r="AN2862" i="1"/>
  <c r="AN1893" i="1"/>
  <c r="AN3087" i="1"/>
  <c r="AN2664" i="1"/>
  <c r="AN3889" i="1"/>
  <c r="AN4073" i="1"/>
  <c r="AN3052" i="1"/>
  <c r="AN18" i="1"/>
  <c r="AN902" i="1"/>
  <c r="AN1388" i="1"/>
  <c r="AN373" i="1"/>
  <c r="AN2767" i="1"/>
  <c r="AN4282" i="1"/>
  <c r="AN1519" i="1"/>
  <c r="AN3993" i="1"/>
  <c r="AN241" i="1"/>
  <c r="AN2436" i="1"/>
  <c r="AN4169" i="1"/>
  <c r="AN3287" i="1"/>
  <c r="AN3917" i="1"/>
  <c r="AN695" i="1"/>
  <c r="AN1511" i="1"/>
  <c r="AN728" i="1"/>
  <c r="AN1861" i="1"/>
  <c r="AU802" i="1"/>
  <c r="AU162" i="1"/>
  <c r="AU201" i="1"/>
  <c r="AU885" i="1"/>
  <c r="AN951" i="1"/>
  <c r="AN2646" i="1"/>
  <c r="AN2425" i="1"/>
  <c r="AN3926" i="1"/>
  <c r="AN1808" i="1"/>
  <c r="AN3403" i="1"/>
  <c r="AN1332" i="1"/>
  <c r="AN3603" i="1"/>
  <c r="AN3041" i="1"/>
  <c r="AN3833" i="1"/>
  <c r="AN3470" i="1"/>
  <c r="AN2845" i="1"/>
  <c r="AN1710" i="1"/>
  <c r="AN4086" i="1"/>
  <c r="AN2876" i="1"/>
  <c r="AN3958" i="1"/>
  <c r="AN2586" i="1"/>
  <c r="AN842" i="1"/>
  <c r="AN3103" i="1"/>
  <c r="AN4003" i="1"/>
  <c r="AN4089" i="1"/>
  <c r="AN2136" i="1"/>
  <c r="AN2283" i="1"/>
  <c r="AN2825" i="1"/>
  <c r="AN2729" i="1"/>
  <c r="AN4230" i="1"/>
  <c r="AN1942" i="1"/>
  <c r="AN2060" i="1"/>
  <c r="AN3022" i="1"/>
  <c r="AN522" i="1"/>
  <c r="AN1534" i="1"/>
  <c r="AN3691" i="1"/>
  <c r="AN3912" i="1"/>
  <c r="AN1652" i="1"/>
  <c r="AN3349" i="1"/>
  <c r="AN3437" i="1"/>
  <c r="AN3799" i="1"/>
  <c r="AN4319" i="1"/>
  <c r="AN508" i="1"/>
  <c r="AN2566" i="1"/>
  <c r="AN3611" i="1"/>
  <c r="AU617" i="1"/>
  <c r="AU517" i="1"/>
  <c r="AU287" i="1"/>
  <c r="AN3391" i="1"/>
  <c r="AN1312" i="1"/>
  <c r="AN2220" i="1"/>
  <c r="AN2488" i="1"/>
  <c r="AN833" i="1"/>
  <c r="AN2486" i="1"/>
  <c r="AN3016" i="1"/>
  <c r="AN3910" i="1"/>
  <c r="AN3515" i="1"/>
  <c r="AN4021" i="1"/>
  <c r="AN2644" i="1"/>
  <c r="AN3875" i="1"/>
  <c r="AN1792" i="1"/>
  <c r="AN4156" i="1"/>
  <c r="AN2971" i="1"/>
  <c r="AN1928" i="1"/>
  <c r="AN3601" i="1"/>
  <c r="AN83" i="1"/>
  <c r="AN2766" i="1"/>
  <c r="AN139" i="1"/>
  <c r="AN4299" i="1"/>
  <c r="AN3385" i="1"/>
  <c r="AN366" i="1"/>
  <c r="AN330" i="1"/>
  <c r="AN2474" i="1"/>
  <c r="AN2956" i="1"/>
  <c r="AN3015" i="1"/>
  <c r="AN417" i="1"/>
  <c r="AN2998" i="1"/>
  <c r="AU554" i="1"/>
  <c r="AU945" i="1"/>
  <c r="AU150" i="1"/>
  <c r="AU416" i="1"/>
  <c r="AU463" i="1"/>
  <c r="AU44" i="1"/>
  <c r="AN1643" i="1"/>
  <c r="AN3510" i="1"/>
  <c r="AN3371" i="1"/>
  <c r="AN4229" i="1"/>
  <c r="AN2970" i="1"/>
  <c r="AN1872" i="1"/>
  <c r="AN1805" i="1"/>
  <c r="AN1941" i="1"/>
  <c r="AN3863" i="1"/>
  <c r="AN3979" i="1"/>
  <c r="AN4262" i="1"/>
  <c r="AN3662" i="1"/>
  <c r="AN2907" i="1"/>
  <c r="AN1991" i="1"/>
  <c r="AN3692" i="1"/>
  <c r="AN341" i="1"/>
  <c r="AN3479" i="1"/>
  <c r="AN4124" i="1"/>
  <c r="AN3922" i="1"/>
  <c r="AN898" i="1"/>
  <c r="AN2538" i="1"/>
  <c r="AN3163" i="1"/>
  <c r="AN3261" i="1"/>
  <c r="AN3653" i="1"/>
  <c r="AN3559" i="1"/>
  <c r="AN2815" i="1"/>
  <c r="AN3039" i="1"/>
  <c r="AN3108" i="1"/>
  <c r="AN3837" i="1"/>
  <c r="AN2882" i="1"/>
  <c r="AN2778" i="1"/>
  <c r="AN2888" i="1"/>
  <c r="AN462" i="1"/>
  <c r="AN2872" i="1"/>
  <c r="AN1021" i="1"/>
  <c r="AN319" i="1"/>
  <c r="AN2577" i="1"/>
  <c r="AN3347" i="1"/>
  <c r="AN2116" i="1"/>
  <c r="AN3467" i="1"/>
  <c r="AN3442" i="1"/>
  <c r="AU880" i="1"/>
  <c r="AU830" i="1"/>
  <c r="AU304" i="1"/>
  <c r="AN4188" i="1"/>
  <c r="AN1857" i="1"/>
  <c r="AN3222" i="1"/>
  <c r="AN3419" i="1"/>
  <c r="AN2787" i="1"/>
  <c r="AN2253" i="1"/>
  <c r="AN3829" i="1"/>
  <c r="AN1365" i="1"/>
  <c r="AN2077" i="1"/>
  <c r="AN2744" i="1"/>
  <c r="AN3509" i="1"/>
  <c r="AN2893" i="1"/>
  <c r="AN2960" i="1"/>
  <c r="AN2745" i="1"/>
  <c r="AN3788" i="1"/>
  <c r="AN3171" i="1"/>
  <c r="AN2781" i="1"/>
  <c r="AN1670" i="1"/>
  <c r="AN2579" i="1"/>
  <c r="AN4243" i="1"/>
  <c r="AN2323" i="1"/>
  <c r="AN1733" i="1"/>
  <c r="AN1910" i="1"/>
  <c r="AN4317" i="1"/>
  <c r="AN3413" i="1"/>
  <c r="AN3779" i="1"/>
  <c r="AN3827" i="1"/>
  <c r="AN2057" i="1"/>
  <c r="AN2856" i="1"/>
  <c r="AU375" i="1"/>
  <c r="AU384" i="1"/>
  <c r="AU265" i="1"/>
  <c r="AU769" i="1"/>
  <c r="AU333" i="1"/>
  <c r="AU25" i="1"/>
  <c r="AU300" i="1"/>
  <c r="AN2865" i="1"/>
  <c r="AN1758" i="1"/>
  <c r="AN1825" i="1"/>
  <c r="AN1070" i="1"/>
  <c r="AN3785" i="1"/>
  <c r="AN3003" i="1"/>
  <c r="AN2969" i="1"/>
  <c r="AN3038" i="1"/>
  <c r="AN2585" i="1"/>
  <c r="AN1633" i="1"/>
  <c r="AN2595" i="1"/>
  <c r="AN103" i="1"/>
  <c r="AN2568" i="1"/>
  <c r="AN3060" i="1"/>
  <c r="AN2098" i="1"/>
  <c r="AN2727" i="1"/>
  <c r="AN3345" i="1"/>
  <c r="AN2718" i="1"/>
  <c r="AN1337" i="1"/>
  <c r="AN1624" i="1"/>
  <c r="AN3517" i="1"/>
  <c r="AN3972" i="1"/>
  <c r="AN47" i="1"/>
  <c r="AN2337" i="1"/>
  <c r="AN3457" i="1"/>
  <c r="AN3641" i="1"/>
  <c r="AN3861" i="1"/>
  <c r="AN1589" i="1"/>
  <c r="AN2360" i="1"/>
  <c r="AN3697" i="1"/>
  <c r="AN3610" i="1"/>
  <c r="AN286" i="1"/>
  <c r="AN295" i="1"/>
  <c r="AN2722" i="1"/>
  <c r="AN2504" i="1"/>
  <c r="AN1830" i="1"/>
  <c r="AN3472" i="1"/>
  <c r="AN2435" i="1"/>
  <c r="AN3143" i="1"/>
  <c r="AN766" i="1"/>
  <c r="AU236" i="1"/>
  <c r="AU72" i="1"/>
  <c r="AU596" i="1"/>
  <c r="AU821" i="1"/>
  <c r="AU577" i="1"/>
  <c r="AN4249" i="1"/>
  <c r="AN2469" i="1"/>
  <c r="AN2997" i="1"/>
  <c r="AN2348" i="1"/>
  <c r="AN4216" i="1"/>
  <c r="AN3616" i="1"/>
  <c r="AN3246" i="1"/>
  <c r="AN2019" i="1"/>
  <c r="AN4294" i="1"/>
  <c r="AN3123" i="1"/>
  <c r="AN2665" i="1"/>
  <c r="AN4313" i="1"/>
  <c r="AN3710" i="1"/>
  <c r="AN1342" i="1"/>
  <c r="AN3572" i="1"/>
  <c r="AN4254" i="1"/>
  <c r="AN3675" i="1"/>
  <c r="AN3613" i="1"/>
  <c r="AN2242" i="1"/>
  <c r="AN3473" i="1"/>
  <c r="AN2235" i="1"/>
  <c r="AN3293" i="1"/>
  <c r="AN2339" i="1"/>
  <c r="AN621" i="1"/>
  <c r="AN2358" i="1"/>
  <c r="AN291" i="1"/>
  <c r="AN2536" i="1"/>
  <c r="AN411" i="1"/>
  <c r="AN2608" i="1"/>
  <c r="AN3670" i="1"/>
  <c r="AU294" i="1"/>
  <c r="AU8" i="1"/>
  <c r="AU826" i="1"/>
  <c r="AU368" i="1"/>
  <c r="AU99" i="1"/>
  <c r="AU68" i="1"/>
  <c r="AU409" i="1"/>
  <c r="AU759" i="1"/>
  <c r="AN3682" i="1"/>
  <c r="AN2942" i="1"/>
  <c r="AN2977" i="1"/>
  <c r="AN1686" i="1"/>
  <c r="AN919" i="1"/>
  <c r="AN3817" i="1"/>
  <c r="AN3784" i="1"/>
  <c r="AN3859" i="1"/>
  <c r="AN3478" i="1"/>
  <c r="AN4322" i="1"/>
  <c r="AN3483" i="1"/>
  <c r="AN4130" i="1"/>
  <c r="AN2338" i="1"/>
  <c r="AN3885" i="1"/>
  <c r="AN3136" i="1"/>
  <c r="AN3558" i="1"/>
  <c r="AN3120" i="1"/>
  <c r="AN3547" i="1"/>
  <c r="AN2943" i="1"/>
  <c r="AN87" i="1"/>
  <c r="AN4116" i="1"/>
  <c r="AN708" i="1"/>
  <c r="AN1595" i="1"/>
  <c r="AN3305" i="1"/>
  <c r="AN3236" i="1"/>
  <c r="AN1043" i="1"/>
  <c r="AN407" i="1"/>
  <c r="AN2656" i="1"/>
  <c r="AN3321" i="1"/>
  <c r="AN2414" i="1"/>
  <c r="AN3499" i="1"/>
  <c r="AN379" i="1"/>
  <c r="AN1835" i="1"/>
  <c r="AN3552" i="1"/>
  <c r="AN3427" i="1"/>
  <c r="AN2419" i="1"/>
  <c r="AN4222" i="1"/>
  <c r="AN3380" i="1"/>
  <c r="AN3961" i="1"/>
  <c r="AN2613" i="1"/>
  <c r="AU506" i="1"/>
  <c r="AU694" i="1"/>
  <c r="AU343" i="1"/>
  <c r="AU94" i="1"/>
  <c r="AU323" i="1"/>
  <c r="AU302" i="1"/>
  <c r="AN2332" i="1"/>
  <c r="AN4153" i="1"/>
  <c r="AN1503" i="1"/>
  <c r="AN3704" i="1"/>
  <c r="AN1212" i="1"/>
  <c r="AN3812" i="1"/>
  <c r="AN3315" i="1"/>
  <c r="AN2520" i="1"/>
  <c r="AN31" i="1"/>
  <c r="AN2394" i="1"/>
  <c r="AN3895" i="1"/>
  <c r="AN1912" i="1"/>
  <c r="AN3940" i="1"/>
  <c r="AN4301" i="1"/>
  <c r="AN721" i="1"/>
  <c r="AN4180" i="1"/>
  <c r="AN2643" i="1"/>
  <c r="AN2760" i="1"/>
  <c r="AN1630" i="1"/>
  <c r="AN3928" i="1"/>
  <c r="AN1776" i="1"/>
  <c r="AN3235" i="1"/>
  <c r="AN1422" i="1"/>
  <c r="AN3231" i="1"/>
  <c r="AN60" i="1"/>
  <c r="AN3307" i="1"/>
  <c r="AN2179" i="1"/>
  <c r="AN3320" i="1"/>
  <c r="AN1787" i="1"/>
  <c r="AN3446" i="1"/>
  <c r="AN557" i="1"/>
  <c r="AN3488" i="1"/>
  <c r="AN1743" i="1"/>
  <c r="AU6" i="1"/>
  <c r="AU805" i="1"/>
  <c r="AN217" i="1"/>
  <c r="AN3762" i="1"/>
  <c r="AN3794" i="1"/>
  <c r="AN2889" i="1"/>
  <c r="AN4162" i="1"/>
  <c r="AN1283" i="1"/>
  <c r="AN1913" i="1"/>
  <c r="AN1228" i="1"/>
  <c r="AN2007" i="1"/>
  <c r="AN3782" i="1"/>
  <c r="AN1559" i="1"/>
  <c r="AN1465" i="1"/>
  <c r="AN3306" i="1"/>
  <c r="AN488" i="1"/>
  <c r="AN3955" i="1"/>
  <c r="AN2159" i="1"/>
  <c r="AN3937" i="1"/>
  <c r="AN794" i="1"/>
  <c r="AN3763" i="1"/>
  <c r="AN350" i="1"/>
  <c r="AN2260" i="1"/>
  <c r="AN2164" i="1"/>
  <c r="AN4068" i="1"/>
  <c r="AN4170" i="1"/>
  <c r="AN2835" i="1"/>
  <c r="AN4325" i="1"/>
  <c r="AN3512" i="1"/>
  <c r="AN130" i="1"/>
  <c r="AN3363" i="1"/>
  <c r="AN3300" i="1"/>
  <c r="AN1956" i="1"/>
  <c r="AN2409" i="1"/>
  <c r="AN1570" i="1"/>
  <c r="AN1488" i="1"/>
  <c r="AN3369" i="1"/>
  <c r="AN413" i="1"/>
  <c r="AN189" i="1"/>
  <c r="AN2564" i="1"/>
  <c r="AN4245" i="1"/>
  <c r="AU400" i="1"/>
  <c r="AU828" i="1"/>
  <c r="AU157" i="1"/>
  <c r="AU144" i="1"/>
  <c r="AU470" i="1"/>
  <c r="AU339" i="1"/>
  <c r="AN3599" i="1"/>
  <c r="AN3980" i="1"/>
  <c r="AN3578" i="1"/>
  <c r="AN869" i="1"/>
  <c r="AN3561" i="1"/>
  <c r="AN2230" i="1"/>
  <c r="AN3464" i="1"/>
  <c r="AN2204" i="1"/>
  <c r="AN3614" i="1"/>
  <c r="AN3445" i="1"/>
  <c r="AN2870" i="1"/>
  <c r="AN3290" i="1"/>
  <c r="AN2894" i="1"/>
  <c r="AN3197" i="1"/>
  <c r="AN3303" i="1"/>
  <c r="AN688" i="1"/>
  <c r="AN2758" i="1"/>
  <c r="AN399" i="1"/>
  <c r="AN1459" i="1"/>
  <c r="AN77" i="1"/>
  <c r="AN3969" i="1"/>
  <c r="AN3433" i="1"/>
  <c r="AN4075" i="1"/>
  <c r="AN3342" i="1"/>
  <c r="AN734" i="1"/>
  <c r="AN3025" i="1"/>
  <c r="AN1528" i="1"/>
  <c r="AN3826" i="1"/>
  <c r="AN2670" i="1"/>
  <c r="AN1533" i="1"/>
  <c r="AN2418" i="1"/>
  <c r="AN3588" i="1"/>
  <c r="AN2195" i="1"/>
  <c r="AN58" i="1"/>
  <c r="AN2949" i="1"/>
  <c r="AN412" i="1"/>
  <c r="AN2698" i="1"/>
  <c r="AN778" i="1"/>
  <c r="AN2422" i="1"/>
  <c r="AN1609" i="1"/>
  <c r="AN3198" i="1"/>
  <c r="AN97" i="1"/>
  <c r="AN2385" i="1"/>
  <c r="AN4197" i="1"/>
  <c r="AN3376" i="1"/>
  <c r="AN2158" i="1"/>
  <c r="AN811" i="1"/>
  <c r="AN2934" i="1"/>
  <c r="AU363" i="1"/>
  <c r="AU641" i="1"/>
  <c r="AU88" i="1"/>
  <c r="AN1737" i="1"/>
  <c r="AN860" i="1"/>
  <c r="AN1216" i="1"/>
  <c r="AN1788" i="1"/>
  <c r="AN2902" i="1"/>
  <c r="AN1572" i="1"/>
  <c r="AN3029" i="1"/>
  <c r="AN4239" i="1"/>
  <c r="AN3074" i="1"/>
  <c r="AN4015" i="1"/>
  <c r="AN2796" i="1"/>
  <c r="AN1996" i="1"/>
  <c r="AN2460" i="1"/>
  <c r="AN2086" i="1"/>
  <c r="AN1463" i="1"/>
  <c r="AN3177" i="1"/>
  <c r="AN4069" i="1"/>
  <c r="AN2734" i="1"/>
  <c r="AN306" i="1"/>
  <c r="AN1884" i="1"/>
  <c r="AN3248" i="1"/>
  <c r="AN3186" i="1"/>
  <c r="AN1193" i="1"/>
  <c r="AN2771" i="1"/>
  <c r="AN3659" i="1"/>
  <c r="AN165" i="1"/>
  <c r="AN1499" i="1"/>
  <c r="AN1664" i="1"/>
  <c r="AN4115" i="1"/>
  <c r="AN3229" i="1"/>
  <c r="AN3048" i="1"/>
  <c r="AN3352" i="1"/>
  <c r="AN2804" i="1"/>
  <c r="AN2946" i="1"/>
  <c r="AN146" i="1"/>
  <c r="AN713" i="1"/>
  <c r="AN1125" i="1"/>
  <c r="AN3463" i="1"/>
  <c r="AN445" i="1"/>
  <c r="AU383" i="1"/>
  <c r="AU441" i="1"/>
  <c r="AU71" i="1"/>
  <c r="AU186" i="1"/>
  <c r="AU132" i="1"/>
  <c r="AO2620" i="1"/>
  <c r="AO4071" i="1"/>
  <c r="AO3530" i="1"/>
  <c r="AO1989" i="1"/>
  <c r="AO3298" i="1"/>
  <c r="AO2901" i="1"/>
  <c r="AO1659" i="1"/>
  <c r="AO4121" i="1"/>
  <c r="AO3576" i="1"/>
  <c r="AO2726" i="1"/>
  <c r="AO1478" i="1"/>
  <c r="AO3604" i="1"/>
  <c r="AO1386" i="1"/>
  <c r="AO3332" i="1"/>
  <c r="AO3967" i="1"/>
  <c r="AO3571" i="1"/>
  <c r="AO1770" i="1"/>
  <c r="AO2723" i="1"/>
  <c r="AO1237" i="1"/>
  <c r="AO2735" i="1"/>
  <c r="AO735" i="1"/>
  <c r="AO1587" i="1"/>
  <c r="AO3843" i="1"/>
  <c r="AO1596" i="1"/>
  <c r="AO1608" i="1"/>
  <c r="AO2265" i="1"/>
  <c r="AO3130" i="1"/>
  <c r="AO4264" i="1"/>
  <c r="AO4062" i="1"/>
  <c r="AO3717" i="1"/>
  <c r="AO1667" i="1"/>
  <c r="AO2890" i="1"/>
  <c r="AO3741" i="1"/>
  <c r="AO2836" i="1"/>
  <c r="AO3492" i="1"/>
  <c r="AO2920" i="1"/>
  <c r="AO3226" i="1"/>
  <c r="AO1831" i="1"/>
  <c r="AO4186" i="1"/>
  <c r="AO570" i="1"/>
  <c r="AO2941" i="1"/>
  <c r="AO3830" i="1"/>
  <c r="AO1962" i="1"/>
  <c r="AO3496" i="1"/>
  <c r="AO2549" i="1"/>
  <c r="AO4300" i="1"/>
  <c r="AO3059" i="1"/>
  <c r="AO804" i="1"/>
  <c r="AO3719" i="1"/>
  <c r="AO4110" i="1"/>
  <c r="AO2618" i="1"/>
  <c r="AO650" i="1"/>
  <c r="AO3556" i="1"/>
  <c r="AO2736" i="1"/>
  <c r="AO4191" i="1"/>
  <c r="AO2673" i="1"/>
  <c r="AO2762" i="1"/>
  <c r="AO1562" i="1"/>
  <c r="AO2123" i="1"/>
  <c r="AO4192" i="1"/>
  <c r="AO3553" i="1"/>
  <c r="AO2587" i="1"/>
  <c r="AO3566" i="1"/>
  <c r="AO2448" i="1"/>
  <c r="AO2813" i="1"/>
  <c r="AO3107" i="1"/>
  <c r="AO2824" i="1"/>
  <c r="AO2838" i="1"/>
  <c r="AO3249" i="1"/>
  <c r="AO3948" i="1"/>
  <c r="AO2246" i="1"/>
  <c r="AO2801" i="1"/>
  <c r="AO917" i="1"/>
  <c r="AO2881" i="1"/>
  <c r="AO3709" i="1"/>
  <c r="AO1015" i="1"/>
  <c r="AO3660" i="1"/>
  <c r="AO1718" i="1"/>
  <c r="AO3734" i="1"/>
  <c r="AO3899" i="1"/>
  <c r="AO34" i="1"/>
  <c r="AO3448" i="1"/>
  <c r="AO527" i="1"/>
  <c r="AO3432" i="1"/>
  <c r="AO3882" i="1"/>
  <c r="AO490" i="1"/>
  <c r="AO1838" i="1"/>
  <c r="AO2003" i="1"/>
  <c r="AO3495" i="1"/>
  <c r="AO4165" i="1"/>
  <c r="AO4037" i="1"/>
  <c r="AO3567" i="1"/>
  <c r="AO747" i="1"/>
  <c r="AO3522" i="1"/>
  <c r="AO3592" i="1"/>
  <c r="AO2797" i="1"/>
  <c r="AO2115" i="1"/>
  <c r="AO4022" i="1"/>
  <c r="AO2108" i="1"/>
  <c r="AO1566" i="1"/>
  <c r="AO3392" i="1"/>
  <c r="AO1351" i="1"/>
  <c r="AO3925" i="1"/>
  <c r="AO3651" i="1"/>
  <c r="AO3661" i="1"/>
  <c r="AO1662" i="1"/>
  <c r="AO3825" i="1"/>
  <c r="AO3237" i="1"/>
  <c r="AO3625" i="1"/>
  <c r="AO4314" i="1"/>
  <c r="AO3696" i="1"/>
  <c r="AO4303" i="1"/>
  <c r="AO1134" i="1"/>
  <c r="AO163" i="1"/>
  <c r="AO2915" i="1"/>
  <c r="AO1959" i="1"/>
  <c r="AO4066" i="1"/>
  <c r="AO305" i="1"/>
  <c r="AO4108" i="1"/>
  <c r="AO458" i="1"/>
  <c r="AO466" i="1"/>
  <c r="AO2681" i="1"/>
  <c r="AO2984" i="1"/>
  <c r="AO3071" i="1"/>
  <c r="AO355" i="1"/>
  <c r="AO944" i="1"/>
  <c r="AO1696" i="1"/>
  <c r="AO4154" i="1"/>
  <c r="AO1033" i="1"/>
  <c r="AO1495" i="1"/>
  <c r="AO529" i="1"/>
  <c r="AO3622" i="1"/>
  <c r="AO3142" i="1"/>
  <c r="AO2476" i="1"/>
  <c r="AO4159" i="1"/>
  <c r="AO2802" i="1"/>
  <c r="AO1581" i="1"/>
  <c r="AO3225" i="1"/>
  <c r="AO3801" i="1"/>
  <c r="AO4138" i="1"/>
  <c r="AO707" i="1"/>
  <c r="AO2877" i="1"/>
  <c r="AO3639" i="1"/>
  <c r="AO4063" i="1"/>
  <c r="AO4091" i="1"/>
  <c r="AO1025" i="1"/>
  <c r="AO4183" i="1"/>
  <c r="AO4080" i="1"/>
  <c r="AO2730" i="1"/>
  <c r="AO1704" i="1"/>
  <c r="AO3732" i="1"/>
  <c r="AO2391" i="1"/>
  <c r="AO3021" i="1"/>
  <c r="AO1813" i="1"/>
  <c r="AO827" i="1"/>
  <c r="AO429" i="1"/>
  <c r="AO687" i="1"/>
  <c r="AO3526" i="1"/>
  <c r="AO3800" i="1"/>
  <c r="AO3890" i="1"/>
  <c r="AO1896" i="1"/>
  <c r="AO2464" i="1"/>
  <c r="AO4147" i="1"/>
  <c r="AO2660" i="1"/>
  <c r="AO2513" i="1"/>
  <c r="AO2755" i="1"/>
  <c r="AO4173" i="1"/>
  <c r="AO280" i="1"/>
  <c r="AO3960" i="1"/>
  <c r="AO3414" i="1"/>
  <c r="AO3005" i="1"/>
  <c r="AO3626" i="1"/>
  <c r="AO2811" i="1"/>
  <c r="AO1622" i="1"/>
  <c r="AO3618" i="1"/>
  <c r="AO1864" i="1"/>
  <c r="AO4248" i="1"/>
  <c r="AO3693" i="1"/>
  <c r="AO2008" i="1"/>
  <c r="AO1845" i="1"/>
  <c r="AO561" i="1"/>
  <c r="AO1426" i="1"/>
  <c r="AO385" i="1"/>
  <c r="AO2821" i="1"/>
  <c r="AO2290" i="1"/>
  <c r="AO2904" i="1"/>
  <c r="AO816" i="1"/>
  <c r="AO3341" i="1"/>
  <c r="AO3836" i="1"/>
  <c r="AO2285" i="1"/>
  <c r="AO2397" i="1"/>
  <c r="AO2562" i="1"/>
  <c r="AO2247" i="1"/>
  <c r="AO916" i="1"/>
  <c r="AO3678" i="1"/>
  <c r="AO1604" i="1"/>
  <c r="AO2361" i="1"/>
  <c r="AO1997" i="1"/>
  <c r="AO2047" i="1"/>
  <c r="AO3513" i="1"/>
  <c r="AO2039" i="1"/>
  <c r="AO3580" i="1"/>
  <c r="AO2695" i="1"/>
  <c r="AO738" i="1"/>
  <c r="AO3519" i="1"/>
  <c r="AO1716" i="1"/>
  <c r="AO1085" i="1"/>
  <c r="AO3818" i="1"/>
  <c r="AO4103" i="1"/>
  <c r="AO3635" i="1"/>
  <c r="AO2855" i="1"/>
  <c r="AO4235" i="1"/>
  <c r="AO4242" i="1"/>
  <c r="AO4041" i="1"/>
  <c r="AO851" i="1"/>
  <c r="AO3664" i="1"/>
  <c r="AO2275" i="1"/>
  <c r="AO2603" i="1"/>
  <c r="AO2699" i="1"/>
  <c r="AO4298" i="1"/>
  <c r="AO3649" i="1"/>
  <c r="AO4255" i="1"/>
  <c r="AO3721" i="1"/>
  <c r="AO4321" i="1"/>
  <c r="AO1777" i="1"/>
  <c r="AO1540" i="1"/>
  <c r="AO3262" i="1"/>
  <c r="AO4033" i="1"/>
  <c r="AO3462" i="1"/>
  <c r="AO3243" i="1"/>
  <c r="AO3078" i="1"/>
  <c r="AO3508" i="1"/>
  <c r="AO2029" i="1"/>
  <c r="AO3322" i="1"/>
  <c r="AO2927" i="1"/>
  <c r="AO3093" i="1"/>
  <c r="AO2407" i="1"/>
  <c r="AO4097" i="1"/>
  <c r="AO4061" i="1"/>
  <c r="AO3532" i="1"/>
  <c r="AO4217" i="1"/>
  <c r="AO678" i="1"/>
  <c r="AO2134" i="1"/>
  <c r="AO709" i="1"/>
  <c r="AO2023" i="1"/>
  <c r="AO1819" i="1"/>
  <c r="AO653" i="1"/>
  <c r="AO3668" i="1"/>
  <c r="AO3852" i="1"/>
  <c r="AO2207" i="1"/>
  <c r="AO3606" i="1"/>
  <c r="AO4296" i="1"/>
  <c r="AO3587" i="1"/>
  <c r="AO3257" i="1"/>
  <c r="AO3486" i="1"/>
  <c r="AO2245" i="1"/>
  <c r="AO2294" i="1"/>
  <c r="AO4118" i="1"/>
  <c r="AO2052" i="1"/>
  <c r="AO4213" i="1"/>
  <c r="AO4104" i="1"/>
  <c r="AO2952" i="1"/>
  <c r="AO1935" i="1"/>
  <c r="AO448" i="1"/>
  <c r="AO2878" i="1"/>
  <c r="AO1367" i="1"/>
  <c r="AO1387" i="1"/>
  <c r="AO3896" i="1"/>
  <c r="AO4076" i="1"/>
  <c r="AO3084" i="1"/>
  <c r="AO837" i="1"/>
  <c r="AO3009" i="1"/>
  <c r="AO3916" i="1"/>
  <c r="AO3351" i="1"/>
  <c r="AO2953" i="1"/>
  <c r="AO1726" i="1"/>
  <c r="AO406" i="1"/>
  <c r="AO782" i="1"/>
  <c r="AO625" i="1"/>
  <c r="AO3158" i="1"/>
  <c r="AO1550" i="1"/>
  <c r="AO3079" i="1"/>
  <c r="AO4219" i="1"/>
  <c r="AO4227" i="1"/>
  <c r="AO336" i="1"/>
  <c r="AO3217" i="1"/>
  <c r="AO4070" i="1"/>
  <c r="AO943" i="1"/>
  <c r="AO800" i="1"/>
  <c r="AO809" i="1"/>
  <c r="AO1341" i="1"/>
  <c r="AO3893" i="1"/>
  <c r="AO3266" i="1"/>
  <c r="AO2639" i="1"/>
  <c r="AO3101" i="1"/>
  <c r="AO410" i="1"/>
  <c r="AO2857" i="1"/>
  <c r="AO3771" i="1"/>
  <c r="AO3034" i="1"/>
  <c r="AO2087" i="1"/>
  <c r="AO3694" i="1"/>
  <c r="AO2662" i="1"/>
  <c r="AO2675" i="1"/>
  <c r="AO3551" i="1"/>
  <c r="AO3742" i="1"/>
  <c r="AO3904" i="1"/>
  <c r="AO535" i="1"/>
  <c r="AO1639" i="1"/>
  <c r="AO892" i="1"/>
  <c r="AO3772" i="1"/>
  <c r="AO4167" i="1"/>
  <c r="AO2437" i="1"/>
  <c r="AO2555" i="1"/>
  <c r="AO1439" i="1"/>
  <c r="AO3971" i="1"/>
  <c r="AO2789" i="1"/>
  <c r="AO3898" i="1"/>
  <c r="AO2155" i="1"/>
  <c r="AO4007" i="1"/>
  <c r="AO812" i="1"/>
  <c r="AO4001" i="1"/>
  <c r="AO514" i="1"/>
  <c r="AO1378" i="1"/>
  <c r="AO1543" i="1"/>
  <c r="AO1081" i="1"/>
  <c r="AO867" i="1"/>
  <c r="AO3968" i="1"/>
  <c r="AO4081" i="1"/>
  <c r="AO3505" i="1"/>
  <c r="AO3921" i="1"/>
  <c r="AO4316" i="1"/>
  <c r="AO3671" i="1"/>
  <c r="AO1112" i="1"/>
  <c r="AO3854" i="1"/>
  <c r="AO2641" i="1"/>
  <c r="AO1790" i="1"/>
  <c r="AO3514" i="1"/>
  <c r="AO3523" i="1"/>
  <c r="AO4318" i="1"/>
  <c r="AO1881" i="1"/>
  <c r="AO726" i="1"/>
  <c r="AO2168" i="1"/>
  <c r="AO2066" i="1"/>
  <c r="AO605" i="1"/>
  <c r="AO1923" i="1"/>
  <c r="AO2075" i="1"/>
  <c r="AO3387" i="1"/>
  <c r="AO2074" i="1"/>
  <c r="AO2705" i="1"/>
  <c r="AO832" i="1"/>
  <c r="AO3617" i="1"/>
  <c r="AO3781" i="1"/>
  <c r="AO3173" i="1"/>
  <c r="AO2753" i="1"/>
  <c r="AO4263" i="1"/>
  <c r="AO4042" i="1"/>
  <c r="AO2565" i="1"/>
  <c r="AO2666" i="1"/>
  <c r="AO2783" i="1"/>
  <c r="AO2534" i="1"/>
  <c r="AO1650" i="1"/>
  <c r="AO2320" i="1"/>
  <c r="AO1398" i="1"/>
  <c r="AO2175" i="1"/>
  <c r="AO2212" i="1"/>
  <c r="AO3507" i="1"/>
  <c r="AO2959" i="1"/>
  <c r="AO1617" i="1"/>
  <c r="AO414" i="1"/>
  <c r="AO108" i="1"/>
  <c r="AO3458" i="1"/>
  <c r="AO2295" i="1"/>
  <c r="AO2711" i="1"/>
  <c r="AO3111" i="1"/>
  <c r="AO2223" i="1"/>
  <c r="AO3031" i="1"/>
  <c r="AO3121" i="1"/>
  <c r="AO667" i="1"/>
  <c r="AO4134" i="1"/>
  <c r="AO3541" i="1"/>
  <c r="AO2413" i="1"/>
  <c r="AO1280" i="1"/>
  <c r="AO3218" i="1"/>
  <c r="AO846" i="1"/>
  <c r="AO3780" i="1"/>
  <c r="AO4084" i="1"/>
  <c r="AO4092" i="1"/>
  <c r="AO4142" i="1"/>
  <c r="AO2597" i="1"/>
  <c r="AO3273" i="1"/>
  <c r="AO3544" i="1"/>
  <c r="AO3482" i="1"/>
  <c r="AO3929" i="1"/>
  <c r="AO2743" i="1"/>
  <c r="AO3849" i="1"/>
  <c r="AO3938" i="1"/>
  <c r="AO1517" i="1"/>
  <c r="AO2980" i="1"/>
  <c r="AO1530" i="1"/>
  <c r="AO3359" i="1"/>
  <c r="AO3195" i="1"/>
  <c r="AO3409" i="1"/>
  <c r="AO4002" i="1"/>
  <c r="AO3054" i="1"/>
  <c r="AO3657" i="1"/>
  <c r="AO1955" i="1"/>
  <c r="AO2581" i="1"/>
  <c r="AO877" i="1"/>
  <c r="AO3484" i="1"/>
  <c r="AO1449" i="1"/>
  <c r="AO3105" i="1"/>
  <c r="AO505" i="1"/>
  <c r="AO576" i="1"/>
  <c r="AO3569" i="1"/>
  <c r="AO3725" i="1"/>
  <c r="AO1685" i="1"/>
  <c r="AO2764" i="1"/>
  <c r="AO3795" i="1"/>
  <c r="AO2773" i="1"/>
  <c r="AO1544" i="1"/>
  <c r="AO3987" i="1"/>
  <c r="AO3152" i="1"/>
  <c r="AO1751" i="1"/>
  <c r="AO460" i="1"/>
  <c r="AO2624" i="1"/>
  <c r="AO1512" i="1"/>
  <c r="AO762" i="1"/>
  <c r="AO825" i="1"/>
  <c r="AO1967" i="1"/>
  <c r="AO2858" i="1"/>
  <c r="AO2867" i="1"/>
  <c r="AO2308" i="1"/>
  <c r="AO3612" i="1"/>
  <c r="AO1164" i="1"/>
  <c r="AO2344" i="1"/>
  <c r="AO3879" i="1"/>
  <c r="AO2354" i="1"/>
  <c r="AO3524" i="1"/>
  <c r="AO4287" i="1"/>
  <c r="AO431" i="1"/>
  <c r="AO2637" i="1"/>
  <c r="AO3877" i="1"/>
  <c r="AO3490" i="1"/>
  <c r="AO3045" i="1"/>
  <c r="AO3476" i="1"/>
  <c r="AO2429" i="1"/>
  <c r="AO1414" i="1"/>
  <c r="AO2708" i="1"/>
  <c r="AO3924" i="1"/>
  <c r="AO2635" i="1"/>
  <c r="AO755" i="1"/>
  <c r="AO3946" i="1"/>
  <c r="AO3545" i="1"/>
  <c r="AO2096" i="1"/>
  <c r="AO3595" i="1"/>
  <c r="AO1983" i="1"/>
  <c r="AO3607" i="1"/>
  <c r="AO2784" i="1"/>
  <c r="AO3643" i="1"/>
  <c r="AO3538" i="1"/>
  <c r="AO2181" i="1"/>
  <c r="AO2525" i="1"/>
  <c r="AO2147" i="1"/>
  <c r="AO2761" i="1"/>
  <c r="AO957" i="1"/>
  <c r="AO1610" i="1"/>
  <c r="AO3051" i="1"/>
  <c r="AO3672" i="1"/>
  <c r="AO3683" i="1"/>
  <c r="AO3280" i="1"/>
  <c r="AO1577" i="1"/>
  <c r="AO2574" i="1"/>
  <c r="AO3314" i="1"/>
  <c r="AO3527" i="1"/>
  <c r="AO3319" i="1"/>
  <c r="AO1452" i="1"/>
  <c r="AO2081" i="1"/>
  <c r="AO2521" i="1"/>
  <c r="AO3504" i="1"/>
  <c r="AO1406" i="1"/>
  <c r="AO3824" i="1"/>
  <c r="AO3865" i="1"/>
  <c r="AO1856" i="1"/>
  <c r="AO1948" i="1"/>
  <c r="AO2696" i="1"/>
  <c r="AO3542" i="1"/>
  <c r="AO1491" i="1"/>
  <c r="AO3503" i="1"/>
  <c r="AO2335" i="1"/>
  <c r="AO1527" i="1"/>
  <c r="AO3500" i="1"/>
  <c r="AO3952" i="1"/>
  <c r="AO1215" i="1"/>
  <c r="AO3878" i="1"/>
  <c r="AO4079" i="1"/>
  <c r="AO3615" i="1"/>
  <c r="AO307" i="1"/>
  <c r="AO676" i="1"/>
  <c r="AO3202" i="1"/>
  <c r="AO3440" i="1"/>
  <c r="AO4181" i="1"/>
  <c r="AO3589" i="1"/>
  <c r="AO2490" i="1"/>
  <c r="AO2848" i="1"/>
  <c r="AO3870" i="1"/>
  <c r="AO4161" i="1"/>
  <c r="AO740" i="1"/>
  <c r="AO1699" i="1"/>
  <c r="AO2810" i="1"/>
  <c r="AO3471" i="1"/>
  <c r="AO1731" i="1"/>
  <c r="AO3632" i="1"/>
  <c r="AO903" i="1"/>
  <c r="AO1023" i="1"/>
  <c r="AO3942" i="1"/>
  <c r="AO3435" i="1"/>
  <c r="AO390" i="1"/>
  <c r="AO2687" i="1"/>
  <c r="AO1576" i="1"/>
  <c r="AO2328" i="1"/>
  <c r="AO4059" i="1"/>
  <c r="AO3533" i="1"/>
  <c r="AO446" i="1"/>
  <c r="AO2749" i="1"/>
  <c r="AO1464" i="1"/>
  <c r="AO3304" i="1"/>
  <c r="AO2770" i="1"/>
  <c r="AO546" i="1"/>
  <c r="AO2381" i="1"/>
  <c r="AO3149" i="1"/>
  <c r="AO3753" i="1"/>
  <c r="AO285" i="1"/>
  <c r="AO4203" i="1"/>
  <c r="AO4241" i="1"/>
  <c r="AO1474" i="1"/>
  <c r="AO3994" i="1"/>
  <c r="AO780" i="1"/>
  <c r="AO3024" i="1"/>
  <c r="AO48" i="1"/>
  <c r="AO3420" i="1"/>
  <c r="AO3663" i="1"/>
  <c r="AO2089" i="1"/>
  <c r="AO1905" i="1"/>
  <c r="AO4273" i="1"/>
  <c r="AO2900" i="1"/>
  <c r="AO3634" i="1"/>
  <c r="AO1687" i="1"/>
  <c r="AO2926" i="1"/>
  <c r="AO886" i="1"/>
  <c r="AO1252" i="1"/>
  <c r="AO1722" i="1"/>
  <c r="AO2225" i="1"/>
  <c r="AO3075" i="1"/>
  <c r="AO3364" i="1"/>
  <c r="AO3370" i="1"/>
  <c r="AO753" i="1"/>
  <c r="AO1163" i="1"/>
  <c r="AO3751" i="1"/>
  <c r="AO2508" i="1"/>
  <c r="AO3711" i="1"/>
  <c r="AO4050" i="1"/>
  <c r="AO318" i="1"/>
  <c r="AO844" i="1"/>
  <c r="AO1322" i="1"/>
  <c r="AO4210" i="1"/>
  <c r="AO1693" i="1"/>
  <c r="AO2955" i="1"/>
  <c r="AO1732" i="1"/>
  <c r="AO1829" i="1"/>
  <c r="AO2981" i="1"/>
  <c r="AO2896" i="1"/>
  <c r="AO2140" i="1"/>
  <c r="AO1619" i="1"/>
  <c r="AO3778" i="1"/>
  <c r="AO4168" i="1"/>
  <c r="AO2752" i="1"/>
  <c r="AO2227" i="1"/>
  <c r="AO3935" i="1"/>
  <c r="AO3999" i="1"/>
  <c r="AO3796" i="1"/>
  <c r="AO3535" i="1"/>
  <c r="AO1627" i="1"/>
  <c r="AO2853" i="1"/>
  <c r="AO3769" i="1"/>
  <c r="AO1462" i="1"/>
  <c r="AO2073" i="1"/>
  <c r="AO3491" i="1"/>
  <c r="AO4252" i="1"/>
  <c r="AO3577" i="1"/>
  <c r="AO3521" i="1"/>
  <c r="AO3030" i="1"/>
  <c r="AO4237" i="1"/>
  <c r="AO1855" i="1"/>
  <c r="AO4067" i="1"/>
  <c r="AO2410" i="1"/>
  <c r="AO1937" i="1"/>
  <c r="AO141" i="1"/>
  <c r="AO2803" i="1"/>
  <c r="AO2161" i="1"/>
  <c r="AO2495" i="1"/>
  <c r="AO2800" i="1"/>
  <c r="AO324" i="1"/>
  <c r="AO14" i="1"/>
  <c r="AO3175" i="1"/>
  <c r="AO3848" i="1"/>
  <c r="AO2072" i="1"/>
  <c r="AO4206" i="1"/>
  <c r="AO206" i="1"/>
  <c r="AO4326" i="1"/>
  <c r="AO3037" i="1"/>
  <c r="AO1265" i="1"/>
  <c r="AO3628" i="1"/>
  <c r="AO2384" i="1"/>
  <c r="AO3866" i="1"/>
  <c r="AO2905" i="1"/>
  <c r="AO2268" i="1"/>
  <c r="AO3210" i="1"/>
  <c r="AO3981" i="1"/>
  <c r="AO3044" i="1"/>
  <c r="AO2119" i="1"/>
  <c r="AO3116" i="1"/>
  <c r="AO3337" i="1"/>
  <c r="AO1755" i="1"/>
  <c r="AO3856" i="1"/>
  <c r="AO3686" i="1"/>
  <c r="AO1729" i="1"/>
  <c r="AO3179" i="1"/>
  <c r="AO3447" i="1"/>
  <c r="AO3423" i="1"/>
  <c r="AO3605" i="1"/>
  <c r="AO3623" i="1"/>
  <c r="AO1453" i="1"/>
  <c r="AO3722" i="1"/>
  <c r="AO3254" i="1"/>
  <c r="AO3767" i="1"/>
  <c r="AO1878" i="1"/>
  <c r="AO3990" i="1"/>
  <c r="AO1375" i="1"/>
  <c r="AO2017" i="1"/>
  <c r="AO3864" i="1"/>
  <c r="AO3934" i="1"/>
  <c r="AO3215" i="1"/>
  <c r="AO2238" i="1"/>
  <c r="AO2925" i="1"/>
  <c r="AO3336" i="1"/>
  <c r="AO1701" i="1"/>
  <c r="AO2717" i="1"/>
  <c r="AO4295" i="1"/>
  <c r="AO2629" i="1"/>
  <c r="AO321" i="1"/>
  <c r="AO3076" i="1"/>
  <c r="AO2746" i="1"/>
  <c r="AO2068" i="1"/>
  <c r="AO4323" i="1"/>
  <c r="AO3232" i="1"/>
  <c r="AO3738" i="1"/>
  <c r="AO2777" i="1"/>
  <c r="AO2118" i="1"/>
  <c r="AO3984" i="1"/>
  <c r="AO1873" i="1"/>
  <c r="AO2819" i="1"/>
  <c r="AO1738" i="1"/>
  <c r="AO3502" i="1"/>
  <c r="AO1691" i="1"/>
  <c r="AO3792" i="1"/>
  <c r="AO3894" i="1"/>
  <c r="AO3813" i="1"/>
  <c r="AO1275" i="1"/>
  <c r="AO3619" i="1"/>
  <c r="AO2806" i="1"/>
  <c r="AO4000" i="1"/>
  <c r="AO2719" i="1"/>
  <c r="AO3574" i="1"/>
  <c r="AO3114" i="1"/>
  <c r="AO184" i="1"/>
  <c r="AO2621" i="1"/>
  <c r="AO2930" i="1"/>
  <c r="AO4150" i="1"/>
  <c r="AO3609" i="1"/>
  <c r="AO1354" i="1"/>
  <c r="AO473" i="1"/>
  <c r="AO1597" i="1"/>
  <c r="AO3128" i="1"/>
  <c r="AO623" i="1"/>
  <c r="AO2550" i="1"/>
  <c r="AO3630" i="1"/>
  <c r="AO3550" i="1"/>
  <c r="AO3933" i="1"/>
  <c r="AO808" i="1"/>
  <c r="AO3497" i="1"/>
  <c r="AO3744" i="1"/>
  <c r="AO3983" i="1"/>
  <c r="AO4164" i="1"/>
  <c r="AO2609" i="1"/>
  <c r="AO3146" i="1"/>
  <c r="AO2301" i="1"/>
  <c r="AO3648" i="1"/>
  <c r="AO1232" i="1"/>
  <c r="AO3944" i="1"/>
  <c r="AO1487" i="1"/>
  <c r="AO3317" i="1"/>
  <c r="AO3299" i="1"/>
  <c r="AO3481" i="1"/>
  <c r="AO3451" i="1"/>
  <c r="AO3714" i="1"/>
  <c r="AO1481" i="1"/>
  <c r="AO447" i="1"/>
  <c r="AO3881" i="1"/>
  <c r="AO3903" i="1"/>
  <c r="AO2859" i="1"/>
  <c r="AO758" i="1"/>
  <c r="AO748" i="1"/>
  <c r="AO515" i="1"/>
  <c r="AO2340" i="1"/>
  <c r="AO4012" i="1"/>
  <c r="AO1598" i="1"/>
  <c r="AO4233" i="1"/>
  <c r="AO1717" i="1"/>
  <c r="AO4309" i="1"/>
  <c r="AO3230" i="1"/>
  <c r="AO1976" i="1"/>
  <c r="AO3963" i="1"/>
  <c r="AO3275" i="1"/>
  <c r="AO2616" i="1"/>
  <c r="AO3673" i="1"/>
  <c r="AO2313" i="1"/>
  <c r="AO1616" i="1"/>
  <c r="AO3308" i="1"/>
  <c r="AO3355" i="1"/>
  <c r="AO3629" i="1"/>
  <c r="AO2826" i="1"/>
  <c r="AO4158" i="1"/>
  <c r="AO2912" i="1"/>
  <c r="AO314" i="1"/>
  <c r="AO3892" i="1"/>
  <c r="AO153" i="1"/>
  <c r="AO4051" i="1"/>
  <c r="AO1411" i="1"/>
  <c r="AO3053" i="1"/>
  <c r="AO1407" i="1"/>
  <c r="AO1663" i="1"/>
  <c r="AO3951" i="1"/>
  <c r="AO3156" i="1"/>
  <c r="AO4240" i="1"/>
  <c r="AO79" i="1"/>
  <c r="AO3285" i="1"/>
  <c r="AO717" i="1"/>
  <c r="AO2849" i="1"/>
  <c r="AO4087" i="1"/>
  <c r="AO3018" i="1"/>
  <c r="AO4094" i="1"/>
  <c r="AO3654" i="1"/>
  <c r="AO3731" i="1"/>
  <c r="AO1745" i="1"/>
  <c r="AO2375" i="1"/>
  <c r="AO1698" i="1"/>
  <c r="AO2529" i="1"/>
  <c r="AO3876" i="1"/>
  <c r="AO2451" i="1"/>
  <c r="AO3494" i="1"/>
  <c r="AO2694" i="1"/>
  <c r="AO3970" i="1"/>
  <c r="AO1269" i="1"/>
  <c r="AO2121" i="1"/>
  <c r="AO2598" i="1"/>
  <c r="AO1625" i="1"/>
  <c r="AO3949" i="1"/>
  <c r="AO2929" i="1"/>
  <c r="AO2371" i="1"/>
  <c r="AO4320" i="1"/>
  <c r="AO3831" i="1"/>
  <c r="AO3388" i="1"/>
  <c r="AO2939" i="1"/>
  <c r="AO102" i="1"/>
  <c r="AO2239" i="1"/>
  <c r="AO4305" i="1"/>
  <c r="AO2935" i="1"/>
  <c r="AO1017" i="1"/>
  <c r="AO3326" i="1"/>
  <c r="AO1000" i="1"/>
  <c r="AO2899" i="1"/>
  <c r="AO3468" i="1"/>
  <c r="AO1563" i="1"/>
  <c r="AO1494" i="1"/>
  <c r="AO2276" i="1"/>
  <c r="AO3148" i="1"/>
  <c r="AO3485" i="1"/>
  <c r="AO1789" i="1"/>
  <c r="AO3318" i="1"/>
  <c r="AO3743" i="1"/>
  <c r="AO2472" i="1"/>
  <c r="AO1816" i="1"/>
  <c r="AO1995" i="1"/>
  <c r="AO3586" i="1"/>
  <c r="AO3755" i="1"/>
  <c r="AO4267" i="1"/>
  <c r="AO22" i="1"/>
  <c r="AO3234" i="1"/>
  <c r="AO2500" i="1"/>
  <c r="AO347" i="1"/>
  <c r="AO2611" i="1"/>
  <c r="AO3716" i="1"/>
  <c r="AO4105" i="1"/>
  <c r="AO1875" i="1"/>
  <c r="AO303" i="1"/>
  <c r="AO4082" i="1"/>
  <c r="AO1493" i="1"/>
  <c r="AO3399" i="1"/>
  <c r="AO1783" i="1"/>
  <c r="AO3531" i="1"/>
  <c r="AO2710" i="1"/>
  <c r="AO3966" i="1"/>
  <c r="AO2144" i="1"/>
  <c r="AO2303" i="1"/>
  <c r="AO3411" i="1"/>
  <c r="AO2623" i="1"/>
  <c r="AO1973" i="1"/>
  <c r="AO2974" i="1"/>
  <c r="AO2995" i="1"/>
  <c r="AO3067" i="1"/>
  <c r="AO391" i="1"/>
  <c r="AO4332" i="1"/>
  <c r="AO1537" i="1"/>
  <c r="AO190" i="1"/>
  <c r="AO530" i="1"/>
  <c r="AO761" i="1"/>
  <c r="AO1368" i="1"/>
  <c r="AO3425" i="1"/>
  <c r="AO2189" i="1"/>
  <c r="AO210" i="1"/>
  <c r="AO3144" i="1"/>
  <c r="AO839" i="1"/>
  <c r="AO2406" i="1"/>
  <c r="AO2097" i="1"/>
  <c r="AO2267" i="1"/>
  <c r="AO1400" i="1"/>
  <c r="AO2167" i="1"/>
  <c r="AO3278" i="1"/>
  <c r="AO1649" i="1"/>
  <c r="AO3052" i="1"/>
  <c r="AO3791" i="1"/>
  <c r="AO3809" i="1"/>
  <c r="AO439" i="1"/>
  <c r="AO3887" i="1"/>
  <c r="AO2779" i="1"/>
  <c r="AO2967" i="1"/>
  <c r="AO2254" i="1"/>
  <c r="AO4274" i="1"/>
  <c r="AO2411" i="1"/>
  <c r="AO3621" i="1"/>
  <c r="AO3206" i="1"/>
  <c r="AO4112" i="1"/>
  <c r="AO3962" i="1"/>
  <c r="AO3853" i="1"/>
  <c r="AO3821" i="1"/>
  <c r="AO3847" i="1"/>
  <c r="AO3350" i="1"/>
  <c r="AO3135" i="1"/>
  <c r="AO3252" i="1"/>
  <c r="AO402" i="1"/>
  <c r="AO2426" i="1"/>
  <c r="AO3192" i="1"/>
  <c r="AO3287" i="1"/>
  <c r="AO3926" i="1"/>
  <c r="AO1703" i="1"/>
  <c r="AO1082" i="1"/>
  <c r="AO2330" i="1"/>
  <c r="AO2869" i="1"/>
  <c r="AO3814" i="1"/>
  <c r="AO3431" i="1"/>
  <c r="AO2020" i="1"/>
  <c r="AO3443" i="1"/>
  <c r="AO946" i="1"/>
  <c r="AO3611" i="1"/>
  <c r="AO3783" i="1"/>
  <c r="AO3247" i="1"/>
  <c r="AO3658" i="1"/>
  <c r="AO3832" i="1"/>
  <c r="AO3049" i="1"/>
  <c r="AO3996" i="1"/>
  <c r="AO387" i="1"/>
  <c r="AO3011" i="1"/>
  <c r="AO1901" i="1"/>
  <c r="AO1943" i="1"/>
  <c r="AO3953" i="1"/>
  <c r="AO4049" i="1"/>
  <c r="AO2220" i="1"/>
  <c r="AO366" i="1"/>
  <c r="AO2474" i="1"/>
  <c r="AO2056" i="1"/>
  <c r="AO2524" i="1"/>
  <c r="AO736" i="1"/>
  <c r="AO2279" i="1"/>
  <c r="AO3373" i="1"/>
  <c r="AO3986" i="1"/>
  <c r="AO3685" i="1"/>
  <c r="AO728" i="1"/>
  <c r="AO1108" i="1"/>
  <c r="AO3528" i="1"/>
  <c r="AO10" i="1"/>
  <c r="AO3141" i="1"/>
  <c r="AO3869" i="1"/>
  <c r="AO4008" i="1"/>
  <c r="AO1305" i="1"/>
  <c r="AO3417" i="1"/>
  <c r="AO261" i="1"/>
  <c r="AO4064" i="1"/>
  <c r="AO2972" i="1"/>
  <c r="AO2538" i="1"/>
  <c r="AO3104" i="1"/>
  <c r="AO2298" i="1"/>
  <c r="AO3000" i="1"/>
  <c r="AO3259" i="1"/>
  <c r="AO4152" i="1"/>
  <c r="AO833" i="1"/>
  <c r="AO1554" i="1"/>
  <c r="AO3720" i="1"/>
  <c r="AO2586" i="1"/>
  <c r="AO1472" i="1"/>
  <c r="AO2528" i="1"/>
  <c r="AO3069" i="1"/>
  <c r="AO27" i="1"/>
  <c r="AO3959" i="1"/>
  <c r="AO4331" i="1"/>
  <c r="AO191" i="1"/>
  <c r="AO1524" i="1"/>
  <c r="AO4308" i="1"/>
  <c r="AO3754" i="1"/>
  <c r="AO690" i="1"/>
  <c r="AO4023" i="1"/>
  <c r="AO420" i="1"/>
  <c r="AO2030" i="1"/>
  <c r="AO2067" i="1"/>
  <c r="AO3789" i="1"/>
  <c r="AO3222" i="1"/>
  <c r="AO2253" i="1"/>
  <c r="AO2579" i="1"/>
  <c r="AO1910" i="1"/>
  <c r="AO2856" i="1"/>
  <c r="AO2037" i="1"/>
  <c r="AO3923" i="1"/>
  <c r="AO1480" i="1"/>
  <c r="AO3068" i="1"/>
  <c r="AO2790" i="1"/>
  <c r="AO3479" i="1"/>
  <c r="AO4258" i="1"/>
  <c r="AO52" i="1"/>
  <c r="AO1808" i="1"/>
  <c r="AO2768" i="1"/>
  <c r="AO1710" i="1"/>
  <c r="AO114" i="1"/>
  <c r="AO1421" i="1"/>
  <c r="AO2327" i="1"/>
  <c r="AO3086" i="1"/>
  <c r="AO3113" i="1"/>
  <c r="AO4243" i="1"/>
  <c r="AO2898" i="1"/>
  <c r="AO1624" i="1"/>
  <c r="AO2722" i="1"/>
  <c r="AO330" i="1"/>
  <c r="AO727" i="1"/>
  <c r="AO2742" i="1"/>
  <c r="AO3888" i="1"/>
  <c r="AO2323" i="1"/>
  <c r="AO2880" i="1"/>
  <c r="AO2289" i="1"/>
  <c r="AO4246" i="1"/>
  <c r="AO3564" i="1"/>
  <c r="AO4047" i="1"/>
  <c r="AO1767" i="1"/>
  <c r="AO2757" i="1"/>
  <c r="AO1633" i="1"/>
  <c r="AO3785" i="1"/>
  <c r="AO1941" i="1"/>
  <c r="AO2302" i="1"/>
  <c r="AO1758" i="1"/>
  <c r="AO3910" i="1"/>
  <c r="AO3603" i="1"/>
  <c r="AO2907" i="1"/>
  <c r="AO2331" i="1"/>
  <c r="AO1846" i="1"/>
  <c r="AO1660" i="1"/>
  <c r="AO2697" i="1"/>
  <c r="AO3297" i="1"/>
  <c r="AO3905" i="1"/>
  <c r="AO3988" i="1"/>
  <c r="AO3932" i="1"/>
  <c r="AO4089" i="1"/>
  <c r="AO3246" i="1"/>
  <c r="AO3473" i="1"/>
  <c r="AO3670" i="1"/>
  <c r="AO2136" i="1"/>
  <c r="AO2311" i="1"/>
  <c r="AO353" i="1"/>
  <c r="AO411" i="1"/>
  <c r="AO3568" i="1"/>
  <c r="AO3293" i="1"/>
  <c r="AO3405" i="1"/>
  <c r="AO3695" i="1"/>
  <c r="AO971" i="1"/>
  <c r="AO2845" i="1"/>
  <c r="AO3170" i="1"/>
  <c r="AO4302" i="1"/>
  <c r="AO4139" i="1"/>
  <c r="AO2945" i="1"/>
  <c r="AO3584" i="1"/>
  <c r="AO4278" i="1"/>
  <c r="AO1332" i="1"/>
  <c r="AO3038" i="1"/>
  <c r="AO3277" i="1"/>
  <c r="AO3736" i="1"/>
  <c r="AO3023" i="1"/>
  <c r="AO1312" i="1"/>
  <c r="AO2993" i="1"/>
  <c r="AO2876" i="1"/>
  <c r="AO3534" i="1"/>
  <c r="AO2982" i="1"/>
  <c r="AO1857" i="1"/>
  <c r="AO1347" i="1"/>
  <c r="AO2338" i="1"/>
  <c r="AO2656" i="1"/>
  <c r="AO3552" i="1"/>
  <c r="AO3163" i="1"/>
  <c r="AO3281" i="1"/>
  <c r="AO2184" i="1"/>
  <c r="AO2004" i="1"/>
  <c r="AO3509" i="1"/>
  <c r="AO766" i="1"/>
  <c r="AO1515" i="1"/>
  <c r="AO2222" i="1"/>
  <c r="AO2554" i="1"/>
  <c r="AO3662" i="1"/>
  <c r="AO3406" i="1"/>
  <c r="AO417" i="1"/>
  <c r="AO1724" i="1"/>
  <c r="AO4056" i="1"/>
  <c r="AO2864" i="1"/>
  <c r="AO1646" i="1"/>
  <c r="AO4289" i="1"/>
  <c r="AO3859" i="1"/>
  <c r="AO3171" i="1"/>
  <c r="AO13" i="1"/>
  <c r="AO3838" i="1"/>
  <c r="AO2551" i="1"/>
  <c r="AO3400" i="1"/>
  <c r="AO3806" i="1"/>
  <c r="AO3692" i="1"/>
  <c r="AO3798" i="1"/>
  <c r="AO4009" i="1"/>
  <c r="AO2852" i="1"/>
  <c r="AO3972" i="1"/>
  <c r="AO3204" i="1"/>
  <c r="AO3072" i="1"/>
  <c r="AO3547" i="1"/>
  <c r="AO2337" i="1"/>
  <c r="AO3090" i="1"/>
  <c r="AO3224" i="1"/>
  <c r="AO2403" i="1"/>
  <c r="AO3454" i="1"/>
  <c r="AO3601" i="1"/>
  <c r="AO689" i="1"/>
  <c r="AO1977" i="1"/>
  <c r="AO2921" i="1"/>
  <c r="AO1314" i="1"/>
  <c r="AO2971" i="1"/>
  <c r="AO3325" i="1"/>
  <c r="AO3681" i="1"/>
  <c r="AO4096" i="1"/>
  <c r="AO2888" i="1"/>
  <c r="AO2792" i="1"/>
  <c r="AO3985" i="1"/>
  <c r="AO145" i="1"/>
  <c r="AO3979" i="1"/>
  <c r="AO4282" i="1"/>
  <c r="AO658" i="1"/>
  <c r="AO3453" i="1"/>
  <c r="AO2137" i="1"/>
  <c r="AO902" i="1"/>
  <c r="AO3123" i="1"/>
  <c r="AO4195" i="1"/>
  <c r="AO4221" i="1"/>
  <c r="AO1401" i="1"/>
  <c r="AO1283" i="1"/>
  <c r="AO3306" i="1"/>
  <c r="AO3512" i="1"/>
  <c r="AO413" i="1"/>
  <c r="AO2997" i="1"/>
  <c r="AO3995" i="1"/>
  <c r="AO2179" i="1"/>
  <c r="AO3891" i="1"/>
  <c r="AO3328" i="1"/>
  <c r="AO3593" i="1"/>
  <c r="AO3914" i="1"/>
  <c r="AO2242" i="1"/>
  <c r="AO3349" i="1"/>
  <c r="AO4225" i="1"/>
  <c r="AO2493" i="1"/>
  <c r="AO3391" i="1"/>
  <c r="AO3006" i="1"/>
  <c r="AO3846" i="1"/>
  <c r="AO3788" i="1"/>
  <c r="AO3675" i="1"/>
  <c r="AO4259" i="1"/>
  <c r="AO4130" i="1"/>
  <c r="AO3091" i="1"/>
  <c r="AO2221" i="1"/>
  <c r="AO87" i="1"/>
  <c r="AO1676" i="1"/>
  <c r="AO4322" i="1"/>
  <c r="AO3164" i="1"/>
  <c r="AO3940" i="1"/>
  <c r="AO459" i="1"/>
  <c r="AO2815" i="1"/>
  <c r="AO522" i="1"/>
  <c r="AO3315" i="1"/>
  <c r="AO1528" i="1"/>
  <c r="AO2418" i="1"/>
  <c r="AO3812" i="1"/>
  <c r="AO2676" i="1"/>
  <c r="AO3198" i="1"/>
  <c r="AO3363" i="1"/>
  <c r="AO4172" i="1"/>
  <c r="AO811" i="1"/>
  <c r="AO890" i="1"/>
  <c r="AO1586" i="1"/>
  <c r="AO2652" i="1"/>
  <c r="AO3819" i="1"/>
  <c r="AO2453" i="1"/>
  <c r="AO2835" i="1"/>
  <c r="AO3518" i="1"/>
  <c r="AO4294" i="1"/>
  <c r="AO3915" i="1"/>
  <c r="AO3223" i="1"/>
  <c r="AO2103" i="1"/>
  <c r="AO1743" i="1"/>
  <c r="AO1992" i="1"/>
  <c r="AO2885" i="1"/>
  <c r="AO3975" i="1"/>
  <c r="AO4086" i="1"/>
  <c r="AO1839" i="1"/>
  <c r="AO1228" i="1"/>
  <c r="AO2441" i="1"/>
  <c r="AO1991" i="1"/>
  <c r="AO2077" i="1"/>
  <c r="AO2767" i="1"/>
  <c r="AO1869" i="1"/>
  <c r="AO1216" i="1"/>
  <c r="AO2771" i="1"/>
  <c r="AO445" i="1"/>
  <c r="AO4266" i="1"/>
  <c r="AO1455" i="1"/>
  <c r="AO2469" i="1"/>
  <c r="AO3488" i="1"/>
  <c r="AO3958" i="1"/>
  <c r="AO2383" i="1"/>
  <c r="AO3430" i="1"/>
  <c r="AO2812" i="1"/>
  <c r="AO3498" i="1"/>
  <c r="AO4270" i="1"/>
  <c r="AO2644" i="1"/>
  <c r="AO3511" i="1"/>
  <c r="AO2422" i="1"/>
  <c r="AO3401" i="1"/>
  <c r="AO2480" i="1"/>
  <c r="AO4058" i="1"/>
  <c r="AO3659" i="1"/>
  <c r="AO3536" i="1"/>
  <c r="AO2910" i="1"/>
  <c r="AO2994" i="1"/>
  <c r="AO3120" i="1"/>
  <c r="AO3138" i="1"/>
  <c r="AO2934" i="1"/>
  <c r="AO3065" i="1"/>
  <c r="AO1388" i="1"/>
  <c r="AO3701" i="1"/>
  <c r="AO1235" i="1"/>
  <c r="AO354" i="1"/>
  <c r="AO365" i="1"/>
  <c r="AO2987" i="1"/>
  <c r="AO3389" i="1"/>
  <c r="AO3060" i="1"/>
  <c r="AO2894" i="1"/>
  <c r="AO4021" i="1"/>
  <c r="AO250" i="1"/>
  <c r="AN2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2" i="1"/>
  <c r="AU804" i="1" a="1"/>
  <c r="AU141" i="1" a="1"/>
  <c r="AU747" i="1" a="1"/>
  <c r="AU809" i="1" a="1"/>
  <c r="AU944" i="1" a="1"/>
  <c r="AU811" i="1" a="1"/>
  <c r="AU766" i="1" a="1"/>
  <c r="AU466" i="1" a="1"/>
  <c r="AU867" i="1" a="1"/>
  <c r="AU676" i="1" a="1"/>
  <c r="AU946" i="1" a="1"/>
  <c r="AU837" i="1" a="1"/>
  <c r="AU391" i="1" a="1"/>
  <c r="AU355" i="1" a="1"/>
  <c r="AU514" i="1" a="1"/>
  <c r="AU184" i="1" a="1"/>
  <c r="AU420" i="1" a="1"/>
  <c r="AU22" i="1" a="1"/>
  <c r="AU280" i="1" a="1"/>
  <c r="AU605" i="1" a="1"/>
  <c r="AU832" i="1" a="1"/>
  <c r="AU318" i="1" a="1"/>
  <c r="AU34" i="1" a="1"/>
  <c r="AU385" i="1" a="1"/>
  <c r="AU687" i="1" a="1"/>
  <c r="AU353" i="1" a="1"/>
  <c r="AU653" i="1" a="1"/>
  <c r="AU808" i="1" a="1"/>
  <c r="AU108" i="1" a="1"/>
  <c r="AU314" i="1" a="1"/>
  <c r="AU210" i="1" a="1"/>
  <c r="AU546" i="1" a="1"/>
  <c r="AU851" i="1" a="1"/>
  <c r="AU505" i="1" a="1"/>
  <c r="AU755" i="1" a="1"/>
  <c r="AU387" i="1" a="1"/>
  <c r="AU678" i="1" a="1"/>
  <c r="AU448" i="1" a="1"/>
  <c r="AU145" i="1" a="1"/>
  <c r="AU782" i="1" a="1"/>
  <c r="AU402" i="1" a="1"/>
  <c r="AU458" i="1" a="1"/>
  <c r="AU625" i="1" a="1"/>
  <c r="AU890" i="1" a="1"/>
  <c r="AU445" i="1" a="1"/>
  <c r="AU163" i="1" a="1"/>
  <c r="AU902" i="1" a="1"/>
  <c r="AU736" i="1" a="1"/>
  <c r="AU447" i="1" a="1"/>
  <c r="AU307" i="1" a="1"/>
  <c r="AU411" i="1" a="1"/>
  <c r="AU570" i="1" a="1"/>
  <c r="AU527" i="1" a="1"/>
  <c r="AU758" i="1" a="1"/>
  <c r="AU102" i="1" a="1"/>
  <c r="AU390" i="1" a="1"/>
  <c r="AU190" i="1" a="1"/>
  <c r="AU414" i="1" a="1"/>
  <c r="AU114" i="1" a="1"/>
  <c r="AU191" i="1" a="1"/>
  <c r="AU917" i="1" a="1"/>
  <c r="AU410" i="1" a="1"/>
  <c r="AU886" i="1" a="1"/>
  <c r="AU460" i="1" a="1"/>
  <c r="AU13" i="1" a="1"/>
  <c r="AU366" i="1" a="1"/>
  <c r="AU413" i="1" a="1"/>
  <c r="AU303" i="1" a="1"/>
  <c r="AU87" i="1" a="1"/>
  <c r="AU330" i="1" a="1"/>
  <c r="AU561" i="1" a="1"/>
  <c r="AU800" i="1" a="1"/>
  <c r="AU429" i="1" a="1"/>
  <c r="AU740" i="1" a="1"/>
  <c r="AU727" i="1" a="1"/>
  <c r="AU748" i="1" a="1"/>
  <c r="AU650" i="1" a="1"/>
  <c r="AU459" i="1" a="1"/>
  <c r="AU943" i="1" a="1"/>
  <c r="AU689" i="1" a="1"/>
  <c r="AU324" i="1" a="1"/>
  <c r="AU250" i="1" a="1"/>
  <c r="AU728" i="1" a="1"/>
  <c r="AU406" i="1" a="1"/>
  <c r="AU473" i="1" a="1"/>
  <c r="AU535" i="1" a="1"/>
  <c r="AU780" i="1" a="1"/>
  <c r="AU812" i="1" a="1"/>
  <c r="AU417" i="1" a="1"/>
  <c r="AU916" i="1" a="1"/>
  <c r="AU903" i="1" a="1"/>
  <c r="AU753" i="1" a="1"/>
  <c r="AU515" i="1" a="1"/>
  <c r="AU844" i="1" a="1"/>
  <c r="AU530" i="1" a="1"/>
  <c r="AU846" i="1" a="1"/>
  <c r="AU667" i="1" a="1"/>
  <c r="AU825" i="1" a="1"/>
  <c r="AU79" i="1" a="1"/>
  <c r="AU833" i="1" a="1"/>
  <c r="AU354" i="1" a="1"/>
  <c r="AU206" i="1" a="1"/>
  <c r="AU735" i="1" a="1"/>
  <c r="AU446" i="1" a="1"/>
  <c r="AU522" i="1" a="1"/>
  <c r="AU439" i="1" a="1"/>
  <c r="AU707" i="1" a="1"/>
  <c r="AU892" i="1" a="1"/>
  <c r="AU321" i="1" a="1"/>
  <c r="AU52" i="1" a="1"/>
  <c r="AU827" i="1" a="1"/>
  <c r="AU153" i="1" a="1"/>
  <c r="AU738" i="1" a="1"/>
  <c r="AU762" i="1" a="1"/>
  <c r="AU27" i="1" a="1"/>
  <c r="AU285" i="1" a="1"/>
  <c r="AU365" i="1" a="1"/>
  <c r="AU261" i="1" a="1"/>
  <c r="AU658" i="1" a="1"/>
  <c r="AU816" i="1" a="1"/>
  <c r="AU347" i="1" a="1"/>
  <c r="AU839" i="1" a="1"/>
  <c r="AU761" i="1" a="1"/>
  <c r="AU717" i="1" a="1"/>
  <c r="AU490" i="1" a="1"/>
  <c r="AU709" i="1" a="1"/>
  <c r="AU305" i="1" a="1"/>
  <c r="AU48" i="1" a="1"/>
  <c r="AU690" i="1" a="1"/>
  <c r="AU623" i="1" a="1"/>
  <c r="AU726" i="1" a="1"/>
  <c r="AU14" i="1" a="1"/>
  <c r="AU529" i="1" a="1"/>
  <c r="AU336" i="1" a="1"/>
  <c r="AU576" i="1" a="1"/>
  <c r="AU877" i="1" a="1"/>
  <c r="AU431" i="1" a="1"/>
  <c r="AU946" i="1" l="1"/>
  <c r="AU689" i="1"/>
  <c r="AU303" i="1"/>
  <c r="AU886" i="1"/>
  <c r="AU390" i="1"/>
  <c r="AU102" i="1"/>
  <c r="AU867" i="1"/>
  <c r="AU890" i="1"/>
  <c r="AU766" i="1"/>
  <c r="AU811" i="1"/>
  <c r="AU411" i="1"/>
  <c r="AU420" i="1"/>
  <c r="AU447" i="1"/>
  <c r="AU184" i="1"/>
  <c r="AU755" i="1"/>
  <c r="AU353" i="1"/>
  <c r="AU514" i="1"/>
  <c r="AU809" i="1"/>
  <c r="AU529" i="1"/>
  <c r="AU727" i="1"/>
  <c r="AU690" i="1"/>
  <c r="AU728" i="1"/>
  <c r="AU903" i="1"/>
  <c r="AU800" i="1"/>
  <c r="AU916" i="1"/>
  <c r="AU250" i="1"/>
  <c r="AU330" i="1"/>
  <c r="AU839" i="1"/>
  <c r="AU347" i="1"/>
  <c r="AU153" i="1"/>
  <c r="AU206" i="1"/>
  <c r="AU846" i="1"/>
  <c r="AU812" i="1"/>
  <c r="AU943" i="1"/>
  <c r="AU413" i="1"/>
  <c r="AU210" i="1"/>
  <c r="AU314" i="1"/>
  <c r="AU832" i="1"/>
  <c r="AU445" i="1"/>
  <c r="AU191" i="1"/>
  <c r="AU22" i="1"/>
  <c r="AU576" i="1"/>
  <c r="AU336" i="1"/>
  <c r="AU944" i="1"/>
  <c r="AU736" i="1"/>
  <c r="AU402" i="1"/>
  <c r="AU505" i="1"/>
  <c r="AU687" i="1"/>
  <c r="AU355" i="1"/>
  <c r="AU747" i="1"/>
  <c r="AU14" i="1"/>
  <c r="AU48" i="1"/>
  <c r="AU740" i="1"/>
  <c r="AU429" i="1"/>
  <c r="AU365" i="1"/>
  <c r="AU522" i="1"/>
  <c r="AU27" i="1"/>
  <c r="AU761" i="1"/>
  <c r="AU324" i="1"/>
  <c r="AU667" i="1"/>
  <c r="AU816" i="1"/>
  <c r="AU827" i="1"/>
  <c r="AU354" i="1"/>
  <c r="AU530" i="1"/>
  <c r="AU780" i="1"/>
  <c r="AU459" i="1"/>
  <c r="AU366" i="1"/>
  <c r="AU190" i="1"/>
  <c r="AU431" i="1"/>
  <c r="AU877" i="1"/>
  <c r="AU605" i="1"/>
  <c r="AU466" i="1"/>
  <c r="AU114" i="1"/>
  <c r="AU625" i="1"/>
  <c r="AU653" i="1"/>
  <c r="AU458" i="1"/>
  <c r="AU902" i="1"/>
  <c r="AU782" i="1"/>
  <c r="AU851" i="1"/>
  <c r="AU385" i="1"/>
  <c r="AU391" i="1"/>
  <c r="AU141" i="1"/>
  <c r="AU726" i="1"/>
  <c r="AU892" i="1"/>
  <c r="AU406" i="1"/>
  <c r="AU305" i="1"/>
  <c r="AU490" i="1"/>
  <c r="AU285" i="1"/>
  <c r="AU709" i="1"/>
  <c r="AU561" i="1"/>
  <c r="AU735" i="1"/>
  <c r="AU87" i="1"/>
  <c r="AU658" i="1"/>
  <c r="AU52" i="1"/>
  <c r="AU833" i="1"/>
  <c r="AU844" i="1"/>
  <c r="AU535" i="1"/>
  <c r="AU650" i="1"/>
  <c r="AU13" i="1"/>
  <c r="AU318" i="1"/>
  <c r="AU676" i="1"/>
  <c r="AU108" i="1"/>
  <c r="AU678" i="1"/>
  <c r="AU527" i="1"/>
  <c r="AU387" i="1"/>
  <c r="AU808" i="1"/>
  <c r="AU307" i="1"/>
  <c r="AU414" i="1"/>
  <c r="AU163" i="1"/>
  <c r="AU145" i="1"/>
  <c r="AU546" i="1"/>
  <c r="AU34" i="1"/>
  <c r="AU837" i="1"/>
  <c r="AU804" i="1"/>
  <c r="AU623" i="1"/>
  <c r="AU753" i="1"/>
  <c r="AU825" i="1"/>
  <c r="AU707" i="1"/>
  <c r="AU439" i="1"/>
  <c r="AU717" i="1"/>
  <c r="AU446" i="1"/>
  <c r="AU762" i="1"/>
  <c r="AU738" i="1"/>
  <c r="AU417" i="1"/>
  <c r="AU261" i="1"/>
  <c r="AU321" i="1"/>
  <c r="AU79" i="1"/>
  <c r="AU515" i="1"/>
  <c r="AU473" i="1"/>
  <c r="AU748" i="1"/>
  <c r="AU460" i="1"/>
  <c r="AU410" i="1"/>
  <c r="AU448" i="1"/>
  <c r="AU917" i="1"/>
  <c r="AU758" i="1"/>
  <c r="AU280" i="1"/>
  <c r="AU570" i="1"/>
  <c r="B2894" i="1"/>
  <c r="AR3432" i="1" l="1"/>
  <c r="AR3803" i="1" l="1"/>
  <c r="AR3519" i="1" l="1"/>
  <c r="AR3458" i="1" l="1"/>
  <c r="AR3658" i="1" l="1"/>
  <c r="AR3903" i="1" l="1"/>
  <c r="AR3587" i="1" l="1"/>
  <c r="AR3853" i="1" l="1"/>
  <c r="AR3995" i="1" l="1"/>
  <c r="AR3401" i="1" l="1"/>
  <c r="AR3448" i="1" l="1"/>
  <c r="AR3782" i="1" l="1"/>
  <c r="AR3321" i="1" l="1"/>
  <c r="AR4241" i="1" l="1"/>
  <c r="AR3610" i="1" l="1"/>
  <c r="AR3940" i="1" l="1"/>
  <c r="AR3041" i="1" l="1"/>
  <c r="AR3568" i="1" l="1"/>
  <c r="AR4174" i="1" l="1"/>
  <c r="AR2939" i="1" l="1"/>
  <c r="AR4108" i="1" l="1"/>
  <c r="AR4266" i="1" l="1"/>
  <c r="AR4313" i="1" l="1"/>
  <c r="AR4325" i="1" l="1"/>
  <c r="AR2869" i="1" l="1"/>
  <c r="AR3827" i="1" l="1"/>
  <c r="AR4152" i="1" l="1"/>
  <c r="AR3729" i="1" l="1"/>
  <c r="AR4188" i="1" l="1"/>
  <c r="AR4158" i="1" l="1"/>
  <c r="AR3156" i="1" l="1"/>
  <c r="AR3938" i="1" l="1"/>
  <c r="AR3999" i="1" l="1"/>
  <c r="AR4243" i="1" l="1"/>
  <c r="AR3445" i="1" l="1"/>
  <c r="AR3784" i="1" l="1"/>
  <c r="AR3428" i="1" l="1"/>
  <c r="AR4287" i="1" l="1"/>
  <c r="AR3262" i="1" l="1"/>
  <c r="AR3244" i="1" l="1"/>
  <c r="AR4270" i="1" l="1"/>
  <c r="AR2004" i="1" l="1"/>
  <c r="AR1643" i="1" l="1"/>
  <c r="AR1125" i="1" l="1"/>
  <c r="AR2476" i="1" l="1"/>
  <c r="AR2411" i="1" l="1"/>
  <c r="AR2267" i="1" l="1"/>
  <c r="AR2220" i="1" l="1"/>
  <c r="AR1534" i="1" l="1"/>
  <c r="AR1467" i="1" l="1"/>
  <c r="AR1216" i="1" l="1"/>
  <c r="AR2097" i="1" l="1"/>
  <c r="AR1901" i="1" l="1"/>
  <c r="AR1878" i="1" l="1"/>
  <c r="AR2308" i="1" l="1"/>
  <c r="AR1795" i="1" l="1"/>
  <c r="AR3497" i="1" l="1"/>
  <c r="AR3895" i="1" l="1"/>
  <c r="AR4249" i="1" l="1"/>
  <c r="AR3369" i="1" l="1"/>
  <c r="AR4022" i="1" l="1"/>
  <c r="AR3837" i="1" l="1"/>
  <c r="AR3691" i="1" l="1"/>
  <c r="AR3556" i="1" l="1"/>
  <c r="AR2175" i="1" l="1"/>
  <c r="AR4130" i="1" l="1"/>
  <c r="AR2987" i="1" l="1"/>
  <c r="AR3060" i="1" l="1"/>
  <c r="AR2992" i="1" l="1"/>
  <c r="AR3701" i="1" l="1"/>
  <c r="AR3639" i="1" l="1"/>
  <c r="AR4312" i="1" l="1"/>
  <c r="AR3612" i="1" l="1"/>
  <c r="AR4124" i="1" l="1"/>
  <c r="AR3721" i="1" l="1"/>
  <c r="AR2893" i="1" l="1"/>
  <c r="AR3086" i="1" l="1"/>
  <c r="AR3601" i="1" l="1"/>
  <c r="AR3904" i="1" l="1"/>
  <c r="AR4112" i="1" l="1"/>
  <c r="AR3564" i="1" l="1"/>
  <c r="AR3574" i="1" l="1"/>
  <c r="AR3091" i="1" l="1"/>
  <c r="AR4183" i="1" l="1"/>
  <c r="AR3854" i="1" l="1"/>
  <c r="AR4127" i="1" l="1"/>
  <c r="AR2902" i="1" l="1"/>
  <c r="AR1776" i="1" l="1"/>
  <c r="AR2513" i="1" l="1"/>
  <c r="AR2745" i="1" l="1"/>
  <c r="AR1685" i="1" l="1"/>
  <c r="AR2402" i="1" l="1"/>
  <c r="AR2027" i="1" l="1"/>
  <c r="AR1857" i="1" l="1"/>
  <c r="AR2335" i="1" l="1"/>
  <c r="AR1770" i="1" l="1"/>
  <c r="AR1722" i="1" l="1"/>
  <c r="AR2067" i="1" l="1"/>
  <c r="AR2204" i="1" l="1"/>
  <c r="AR2708" i="1" l="1"/>
  <c r="AR2555" i="1" l="1"/>
  <c r="AR4093" i="1" l="1"/>
  <c r="AR2856" i="1" l="1"/>
  <c r="AR3813" i="1" l="1"/>
  <c r="AR3371" i="1" l="1"/>
  <c r="AR3179" i="1" l="1"/>
  <c r="AR4169" i="1" l="1"/>
  <c r="AR4235" i="1" l="1"/>
  <c r="AR3446" i="1" l="1"/>
  <c r="AR3988" i="1" l="1"/>
  <c r="AR3277" i="1" l="1"/>
  <c r="AR3825" i="1" l="1"/>
  <c r="AR3290" i="1" l="1"/>
  <c r="AR3695" i="1" l="1"/>
  <c r="AR3914" i="1" l="1"/>
  <c r="AR4154" i="1" l="1"/>
  <c r="AR2959" i="1" l="1"/>
  <c r="AR3114" i="1" l="1"/>
  <c r="AR3502" i="1" l="1"/>
  <c r="AR3798" i="1" l="1"/>
  <c r="AR3147" i="1" l="1"/>
  <c r="AR2783" i="1" l="1"/>
  <c r="AR3409" i="1" l="1"/>
  <c r="AR3955" i="1" l="1"/>
  <c r="AR3453" i="1" l="1"/>
  <c r="AR1941" i="1" l="1"/>
  <c r="AR1437" i="1" l="1"/>
  <c r="AR1269" i="1" l="1"/>
  <c r="AR1948" i="1" l="1"/>
  <c r="AR1699" i="1" l="1"/>
  <c r="AU1000" i="1" a="1"/>
  <c r="AU1000" i="1" l="1"/>
  <c r="AR1000" i="1" s="1"/>
  <c r="AR2265" i="1" l="1"/>
  <c r="AR1616" i="1" l="1"/>
  <c r="AR1726" i="1" l="1"/>
  <c r="AR2294" i="1" l="1"/>
  <c r="AR2495" i="1" l="1"/>
  <c r="AR2066" i="1" l="1"/>
  <c r="AR2681" i="1" l="1"/>
  <c r="AR1777" i="1" l="1"/>
  <c r="AR4310" i="1" l="1"/>
  <c r="AR1788" i="1" l="1"/>
  <c r="AR2933" i="1" l="1"/>
  <c r="AR2806" i="1" l="1"/>
  <c r="AR3303" i="1" l="1"/>
  <c r="AR4296" i="1" l="1"/>
  <c r="AR3314" i="1" l="1"/>
  <c r="AR3389" i="1" l="1"/>
  <c r="AR4056" i="1" l="1"/>
  <c r="AR2926" i="1" l="1"/>
  <c r="AR3352" i="1" l="1"/>
  <c r="AR4242" i="1" l="1"/>
  <c r="AR3254" i="1" l="1"/>
  <c r="AR4222" i="1" l="1"/>
  <c r="AR3308" i="1" l="1"/>
  <c r="AR3249" i="1" l="1"/>
  <c r="AR2817" i="1" l="1"/>
  <c r="AR3059" i="1" l="1"/>
  <c r="AR3700" i="1" l="1"/>
  <c r="AR3103" i="1" l="1"/>
  <c r="AR4103" i="1" l="1"/>
  <c r="AR4298" i="1" l="1"/>
  <c r="AR3364" i="1" l="1"/>
  <c r="AR3678" i="1" l="1"/>
  <c r="AR1805" i="1" l="1"/>
  <c r="AR2168" i="1" l="1"/>
  <c r="AR1855" i="1" l="1"/>
  <c r="AR2521" i="1" l="1"/>
  <c r="AR2550" i="1" l="1"/>
  <c r="AR1992" i="1" l="1"/>
  <c r="AR2734" i="1" l="1"/>
  <c r="AR2595" i="1" l="1"/>
  <c r="AR2358" i="1" l="1"/>
  <c r="AR1819" i="1" l="1"/>
  <c r="AR2684" i="1" l="1"/>
  <c r="AR1406" i="1" l="1"/>
  <c r="AR2320" i="1" l="1"/>
  <c r="AR1426" i="1" l="1"/>
  <c r="AR2780" i="1" l="1"/>
  <c r="AR3551" i="1" l="1"/>
  <c r="AR3793" i="1" l="1"/>
  <c r="AR2900" i="1" l="1"/>
  <c r="AR4314" i="1" l="1"/>
  <c r="AR4001" i="1" l="1"/>
  <c r="AR3089" i="1" l="1"/>
  <c r="AR3048" i="1" l="1"/>
  <c r="AR3202" i="1" l="1"/>
  <c r="AR3499" i="1" l="1"/>
  <c r="AR3916" i="1" l="1"/>
  <c r="AR4263" i="1" l="1"/>
  <c r="AR3697" i="1" l="1"/>
  <c r="AR3732" i="1" l="1"/>
  <c r="AR3298" i="1" l="1"/>
  <c r="AR3208" i="1" l="1"/>
  <c r="AR2967" i="1" l="1"/>
  <c r="AR4002" i="1" l="1"/>
  <c r="AR2970" i="1" l="1"/>
  <c r="AR3875" i="1" l="1"/>
  <c r="AR3615" i="1" l="1"/>
  <c r="AR3074" i="1" l="1"/>
  <c r="AR4067" i="1" l="1"/>
  <c r="AR4303" i="1" l="1"/>
  <c r="AR1758" i="1" l="1"/>
  <c r="AR1414" i="1" l="1"/>
  <c r="AR2332" i="1" l="1"/>
  <c r="AR2239" i="1" l="1"/>
  <c r="AR2504" i="1" l="1"/>
  <c r="AR1212" i="1" l="1"/>
  <c r="AR1896" i="1" l="1"/>
  <c r="AR2290" i="1" l="1"/>
  <c r="AR1652" i="1" l="1"/>
  <c r="AR2223" i="1" l="1"/>
  <c r="AR1895" i="1" l="1"/>
  <c r="AR2222" i="1" l="1"/>
  <c r="AR1693" i="1" l="1"/>
  <c r="AR2730" i="1" l="1"/>
  <c r="AR4055" i="1" l="1"/>
  <c r="AR2413" i="1" l="1"/>
  <c r="AR4195" i="1" l="1"/>
  <c r="AR3044" i="1" l="1"/>
  <c r="AR3566" i="1" l="1"/>
  <c r="AR3635" i="1" l="1"/>
  <c r="AR2995" i="1" l="1"/>
  <c r="AR3673" i="1" l="1"/>
  <c r="AR3005" i="1" l="1"/>
  <c r="AR3025" i="1" l="1"/>
  <c r="AR3514" i="1" l="1"/>
  <c r="AR4050" i="1" l="1"/>
  <c r="AR4069" i="1" l="1"/>
  <c r="AR3130" i="1" l="1"/>
  <c r="AR3462" i="1" l="1"/>
  <c r="AR2921" i="1" l="1"/>
  <c r="AR3619" i="1" l="1"/>
  <c r="AR3435" i="1" l="1"/>
  <c r="AR3338" i="1" l="1"/>
  <c r="AR3733" i="1" l="1"/>
  <c r="AR3767" i="1" l="1"/>
  <c r="AR3560" i="1" l="1"/>
  <c r="AR3714" i="1" l="1"/>
  <c r="AR3924" i="1" l="1"/>
  <c r="AR1845" i="1" l="1"/>
  <c r="AR1636" i="1" l="1"/>
  <c r="AR2134" i="1" l="1"/>
  <c r="AR2032" i="1" l="1"/>
  <c r="AR1751" i="1" l="1"/>
  <c r="AR1905" i="1" l="1"/>
  <c r="AR1676" i="1" l="1"/>
  <c r="AR1719" i="1" l="1"/>
  <c r="AR1601" i="1" l="1"/>
  <c r="AR1835" i="1" l="1"/>
  <c r="AR1070" i="1" l="1"/>
  <c r="AR2191" i="1" l="1"/>
  <c r="AR1549" i="1" l="1"/>
  <c r="AR1113" i="1" l="1"/>
  <c r="AR2966" i="1" l="1"/>
  <c r="AR1869" i="1" l="1"/>
  <c r="AR3053" i="1" l="1"/>
  <c r="AR3149" i="1" l="1"/>
  <c r="AR3772" i="1" l="1"/>
  <c r="AR2953" i="1" l="1"/>
  <c r="AR2896" i="1" l="1"/>
  <c r="AR3192" i="1" l="1"/>
  <c r="AR3158" i="1" l="1"/>
  <c r="AR3949" i="1" l="1"/>
  <c r="AR3490" i="1" l="1"/>
  <c r="AR3152" i="1" l="1"/>
  <c r="AR2792" i="1" l="1"/>
  <c r="AR3661" i="1" l="1"/>
  <c r="AR3504" i="1" l="1"/>
  <c r="AR2981" i="1" l="1"/>
  <c r="AR3744" i="1" l="1"/>
  <c r="AR4308" i="1" l="1"/>
  <c r="AR3478" i="1" l="1"/>
  <c r="AR3662" i="1" l="1"/>
  <c r="AR3532" i="1" l="1"/>
  <c r="AR3481" i="1" l="1"/>
  <c r="AR4259" i="1" l="1"/>
  <c r="AR3869" i="1" l="1"/>
  <c r="AR2448" i="1" l="1"/>
  <c r="AR2624" i="1" l="1"/>
  <c r="AR2096" i="1" l="1"/>
  <c r="AR1499" i="1" l="1"/>
  <c r="AR2212" i="1" l="1"/>
  <c r="AR2115" i="1" l="1"/>
  <c r="AR2302" i="1" l="1"/>
  <c r="AR1914" i="1" l="1"/>
  <c r="AR1554" i="1" l="1"/>
  <c r="AR2500" i="1" l="1"/>
  <c r="AR2081" i="1" l="1"/>
  <c r="AR1662" i="1" l="1"/>
  <c r="AR2180" i="1" l="1"/>
  <c r="AR1164" i="1" l="1"/>
  <c r="AR2759" i="1" l="1"/>
  <c r="AR2056" i="1" l="1"/>
  <c r="AR3275" i="1" l="1"/>
  <c r="AR3511" i="1" l="1"/>
  <c r="AR4121" i="1" l="1"/>
  <c r="AR4104" i="1" l="1"/>
  <c r="AR3685" i="1" l="1"/>
  <c r="AR3068" i="1" l="1"/>
  <c r="AR3595" i="1" l="1"/>
  <c r="AR3616" i="1" l="1"/>
  <c r="AR2905" i="1" l="1"/>
  <c r="AR3513" i="1" l="1"/>
  <c r="AR3232" i="1" l="1"/>
  <c r="AR3355" i="1" l="1"/>
  <c r="AR3998" i="1" l="1"/>
  <c r="AR4279" i="1" l="1"/>
  <c r="AR4255" i="1" l="1"/>
  <c r="AR3307" i="1" l="1"/>
  <c r="AR3236" i="1" l="1"/>
  <c r="AR3625" i="1" l="1"/>
  <c r="AR3569" i="1" l="1"/>
  <c r="AR4203" i="1" l="1"/>
  <c r="AR3876" i="1" l="1"/>
  <c r="AR3049" i="1" l="1"/>
  <c r="AR1977" i="1" l="1"/>
  <c r="AR1347" i="1" l="1"/>
  <c r="AR1790" i="1" l="1"/>
  <c r="AR1830" i="1" l="1"/>
  <c r="AR1667" i="1" l="1"/>
  <c r="AR2075" i="1" l="1"/>
  <c r="AR1421" i="1" l="1"/>
  <c r="AR1733" i="1" l="1"/>
  <c r="AR2383" i="1" l="1"/>
  <c r="AR2666" i="1" l="1"/>
  <c r="AR1252" i="1" l="1"/>
  <c r="AR1625" i="1" l="1"/>
  <c r="AR2068" i="1" l="1"/>
  <c r="AR2831" i="1" l="1"/>
  <c r="AR2089" i="1" l="1"/>
  <c r="AR2768" i="1" l="1"/>
  <c r="AR2790" i="1" l="1"/>
  <c r="AR3278" i="1" l="1"/>
  <c r="AR4110" i="1" l="1"/>
  <c r="AR4225" i="1" l="1"/>
  <c r="AR3621" i="1" l="1"/>
  <c r="AR3117" i="1" l="1"/>
  <c r="AR2857" i="1" l="1"/>
  <c r="AR3215" i="1" l="1"/>
  <c r="AR3093" i="1" l="1"/>
  <c r="AR3738" i="1" l="1"/>
  <c r="AR3980" i="1" l="1"/>
  <c r="AR3141" i="1" l="1"/>
  <c r="AR3463" i="1" l="1"/>
  <c r="AR2864" i="1" l="1"/>
  <c r="AR3067" i="1" l="1"/>
  <c r="AR3915" i="1" l="1"/>
  <c r="AR3609" i="1" l="1"/>
  <c r="AR4165" i="1" l="1"/>
  <c r="AR3177" i="1" l="1"/>
  <c r="AR3603" i="1" l="1"/>
  <c r="AR3542" i="1" l="1"/>
  <c r="AR2039" i="1" l="1"/>
  <c r="AR2579" i="1" l="1"/>
  <c r="AR2410" i="1" l="1"/>
  <c r="AR1976" i="1" l="1"/>
  <c r="AR2385" i="1" l="1"/>
  <c r="AR2623" i="1" l="1"/>
  <c r="AR2451" i="1" l="1"/>
  <c r="AR2252" i="1" l="1"/>
  <c r="AR2660" i="1" l="1"/>
  <c r="AR2227" i="1" l="1"/>
  <c r="AR2245" i="1" l="1"/>
  <c r="AR2060" i="1" l="1"/>
  <c r="AR1497" i="1" l="1"/>
  <c r="AR3109" i="1" l="1"/>
  <c r="AR2518" i="1" l="1"/>
  <c r="AR2524" i="1" l="1"/>
  <c r="AR2906" i="1" l="1"/>
  <c r="AR3649" i="1" l="1"/>
  <c r="AR3508" i="1" l="1"/>
  <c r="AR3078" i="1" l="1"/>
  <c r="AR3080" i="1" l="1"/>
  <c r="AR2993" i="1" l="1"/>
  <c r="AR3021" i="1" l="1"/>
  <c r="AR3219" i="1" l="1"/>
  <c r="AR3486" i="1" l="1"/>
  <c r="AR3719" i="1" l="1"/>
  <c r="AR3113" i="1" l="1"/>
  <c r="AR4139" i="1" l="1"/>
  <c r="AR2974" i="1" l="1"/>
  <c r="AR3256" i="1" l="1"/>
  <c r="AR3266" i="1" l="1"/>
  <c r="AR3831" i="1" l="1"/>
  <c r="AR3965" i="1" l="1"/>
  <c r="AR3558" i="1" l="1"/>
  <c r="AR4076" i="1" l="1"/>
  <c r="AR2898" i="1" l="1"/>
  <c r="AR2972" i="1" l="1"/>
  <c r="AR3817" i="1" l="1"/>
  <c r="AR2711" i="1" l="1"/>
  <c r="AR1937" i="1" l="1"/>
  <c r="AR1962" i="1" l="1"/>
  <c r="AR1350" i="1" l="1"/>
  <c r="AR2164" i="1" l="1"/>
  <c r="AR1478" i="1" l="1"/>
  <c r="AR1846" i="1" l="1"/>
  <c r="AR1829" i="1" l="1"/>
  <c r="AR1400" i="1" l="1"/>
  <c r="AR2474" i="1" l="1"/>
  <c r="AR1544" i="1" l="1"/>
  <c r="AR2360" i="1" l="1"/>
  <c r="AR1591" i="1" l="1"/>
  <c r="AR4137" i="1" l="1"/>
  <c r="AR2127" i="1" l="1"/>
  <c r="AR2994" i="1" l="1"/>
  <c r="AR4074" i="1" l="1"/>
  <c r="AR3824" i="1" l="1"/>
  <c r="AR4300" i="1" l="1"/>
  <c r="AR3204" i="1" l="1"/>
  <c r="AR4311" i="1" l="1"/>
  <c r="AR3099" i="1" l="1"/>
  <c r="AR3534" i="1" l="1"/>
  <c r="AR3385" i="1" l="1"/>
  <c r="AR3657" i="1" l="1"/>
  <c r="AR3423" i="1" l="1"/>
  <c r="AR4191" i="1" l="1"/>
  <c r="AR3796" i="1" l="1"/>
  <c r="AR3769" i="1" l="1"/>
  <c r="AR2858" i="1" l="1"/>
  <c r="AR3397" i="1" l="1"/>
  <c r="AR3922" i="1" l="1"/>
  <c r="AR3972" i="1" l="1"/>
  <c r="AR4142" i="1" l="1"/>
  <c r="AR2946" i="1" l="1"/>
  <c r="AR4156" i="1" l="1"/>
  <c r="AR3990" i="1" l="1"/>
  <c r="AR2696" i="1" l="1"/>
  <c r="AR2426" i="1" l="1"/>
  <c r="AR1872" i="1" l="1"/>
  <c r="AR2161" i="1" l="1"/>
  <c r="AR1816" i="1" l="1"/>
  <c r="AR2158" i="1" l="1"/>
  <c r="AR1462" i="1" l="1"/>
  <c r="AR2327" i="1" l="1"/>
  <c r="AR1563" i="1" l="1"/>
  <c r="AR2323" i="1" l="1"/>
  <c r="AR1617" i="1" l="1"/>
  <c r="AR2235" i="1" l="1"/>
  <c r="AR2275" i="1" l="1"/>
  <c r="AR2701" i="1" l="1"/>
  <c r="AR4211" i="1" l="1"/>
  <c r="AR3731" i="1" l="1"/>
  <c r="AR3350" i="1" l="1"/>
  <c r="AR3751" i="1" l="1"/>
  <c r="AR3912" i="1" l="1"/>
  <c r="AR3966" i="1" l="1"/>
  <c r="AR4316" i="1" l="1"/>
  <c r="AR3741" i="1" l="1"/>
  <c r="AR3552" i="1" l="1"/>
  <c r="AR3953" i="1" l="1"/>
  <c r="AR4071" i="1" l="1"/>
  <c r="AR3716" i="1" l="1"/>
  <c r="AR4062" i="1" l="1"/>
  <c r="AR3969" i="1" l="1"/>
  <c r="AR4150" i="1" l="1"/>
  <c r="AR3870" i="1" l="1"/>
  <c r="AR3417" i="1" l="1"/>
  <c r="AR2971" i="1" l="1"/>
  <c r="AR4332" i="1" l="1"/>
  <c r="AR3175" i="1" l="1"/>
  <c r="AR3136" i="1" l="1"/>
  <c r="AR3527" i="1" l="1"/>
  <c r="AR3243" i="1" l="1"/>
  <c r="AR2242" i="1" l="1"/>
  <c r="AR2520" i="1" l="1"/>
  <c r="AR2276" i="1" l="1"/>
  <c r="AR1481" i="1" l="1"/>
  <c r="AR1724" i="1" l="1"/>
  <c r="AR2397" i="1" l="1"/>
  <c r="AR1572" i="1" l="1"/>
  <c r="AR1701" i="1" l="1"/>
  <c r="AR1650" i="1" l="1"/>
  <c r="AR1686" i="1" l="1"/>
  <c r="AR2687" i="1" l="1"/>
  <c r="AR2037" i="1" l="1"/>
  <c r="AR2472" i="1" l="1"/>
  <c r="AR2063" i="1" l="1"/>
  <c r="AR1885" i="1" l="1"/>
  <c r="AR3171" i="1" l="1"/>
  <c r="AR3659" i="1" l="1"/>
  <c r="AR2975" i="1" l="1"/>
  <c r="AR3937" i="1" l="1"/>
  <c r="AR3809" i="1" l="1"/>
  <c r="AR3399" i="1" l="1"/>
  <c r="AR2801" i="1" l="1"/>
  <c r="AR3186" i="1" l="1"/>
  <c r="AR3437" i="1" l="1"/>
  <c r="AR4305" i="1" l="1"/>
  <c r="AR4118" i="1" l="1"/>
  <c r="AR3528" i="1" l="1"/>
  <c r="AR3780" i="1" l="1"/>
  <c r="AR2812" i="1" l="1"/>
  <c r="AR4239" i="1" l="1"/>
  <c r="AR4007" i="1" l="1"/>
  <c r="AR2800" i="1" l="1"/>
  <c r="AR2924" i="1" l="1"/>
  <c r="AR3037" i="1" l="1"/>
  <c r="AR3838" i="1" l="1"/>
  <c r="AR4295" i="1" l="1"/>
  <c r="AR3257" i="1" l="1"/>
  <c r="AR3693" i="1" l="1"/>
  <c r="AR2103" i="1" l="1"/>
  <c r="AR1112" i="1" l="1"/>
  <c r="AR2283" i="1" l="1"/>
  <c r="AR2181" i="1" l="1"/>
  <c r="AR2616" i="1" l="1"/>
  <c r="AU1023" i="1" a="1"/>
  <c r="AU1023" i="1" l="1"/>
  <c r="AR1023" i="1" s="1"/>
  <c r="AR2377" i="1" l="1"/>
  <c r="AR2121" i="1" l="1"/>
  <c r="AR2743" i="1" l="1"/>
  <c r="AR1043" i="1" l="1"/>
  <c r="AR1792" i="1" l="1"/>
  <c r="AR2238" i="1" l="1"/>
  <c r="AR2247" i="1" l="1"/>
  <c r="AR4160" i="1" l="1"/>
  <c r="AR4327" i="1" l="1"/>
  <c r="AR3843" i="1" l="1"/>
  <c r="AR3826" i="1" l="1"/>
  <c r="AR4302" i="1" l="1"/>
  <c r="AR2956" i="1" l="1"/>
  <c r="AR4086" i="1" l="1"/>
  <c r="AR3325" i="1" l="1"/>
  <c r="AR3943" i="1" l="1"/>
  <c r="AR4221" i="1" l="1"/>
  <c r="AR3910" i="1" l="1"/>
  <c r="AR2829" i="1" l="1"/>
  <c r="AR4322" i="1" l="1"/>
  <c r="AR3959" i="1" l="1"/>
  <c r="AR3363" i="1" l="1"/>
  <c r="AR3029" i="1" l="1"/>
  <c r="AR4047" i="1" l="1"/>
  <c r="AR3022" i="1" l="1"/>
  <c r="AR3993" i="1" l="1"/>
  <c r="AR3038" i="1" l="1"/>
  <c r="AR3138" i="1" l="1"/>
  <c r="AR3281" i="1" l="1"/>
  <c r="AR2761" i="1" l="1"/>
  <c r="AR4159" i="1" l="1"/>
  <c r="AR2268" i="1" l="1"/>
  <c r="AR1731" i="1" l="1"/>
  <c r="AR2136" i="1" l="1"/>
  <c r="AR2566" i="1" l="1"/>
  <c r="AR1528" i="1" l="1"/>
  <c r="AR2375" i="1" l="1"/>
  <c r="AR1598" i="1" l="1"/>
  <c r="AR2682" i="1" l="1"/>
  <c r="AR1464" i="1" l="1"/>
  <c r="AR1967" i="1" l="1"/>
  <c r="AR2436" i="1" l="1"/>
  <c r="AR1808" i="1" l="1"/>
  <c r="AR2453" i="1" l="1"/>
  <c r="AR3014" i="1" l="1"/>
  <c r="AR2028" i="1" l="1"/>
  <c r="AR3958" i="1" l="1"/>
  <c r="AR3886" i="1" l="1"/>
  <c r="AR3926" i="1" l="1"/>
  <c r="AR3866" i="1" l="1"/>
  <c r="AR3146" i="1" l="1"/>
  <c r="AR3795" i="1" l="1"/>
  <c r="AR4232" i="1" l="1"/>
  <c r="AR4258" i="1" l="1"/>
  <c r="AR3829" i="1" l="1"/>
  <c r="AR2758" i="1" l="1"/>
  <c r="AR4331" i="1" l="1"/>
  <c r="AR4319" i="1" l="1"/>
  <c r="AR3653" i="1" l="1"/>
  <c r="AR3017" i="1" l="1"/>
  <c r="AR3370" i="1" l="1"/>
  <c r="AR4176" i="1" l="1"/>
  <c r="AR3928" i="1" l="1"/>
  <c r="AR2969" i="1" l="1"/>
  <c r="AR3518" i="1" l="1"/>
  <c r="AR3441" i="1" l="1"/>
  <c r="AR2797" i="1" l="1"/>
  <c r="AR3414" i="1" l="1"/>
  <c r="AR1630" i="1" l="1"/>
  <c r="AR1687" i="1" l="1"/>
  <c r="AR1524" i="1" l="1"/>
  <c r="AR2340" i="1" l="1"/>
  <c r="AR2348" i="1" l="1"/>
  <c r="AR1745" i="1" l="1"/>
  <c r="AR1864" i="1" l="1"/>
  <c r="AR2019" i="1" l="1"/>
  <c r="AR2361" i="1" l="1"/>
  <c r="AR2665" i="1" l="1"/>
  <c r="AR2030" i="1" l="1"/>
  <c r="AR1825" i="1" l="1"/>
  <c r="AR1787" i="1" l="1"/>
  <c r="AR2400" i="1" l="1"/>
  <c r="AR4072" i="1" l="1"/>
  <c r="AR3045" i="1" l="1"/>
  <c r="AR3754" i="1" l="1"/>
  <c r="AR4089" i="1" l="1"/>
  <c r="AR2852" i="1" l="1"/>
  <c r="AR4213" i="1" l="1"/>
  <c r="AR3332" i="1" l="1"/>
  <c r="AR3293" i="1" l="1"/>
  <c r="AR4309" i="1" l="1"/>
  <c r="AR3778" i="1" l="1"/>
  <c r="AR3710" i="1" l="1"/>
  <c r="AR3757" i="1" l="1"/>
  <c r="AR3636" i="1" l="1"/>
  <c r="AR3108" i="1" l="1"/>
  <c r="AR3783" i="1" l="1"/>
  <c r="AR4217" i="1" l="1"/>
  <c r="AR3794" i="1" l="1"/>
  <c r="AR3881" i="1" l="1"/>
  <c r="AR2821" i="1" l="1"/>
  <c r="AR3317" i="1" l="1"/>
  <c r="AR3682" i="1" l="1"/>
  <c r="AR3031" i="1" l="1"/>
  <c r="AR3524" i="1" l="1"/>
  <c r="AR2384" i="1" l="1"/>
  <c r="AR2008" i="1" l="1"/>
  <c r="AR1763" i="1" l="1"/>
  <c r="AR1997" i="1" l="1"/>
  <c r="AR1237" i="1" l="1"/>
  <c r="AR2140" i="1" l="1"/>
  <c r="AR2723" i="1" l="1"/>
  <c r="AR1375" i="1" l="1"/>
  <c r="AR2054" i="1" l="1"/>
  <c r="AR1923" i="1" l="1"/>
  <c r="AR1913" i="1" l="1"/>
  <c r="AR2603" i="1" l="1"/>
  <c r="AR2076" i="1" l="1"/>
  <c r="AR2556" i="1" l="1"/>
  <c r="AR4098" i="1" l="1"/>
  <c r="AR3400" i="1" l="1"/>
  <c r="AR4216" i="1" l="1"/>
  <c r="AR3692" i="1" l="1"/>
  <c r="AR3986" i="1" l="1"/>
  <c r="AR4115" i="1" l="1"/>
  <c r="AR3411" i="1" l="1"/>
  <c r="AR2859" i="1" l="1"/>
  <c r="AR4141" i="1" l="1"/>
  <c r="AR2910" i="1" l="1"/>
  <c r="AR3472" i="1" l="1"/>
  <c r="AR3683" i="1" l="1"/>
  <c r="AR4306" i="1" l="1"/>
  <c r="AR3057" i="1" l="1"/>
  <c r="AR3681" i="1" l="1"/>
  <c r="AR3498" i="1" l="1"/>
  <c r="AR2930" i="1" l="1"/>
  <c r="AR3944" i="1" l="1"/>
  <c r="AR3987" i="1" l="1"/>
  <c r="AR3983" i="1" l="1"/>
  <c r="AR3319" i="1" l="1"/>
  <c r="AR3865" i="1" l="1"/>
  <c r="AR3197" i="1" l="1"/>
  <c r="AR1503" i="1" l="1"/>
  <c r="AR2295" i="1" l="1"/>
  <c r="AR1334" i="1" l="1"/>
  <c r="AR2629" i="1" l="1"/>
  <c r="AR2736" i="1" l="1"/>
  <c r="AR2613" i="1" l="1"/>
  <c r="AR2422" i="1" l="1"/>
  <c r="AR2052" i="1" l="1"/>
  <c r="AR2652" i="1" l="1"/>
  <c r="AR1378" i="1" l="1"/>
  <c r="AR1354" i="1" l="1"/>
  <c r="AR1581" i="1" l="1"/>
  <c r="AR2195" i="1" l="1"/>
  <c r="AR2732" i="1" l="1"/>
  <c r="AR4029" i="1" l="1"/>
  <c r="AR1258" i="1" l="1"/>
  <c r="AR3630" i="1" l="1"/>
  <c r="AR4030" i="1" l="1"/>
  <c r="AR4304" i="1" l="1"/>
  <c r="AR2876" i="1" l="1"/>
  <c r="AR3237" i="1" l="1"/>
  <c r="AR3482" i="1" l="1"/>
  <c r="AR3996" i="1" l="1"/>
  <c r="AR3451" i="1" l="1"/>
  <c r="AR3654" i="1" l="1"/>
  <c r="AR3144" i="1" l="1"/>
  <c r="AR3578" i="1" l="1"/>
  <c r="AR2863" i="1" l="1"/>
  <c r="AR3072" i="1" l="1"/>
  <c r="AR4045" i="1" l="1"/>
  <c r="AR4147" i="1" l="1"/>
  <c r="AR3942" i="1" l="1"/>
  <c r="AR3667" i="1" l="1"/>
  <c r="AR3304" i="1" l="1"/>
  <c r="AR3577" i="1" l="1"/>
  <c r="AR4214" i="1" l="1"/>
  <c r="AR2998" i="1" l="1"/>
  <c r="AR4134" i="1" l="1"/>
  <c r="AR2705" i="1" l="1"/>
  <c r="AR1789" i="1" l="1"/>
  <c r="AR2597" i="1" l="1"/>
  <c r="AR1989" i="1" l="1"/>
  <c r="AR2464" i="1" l="1"/>
  <c r="AR1609" i="1" l="1"/>
  <c r="AR1472" i="1" l="1"/>
  <c r="AR1646" i="1" l="1"/>
  <c r="AR2159" i="1" l="1"/>
  <c r="AR2722" i="1" l="1"/>
  <c r="AR1737" i="1" l="1"/>
  <c r="AR2409" i="1" l="1"/>
  <c r="AR1275" i="1" l="1"/>
  <c r="AR4204" i="1" l="1"/>
  <c r="AR4236" i="1" l="1"/>
  <c r="AR2311" i="1" l="1"/>
  <c r="AR3259" i="1" l="1"/>
  <c r="AR3717" i="1" l="1"/>
  <c r="AR4094" i="1" l="1"/>
  <c r="AR3804" i="1" l="1"/>
  <c r="AR3405" i="1" l="1"/>
  <c r="AR3391" i="1" l="1"/>
  <c r="AR3800" i="1" l="1"/>
  <c r="AR3736" i="1" l="1"/>
  <c r="AR4041" i="1" l="1"/>
  <c r="AR4264" i="1" l="1"/>
  <c r="AR3648" i="1" l="1"/>
  <c r="AR2760" i="1" l="1"/>
  <c r="AR3170" i="1" l="1"/>
  <c r="AR3512" i="1" l="1"/>
  <c r="AR2870" i="1" l="1"/>
  <c r="AR3084" i="1" l="1"/>
  <c r="AR3420" i="1" l="1"/>
  <c r="AR4252" i="1" l="1"/>
  <c r="AR3981" i="1" l="1"/>
  <c r="AR3261" i="1" l="1"/>
  <c r="AR3626" i="1" l="1"/>
  <c r="AR3979" i="1" l="1"/>
  <c r="AR3593" i="1" l="1"/>
  <c r="AR2381" i="1" l="1"/>
  <c r="AR2620" i="1" l="1"/>
  <c r="AR2082" i="1" l="1"/>
  <c r="AR2087" i="1" l="1"/>
  <c r="AR2029" i="1" l="1"/>
  <c r="AR2349" i="1" l="1"/>
  <c r="AR2390" i="1" l="1"/>
  <c r="AR2729" i="1" l="1"/>
  <c r="AR2437" i="1" l="1"/>
  <c r="AR1732" i="1" l="1"/>
  <c r="AR1452" i="1" l="1"/>
  <c r="AR1659" i="1" l="1"/>
  <c r="AR1831" i="1" l="1"/>
  <c r="AR4077" i="1" l="1"/>
  <c r="AR4025" i="1" l="1"/>
  <c r="AR2749" i="1" l="1"/>
  <c r="AR4278" i="1" l="1"/>
  <c r="AR3864" i="1" l="1"/>
  <c r="AR3633" i="1" l="1"/>
  <c r="AR3419" i="1" l="1"/>
  <c r="AR3888" i="1" l="1"/>
  <c r="AR3217" i="1" l="1"/>
  <c r="AR4080" i="1" l="1"/>
  <c r="AR2796" i="1" l="1"/>
  <c r="AR3427" i="1" l="1"/>
  <c r="AR4138" i="1" l="1"/>
  <c r="AR3939" i="1" l="1"/>
  <c r="AR4073" i="1" l="1"/>
  <c r="AR2899" i="1" l="1"/>
  <c r="AR4168" i="1" l="1"/>
  <c r="AR3559" i="1" l="1"/>
  <c r="AR3353" i="1" l="1"/>
  <c r="AR3618" i="1" l="1"/>
  <c r="AR3863" i="1" l="1"/>
  <c r="AR3349" i="1" l="1"/>
  <c r="AR3163" i="1" l="1"/>
  <c r="AR2784" i="1" l="1"/>
  <c r="AR3755" i="1" l="1"/>
  <c r="AR4059" i="1" l="1"/>
  <c r="AR2585" i="1" l="1"/>
  <c r="AR1942" i="1" l="1"/>
  <c r="AR2313" i="1" l="1"/>
  <c r="AR1451" i="1" l="1"/>
  <c r="AR1881" i="1" l="1"/>
  <c r="AR2179" i="1" l="1"/>
  <c r="AR2581" i="1" l="1"/>
  <c r="AR2155" i="1" l="1"/>
  <c r="AR1956" i="1" l="1"/>
  <c r="AR2031" i="1" l="1"/>
  <c r="AR1134" i="1" l="1"/>
  <c r="AR2549" i="1" l="1"/>
  <c r="AR2354" i="1" l="1"/>
  <c r="AR4182" i="1" l="1"/>
  <c r="AR4060" i="1" l="1"/>
  <c r="AR1875" i="1" l="1"/>
  <c r="AR3724" i="1" l="1"/>
  <c r="AR3967" i="1" l="1"/>
  <c r="AR3024" i="1" l="1"/>
  <c r="AR3550" i="1" l="1"/>
  <c r="AR3806" i="1" l="1"/>
  <c r="AR3994" i="1" l="1"/>
  <c r="AR2810" i="1" l="1"/>
  <c r="AR3015" i="1" l="1"/>
  <c r="AR3538" i="1" l="1"/>
  <c r="AR3273" i="1" l="1"/>
  <c r="AR3970" i="1" l="1"/>
  <c r="AR3009" i="1" l="1"/>
  <c r="AR4323" i="1" l="1"/>
  <c r="AR3933" i="1" l="1"/>
  <c r="AR3792" i="1" l="1"/>
  <c r="AR3300" i="1" l="1"/>
  <c r="AR4219" i="1" l="1"/>
  <c r="AR4245" i="1" l="1"/>
  <c r="AR3123" i="1" l="1"/>
  <c r="AR3447" i="1" l="1"/>
  <c r="AR4079" i="1" l="1"/>
  <c r="AR4075" i="1" l="1"/>
  <c r="AR3280" i="1" l="1"/>
  <c r="AR2508" i="1" l="1"/>
  <c r="AR1691" i="1" l="1"/>
  <c r="AR1085" i="1" l="1"/>
  <c r="AR2425" i="1" l="1"/>
  <c r="AR2403" i="1" l="1"/>
  <c r="AR1232" i="1" l="1"/>
  <c r="AR1935" i="1" l="1"/>
  <c r="AR2371" i="1" l="1"/>
  <c r="AR2137" i="1" l="1"/>
  <c r="AR1893" i="1" l="1"/>
  <c r="AR1351" i="1" l="1"/>
  <c r="AR1710" i="1" l="1"/>
  <c r="AR2644" i="1" l="1"/>
  <c r="AR3058" i="1" l="1"/>
  <c r="AR3033" i="1" l="1"/>
  <c r="AR1411" i="1" l="1"/>
  <c r="AR4151" i="1" l="1"/>
  <c r="AR4199" i="1" l="1"/>
  <c r="AR2789" i="1" l="1"/>
  <c r="AR4164" i="1" l="1"/>
  <c r="AR3459" i="1" l="1"/>
  <c r="AR4097" i="1" l="1"/>
  <c r="AR3918" i="1" l="1"/>
  <c r="AR4240" i="1" l="1"/>
  <c r="AR2764" i="1" l="1"/>
  <c r="AR4066" i="1" l="1"/>
  <c r="AR3135" i="1" l="1"/>
  <c r="AR3069" i="1" l="1"/>
  <c r="AR3104" i="1" l="1"/>
  <c r="AR3090" i="1" l="1"/>
  <c r="AR3121" i="1" l="1"/>
  <c r="AR3771" i="1" l="1"/>
  <c r="AR3535" i="1" l="1"/>
  <c r="AR2977" i="1" l="1"/>
  <c r="AR3956" i="1" l="1"/>
  <c r="AR3373" i="1" l="1"/>
  <c r="AR3517" i="1" l="1"/>
  <c r="AR3006" i="1" l="1"/>
  <c r="AR3671" i="1" l="1"/>
  <c r="AR1912" i="1" l="1"/>
  <c r="AR2639" i="1" l="1"/>
  <c r="AR1873" i="1" l="1"/>
  <c r="AR1703" i="1" l="1"/>
  <c r="AR2337" i="1" l="1"/>
  <c r="AR2391" i="1" l="1"/>
  <c r="AR2057" i="1" l="1"/>
  <c r="AR2726" i="1" l="1"/>
  <c r="AR2225" i="1" l="1"/>
  <c r="AR1341" i="1" l="1"/>
  <c r="AR2439" i="1" l="1"/>
  <c r="AR1388" i="1" l="1"/>
  <c r="AU1025" i="1" a="1"/>
  <c r="AU1025" i="1" l="1"/>
  <c r="AR1025" i="1" s="1"/>
  <c r="AR4207" i="1" l="1"/>
  <c r="AR2272" i="1" l="1"/>
  <c r="AR2108" i="1" l="1"/>
  <c r="AR3230" i="1" l="1"/>
  <c r="AR3464" i="1" l="1"/>
  <c r="AR3929" i="1" l="1"/>
  <c r="AR4153" i="1" l="1"/>
  <c r="AR4012" i="1" l="1"/>
  <c r="AR3105" i="1" l="1"/>
  <c r="AR3264" i="1" l="1"/>
  <c r="AR3821" i="1" l="1"/>
  <c r="AR3722" i="1" l="1"/>
  <c r="AR3425" i="1" l="1"/>
  <c r="AR3905" i="1" l="1"/>
  <c r="AR2960" i="1" l="1"/>
  <c r="AR3665" i="1" l="1"/>
  <c r="AR3642" i="1" l="1"/>
  <c r="AR3210" i="1" l="1"/>
  <c r="AR2779" i="1" l="1"/>
  <c r="AR3545" i="1" l="1"/>
  <c r="AR3477" i="1" l="1"/>
  <c r="AR3052" i="1" l="1"/>
  <c r="AR3641" i="1" l="1"/>
  <c r="AR3890" i="1" l="1"/>
  <c r="AR2929" i="1" l="1"/>
  <c r="AR3775" i="1" l="1"/>
  <c r="AR2449" i="1" l="1"/>
  <c r="AR2694" i="1" l="1"/>
  <c r="AR1210" i="1" l="1"/>
  <c r="AR2091" i="1" l="1"/>
  <c r="AR1401" i="1" l="1"/>
  <c r="AR2435" i="1" l="1"/>
  <c r="AR1743" i="1" l="1"/>
  <c r="AR2072" i="1" l="1"/>
  <c r="AR1718" i="1" l="1"/>
  <c r="AR1081" i="1" l="1"/>
  <c r="AR2289" i="1" l="1"/>
  <c r="AR1762" i="1" l="1"/>
  <c r="AR2230" i="1" l="1"/>
  <c r="AR2938" i="1" l="1"/>
  <c r="AR1539" i="1" l="1"/>
  <c r="AR1519" i="1" l="1"/>
  <c r="AR2813" i="1" l="1"/>
  <c r="AR3670" i="1" l="1"/>
  <c r="AR3503" i="1" l="1"/>
  <c r="AR2804" i="1" l="1"/>
  <c r="AR4070" i="1" l="1"/>
  <c r="AR3347" i="1" l="1"/>
  <c r="AR3167" i="1" l="1"/>
  <c r="AR3222" i="1" l="1"/>
  <c r="AR4000" i="1" l="1"/>
  <c r="AR3586" i="1" l="1"/>
  <c r="AR3087" i="1" l="1"/>
  <c r="AR3003" i="1" l="1"/>
  <c r="AR3830" i="1" l="1"/>
  <c r="AR4046" i="1" l="1"/>
  <c r="AR3567" i="1" l="1"/>
  <c r="AR3285" i="1" l="1"/>
  <c r="AR3376" i="1" l="1"/>
  <c r="AR3893" i="1" l="1"/>
  <c r="AR2845" i="1" l="1"/>
  <c r="AR3789" i="1" l="1"/>
  <c r="AR3476" i="1" l="1"/>
  <c r="AR3749" i="1" l="1"/>
  <c r="AR4173" i="1" l="1"/>
  <c r="AR1664" i="1" l="1"/>
  <c r="AR2086" i="1" l="1"/>
  <c r="AR1624" i="1" l="1"/>
  <c r="AR1928" i="1" l="1"/>
  <c r="AR2279" i="1" l="1"/>
  <c r="AR2285" i="1" l="1"/>
  <c r="AR1738" i="1" l="1"/>
  <c r="AR1973" i="1" l="1"/>
  <c r="AR1627" i="1" l="1"/>
  <c r="AR2635" i="1" l="1"/>
  <c r="AR1589" i="1" l="1"/>
  <c r="AR2643" i="1" l="1"/>
  <c r="AR2023" i="1" l="1"/>
  <c r="AR1326" i="1" l="1"/>
  <c r="AR4157" i="1" l="1"/>
  <c r="AR3762" i="1" l="1"/>
  <c r="AR3607" i="1" l="1"/>
  <c r="AR3494" i="1" l="1"/>
  <c r="AR3978" i="1" l="1"/>
  <c r="AR4063" i="1" l="1"/>
  <c r="AR2811" i="1" l="1"/>
  <c r="AR3491" i="1" l="1"/>
  <c r="AR3985" i="1" l="1"/>
  <c r="AR2997" i="1" l="1"/>
  <c r="AR4320" i="1" l="1"/>
  <c r="AR3536" i="1" l="1"/>
  <c r="AR3016" i="1" l="1"/>
  <c r="AR4233" i="1" l="1"/>
  <c r="AR2941" i="1" l="1"/>
  <c r="AR4230" i="1" l="1"/>
  <c r="AR3507" i="1" l="1"/>
  <c r="AR3879" i="1" l="1"/>
  <c r="AR3694" i="1" l="1"/>
  <c r="AR3614" i="1" l="1"/>
  <c r="AR3599" i="1" l="1"/>
  <c r="AR3529" i="1" l="1"/>
  <c r="AR3696" i="1" l="1"/>
  <c r="AR3198" i="1" l="1"/>
  <c r="AR2855" i="1" l="1"/>
  <c r="AR2298" i="1" l="1"/>
  <c r="AR1619" i="1" l="1"/>
  <c r="AR2418" i="1" l="1"/>
  <c r="AR2538" i="1" l="1"/>
  <c r="AR1822" i="1" l="1"/>
  <c r="AR1861" i="1" l="1"/>
  <c r="AR2319" i="1" l="1"/>
  <c r="AR1337" i="1" l="1"/>
  <c r="AR1610" i="1" l="1"/>
  <c r="AR2303" i="1" l="1"/>
  <c r="AR2414" i="1" l="1"/>
  <c r="AR2486" i="1" l="1"/>
  <c r="AR1983" i="1" l="1"/>
  <c r="AR1985" i="1" l="1"/>
  <c r="AR1929" i="1" l="1"/>
  <c r="AR3571" i="1" l="1"/>
  <c r="AR3885" i="1" l="1"/>
  <c r="AR3320" i="1" l="1"/>
  <c r="AR4181" i="1" l="1"/>
  <c r="AR3522" i="1" l="1"/>
  <c r="AR3530" i="1" l="1"/>
  <c r="AR3076" i="1" l="1"/>
  <c r="AR3704" i="1" l="1"/>
  <c r="AR3799" i="1" l="1"/>
  <c r="AR3457" i="1" l="1"/>
  <c r="AR4008" i="1" l="1"/>
  <c r="AR3223" i="1" l="1"/>
  <c r="AR3226" i="1" l="1"/>
  <c r="AR4237" i="1" l="1"/>
  <c r="AR3611" i="1" l="1"/>
  <c r="AR4253" i="1" l="1"/>
  <c r="AR2756" i="1" l="1"/>
  <c r="AR4020" i="1" l="1"/>
  <c r="AR4172" i="1" l="1"/>
  <c r="AR4294" i="1" l="1"/>
  <c r="AR4254" i="1" l="1"/>
  <c r="AR4273" i="1" l="1"/>
  <c r="AR3877" i="1" l="1"/>
  <c r="AR2214" i="1" l="1"/>
  <c r="AR1709" i="1" l="1"/>
  <c r="AR2301" i="1" l="1"/>
  <c r="AR2098" i="1" l="1"/>
  <c r="AR2586" i="1" l="1"/>
  <c r="AR1622" i="1" l="1"/>
  <c r="AR2184" i="1" l="1"/>
  <c r="AR1595" i="1" l="1"/>
  <c r="AR1596" i="1" l="1"/>
  <c r="AR2116" i="1" l="1"/>
  <c r="AR2717" i="1" l="1"/>
  <c r="AR2656" i="1" l="1"/>
  <c r="AR1639" i="1" l="1"/>
  <c r="AR2807" i="1" l="1"/>
  <c r="AR2988" i="1" l="1"/>
  <c r="AR3576" i="1" l="1"/>
  <c r="AR4105" i="1" l="1"/>
  <c r="AR3337" i="1" l="1"/>
  <c r="AR3111" i="1" l="1"/>
  <c r="AR3351" i="1" l="1"/>
  <c r="AR3143" i="1" l="1"/>
  <c r="AR4226" i="1" l="1"/>
  <c r="AR3613" i="1" l="1"/>
  <c r="AR4177" i="1" l="1"/>
  <c r="AR4248" i="1" l="1"/>
  <c r="AR3588" i="1" l="1"/>
  <c r="AR4096" i="1" l="1"/>
  <c r="AR3734" i="1" l="1"/>
  <c r="AR2915" i="1" l="1"/>
  <c r="AR4087" i="1" l="1"/>
  <c r="AR4274" i="1" l="1"/>
  <c r="AR3515" i="1" l="1"/>
  <c r="AR3725" i="1" l="1"/>
  <c r="AR2777" i="1" l="1"/>
  <c r="AR3589" i="1" l="1"/>
  <c r="AR3247" i="1" l="1"/>
  <c r="AR3859" i="1" l="1"/>
  <c r="AR2787" i="1" l="1"/>
  <c r="AR2092" i="1" l="1"/>
  <c r="AR2433" i="1" l="1"/>
  <c r="AR1717" i="1" l="1"/>
  <c r="AR2488" i="1" l="1"/>
  <c r="AR1991" i="1" l="1"/>
  <c r="AR1280" i="1" l="1"/>
  <c r="AR2167" i="1" l="1"/>
  <c r="AR2007" i="1" l="1"/>
  <c r="AR2695" i="1" l="1"/>
  <c r="AR1398" i="1" l="1"/>
  <c r="AR1884" i="1" l="1"/>
  <c r="AR1597" i="1" l="1"/>
  <c r="AR2529" i="1" l="1"/>
  <c r="AR2431" i="1" l="1"/>
  <c r="AR2229" i="1" l="1"/>
  <c r="AR3071" i="1" l="1"/>
  <c r="AR2835" i="1" l="1"/>
  <c r="AR3431" i="1" l="1"/>
  <c r="AR2934" i="1" l="1"/>
  <c r="AR3523" i="1" l="1"/>
  <c r="AR3836" i="1" l="1"/>
  <c r="AR3274" i="1" l="1"/>
  <c r="AR3544" i="1" l="1"/>
  <c r="AR4064" i="1" l="1"/>
  <c r="AR3153" i="1" l="1"/>
  <c r="AR3960" i="1" l="1"/>
  <c r="AR2880" i="1" l="1"/>
  <c r="AR4081" i="1" l="1"/>
  <c r="AR3672" i="1" l="1"/>
  <c r="AR3305" i="1" l="1"/>
  <c r="AR4289" i="1" l="1"/>
  <c r="AR4180" i="1" l="1"/>
  <c r="AR3946" i="1" l="1"/>
  <c r="AR3413" i="1" l="1"/>
  <c r="AR3925" i="1" l="1"/>
  <c r="AR3819" i="1" l="1"/>
  <c r="AR3622" i="1" l="1"/>
  <c r="AR3852" i="1" l="1"/>
  <c r="AR1908" i="1" l="1"/>
  <c r="AR2646" i="1" l="1"/>
  <c r="AR2608" i="1" l="1"/>
  <c r="AR2587" i="1" l="1"/>
  <c r="AR1407" i="1" l="1"/>
  <c r="AR2742" i="1" l="1"/>
  <c r="AR1569" i="1" l="1"/>
  <c r="AR2338" i="1" l="1"/>
  <c r="AR2618" i="1" l="1"/>
  <c r="AR2419" i="1" l="1"/>
  <c r="AR2465" i="1" l="1"/>
  <c r="AR2571" i="1" l="1"/>
  <c r="AR1959" i="1" l="1"/>
  <c r="AR1603" i="1" l="1"/>
  <c r="AR2353" i="1" l="1"/>
  <c r="AR4318" i="1" l="1"/>
  <c r="AR2773" i="1" l="1"/>
  <c r="AR3345" i="1" l="1"/>
  <c r="AR2935" i="1" l="1"/>
  <c r="AR4084" i="1" l="1"/>
  <c r="AR4246" i="1" l="1"/>
  <c r="AR4324" i="1" l="1"/>
  <c r="AR3533" i="1" l="1"/>
  <c r="AR3206" i="1" l="1"/>
  <c r="AR3962" i="1" l="1"/>
  <c r="AR3054" i="1" l="1"/>
  <c r="AR2819" i="1" l="1"/>
  <c r="AR2867" i="1" l="1"/>
  <c r="AR3663" i="1" l="1"/>
  <c r="AR4009" i="1" l="1"/>
  <c r="AR3467" i="1" l="1"/>
  <c r="AR3788" i="1" l="1"/>
  <c r="AR3380" i="1" l="1"/>
  <c r="AR3201" i="1" l="1"/>
  <c r="AR3195" i="1" l="1"/>
  <c r="AR3848" i="1" l="1"/>
  <c r="AR3791" i="1" l="1"/>
  <c r="AR3668" i="1" l="1"/>
  <c r="AR1943" i="1" l="1"/>
  <c r="AR951" i="1" l="1"/>
  <c r="AR2574" i="1" l="1"/>
  <c r="AR1856" i="1" l="1"/>
  <c r="AR2528" i="1" l="1"/>
  <c r="AR2406" i="1" l="1"/>
  <c r="AR1996" i="1" l="1"/>
  <c r="AR1465" i="1" l="1"/>
  <c r="AR2003" i="1" l="1"/>
  <c r="AR1767" i="1" l="1"/>
  <c r="AR1729" i="1" l="1"/>
  <c r="AR1675" i="1" l="1"/>
  <c r="AR2727" i="1" l="1"/>
  <c r="AR1746" i="1" l="1"/>
  <c r="AR4123" i="1" l="1"/>
  <c r="AR4326" i="1" l="1"/>
  <c r="AR3753" i="1" l="1"/>
  <c r="AR3335" i="1" l="1"/>
  <c r="AR3763" i="1" l="1"/>
  <c r="AR3961" i="1" l="1"/>
  <c r="AR3977" i="1" l="1"/>
  <c r="AR4317" i="1" l="1"/>
  <c r="AR2984" i="1" l="1"/>
  <c r="AR3164" i="1" l="1"/>
  <c r="AR3485" i="1" l="1"/>
  <c r="AR3287" i="1" l="1"/>
  <c r="AR3122" i="1" l="1"/>
  <c r="AR4068" i="1" l="1"/>
  <c r="AR2838" i="1" l="1"/>
  <c r="AR4023" i="1" l="1"/>
  <c r="AR3785" i="1" l="1"/>
  <c r="AR3406" i="1" l="1"/>
  <c r="AR3742" i="1" l="1"/>
  <c r="AR3128" i="1" l="1"/>
  <c r="AR3235" i="1" l="1"/>
  <c r="AR3743" i="1" l="1"/>
  <c r="AR3225" i="1" l="1"/>
  <c r="AR4247" i="1" l="1"/>
  <c r="AR1332" i="1" l="1"/>
  <c r="AR1033" i="1" l="1"/>
  <c r="AR2246" i="1" l="1"/>
  <c r="AR2699" i="1" l="1"/>
  <c r="AR1696" i="1" l="1"/>
  <c r="AR2105" i="1" l="1"/>
  <c r="AR1312" i="1" l="1"/>
  <c r="AR1559" i="1" l="1"/>
  <c r="AR2260" i="1" l="1"/>
  <c r="AR1463" i="1" l="1"/>
  <c r="AR2144" i="1" l="1"/>
  <c r="AR2455" i="1" l="1"/>
  <c r="AR2676" i="1" l="1"/>
  <c r="AR1684" i="1" l="1"/>
  <c r="AR4256" i="1" l="1"/>
  <c r="AR3234" i="1" l="1"/>
  <c r="AR3454" i="1" l="1"/>
  <c r="AR4051" i="1" l="1"/>
  <c r="AR4301" i="1" l="1"/>
  <c r="AR4267" i="1" l="1"/>
  <c r="AR3894" i="1" l="1"/>
  <c r="AR3229" i="1" l="1"/>
  <c r="AR3430" i="1" l="1"/>
  <c r="AR4015" i="1" l="1"/>
  <c r="AR4299" i="1" l="1"/>
  <c r="AR3889" i="1" l="1"/>
  <c r="AR3231" i="1" l="1"/>
  <c r="AR3814" i="1" l="1"/>
  <c r="AR4027" i="1" l="1"/>
  <c r="AR3623" i="1" l="1"/>
  <c r="AR3660" i="1" l="1"/>
  <c r="AR3917" i="1" l="1"/>
  <c r="AR2878" i="1" l="1"/>
  <c r="AR2853" i="1" l="1"/>
  <c r="AR3849" i="1" l="1"/>
  <c r="AR3899" i="1" l="1"/>
  <c r="AR3720" i="1" l="1"/>
  <c r="AR4227" i="1" l="1"/>
  <c r="AR2253" i="1" l="1"/>
  <c r="AR2637" i="1" l="1"/>
  <c r="AR2207" i="1" l="1"/>
  <c r="AR2048" i="1" l="1"/>
  <c r="AR2147" i="1" l="1"/>
  <c r="AR2460" i="1" l="1"/>
  <c r="AR1704" i="1" l="1"/>
  <c r="AR1160" i="1" l="1"/>
  <c r="AR1314" i="1" l="1"/>
  <c r="AR1984" i="1" l="1"/>
  <c r="AR1698" i="1" l="1"/>
  <c r="AR1512" i="1" l="1"/>
  <c r="AR1649" i="1" l="1"/>
  <c r="AR1574" i="1" l="1"/>
  <c r="AR4035" i="1" l="1"/>
  <c r="AR191" i="1" l="1"/>
  <c r="AR602" i="1" l="1"/>
  <c r="AR32" i="1" l="1"/>
  <c r="AR446" i="1" l="1"/>
  <c r="AR60" i="1" l="1"/>
  <c r="AR466" i="1" l="1"/>
  <c r="AR867" i="1" l="1"/>
  <c r="AR372" i="1" l="1"/>
  <c r="AR943" i="1" l="1"/>
  <c r="AR816" i="1" l="1"/>
  <c r="AR321" i="1" l="1"/>
  <c r="AR695" i="1" l="1"/>
  <c r="AR87" i="1" l="1"/>
  <c r="AR766" i="1" l="1"/>
  <c r="AR735" i="1" l="1"/>
  <c r="AR165" i="1" l="1"/>
  <c r="AR561" i="1" l="1"/>
  <c r="AR18" i="1" l="1"/>
  <c r="AR643" i="1" l="1"/>
  <c r="AR52" i="1" l="1"/>
  <c r="AR453" i="1" l="1"/>
  <c r="AR837" i="1" l="1"/>
  <c r="AR261" i="1" l="1"/>
  <c r="AR505" i="1" l="1"/>
  <c r="AR890" i="1" l="1"/>
  <c r="AR386" i="1" l="1"/>
  <c r="AR753" i="1" l="1"/>
  <c r="AR412" i="1" l="1"/>
  <c r="AR794" i="1" l="1"/>
  <c r="AR291" i="1" l="1"/>
  <c r="AR688" i="1" l="1"/>
  <c r="AR345" i="1" l="1"/>
  <c r="AR717" i="1" l="1"/>
  <c r="AR114" i="1" l="1"/>
  <c r="AR530" i="1" l="1"/>
  <c r="AR402" i="1" l="1"/>
  <c r="AR189" i="1" l="1"/>
  <c r="AR576" i="1" l="1"/>
  <c r="AR31" i="1" l="1"/>
  <c r="AR439" i="1" l="1"/>
  <c r="AR58" i="1" l="1"/>
  <c r="AR460" i="1" l="1"/>
  <c r="AR846" i="1" l="1"/>
  <c r="AR371" i="1" l="1"/>
  <c r="AR919" i="1" l="1"/>
  <c r="AR397" i="1" l="1"/>
  <c r="AR762" i="1" l="1"/>
  <c r="AR250" i="1" l="1"/>
  <c r="AR812" i="1" l="1"/>
  <c r="AR319" i="1" l="1"/>
  <c r="AR693" i="1" l="1"/>
  <c r="AR83" i="1" l="1"/>
  <c r="AR733" i="1" l="1"/>
  <c r="AR163" i="1" l="1"/>
  <c r="AR546" i="1" l="1"/>
  <c r="AR14" i="1" l="1"/>
  <c r="AR640" i="1" l="1"/>
  <c r="AR48" i="1" l="1"/>
  <c r="AR448" i="1" l="1"/>
  <c r="AR833" i="1" l="1"/>
  <c r="AR946" i="1" l="1"/>
  <c r="AR490" i="1" l="1"/>
  <c r="AR886" i="1" l="1"/>
  <c r="AR385" i="1" l="1"/>
  <c r="AR752" i="1" l="1"/>
  <c r="AR945" i="1" l="1"/>
  <c r="AR407" i="1" l="1"/>
  <c r="AR780" i="1" l="1"/>
  <c r="AR290" i="1" l="1"/>
  <c r="AR678" i="1" l="1"/>
  <c r="AR828" i="1" l="1"/>
  <c r="AR341" i="1" l="1"/>
  <c r="AR713" i="1" l="1"/>
  <c r="AR108" i="1" l="1"/>
  <c r="AR527" i="1" l="1"/>
  <c r="AR748" i="1" l="1"/>
  <c r="AR184" i="1" l="1"/>
  <c r="AR570" i="1" l="1"/>
  <c r="AR27" i="1" l="1"/>
  <c r="AR434" i="1" l="1"/>
  <c r="AR658" i="1" l="1"/>
  <c r="AR56" i="1" l="1"/>
  <c r="AR459" i="1" l="1"/>
  <c r="AR842" i="1" l="1"/>
  <c r="AR366" i="1" l="1"/>
  <c r="AR515" i="1" l="1"/>
  <c r="AR902" i="1" l="1"/>
  <c r="AR394" i="1" l="1"/>
  <c r="AR761" i="1" l="1"/>
  <c r="AR217" i="1" l="1"/>
  <c r="AR417" i="1" l="1"/>
  <c r="AR809" i="1" l="1"/>
  <c r="AR318" i="1" l="1"/>
  <c r="AR690" i="1" l="1"/>
  <c r="AR79" i="1" l="1"/>
  <c r="AR353" i="1" l="1"/>
  <c r="AR728" i="1" l="1"/>
  <c r="AR153" i="1" l="1"/>
  <c r="AR538" i="1" l="1"/>
  <c r="AR13" i="1" l="1"/>
  <c r="AR206" i="1" l="1"/>
  <c r="AR621" i="1" l="1"/>
  <c r="AR34" i="1" l="1"/>
  <c r="AR447" i="1" l="1"/>
  <c r="AR832" i="1" l="1"/>
  <c r="AR70" i="1" l="1"/>
  <c r="AR473" i="1" l="1"/>
  <c r="AR877" i="1" l="1"/>
  <c r="AR379" i="1" l="1"/>
  <c r="AR749" i="1" l="1"/>
  <c r="AR944" i="1" l="1"/>
  <c r="AR406" i="1" l="1"/>
  <c r="AR778" i="1" l="1"/>
  <c r="AR286" i="1" l="1"/>
  <c r="AR667" i="1" l="1"/>
  <c r="AR827" i="1" l="1"/>
  <c r="AR330" i="1" l="1"/>
  <c r="AR709" i="1" l="1"/>
  <c r="AR97" i="1" l="1"/>
  <c r="AR522" i="1" l="1"/>
  <c r="AR738" i="1" l="1"/>
  <c r="AR166" i="1" l="1"/>
  <c r="AR566" i="1" l="1"/>
  <c r="AR22" i="1" l="1"/>
  <c r="AR420" i="1" l="1"/>
  <c r="AR650" i="1" l="1"/>
  <c r="AR55" i="1" l="1"/>
  <c r="AR458" i="1" l="1"/>
  <c r="AR839" i="1" l="1"/>
  <c r="AR355" i="1" l="1"/>
  <c r="AR514" i="1" l="1"/>
  <c r="AR898" i="1" l="1"/>
  <c r="AR391" i="1" l="1"/>
  <c r="AR758" i="1" l="1"/>
  <c r="AR210" i="1" l="1"/>
  <c r="AR414" i="1" l="1"/>
  <c r="AR804" i="1" l="1"/>
  <c r="AR314" i="1" l="1"/>
  <c r="AR689" i="1" l="1"/>
  <c r="AR77" i="1" l="1"/>
  <c r="AR347" i="1" l="1"/>
  <c r="AR721" i="1" l="1"/>
  <c r="AR145" i="1" l="1"/>
  <c r="AR535" i="1" l="1"/>
  <c r="AU10" i="1" a="1"/>
  <c r="AU10" i="1" l="1"/>
  <c r="AR10" i="1" s="1"/>
  <c r="AR4342" i="1" l="1"/>
  <c r="AR4341" i="1"/>
  <c r="AR4344" i="1" a="1"/>
  <c r="AR4344" i="1" l="1"/>
  <c r="AS3370" i="1"/>
  <c r="AS3987" i="1"/>
  <c r="AS1808" i="1"/>
  <c r="AS721" i="1"/>
  <c r="AS3926" i="1"/>
  <c r="AS2319" i="1"/>
  <c r="AS4248" i="1"/>
  <c r="AS2618" i="1"/>
  <c r="AS688" i="1"/>
  <c r="AS3692" i="1"/>
  <c r="AS1388" i="1"/>
  <c r="AS2960" i="1"/>
  <c r="AS1463" i="1"/>
  <c r="AS2285" i="1"/>
  <c r="AS3924" i="1"/>
  <c r="AS1942" i="1"/>
  <c r="AS758" i="1"/>
  <c r="AS2993" i="1"/>
  <c r="AS2409" i="1"/>
  <c r="AS4080" i="1"/>
  <c r="AS4219" i="1"/>
  <c r="AS2524" i="1"/>
  <c r="AS4066" i="1"/>
  <c r="AS2455" i="1"/>
  <c r="AS561" i="1"/>
  <c r="AS4081" i="1"/>
  <c r="AS2585" i="1"/>
  <c r="AS3694" i="1"/>
  <c r="AS1831" i="1"/>
  <c r="AS4331" i="1"/>
  <c r="AS2974" i="1"/>
  <c r="AS2696" i="1"/>
  <c r="AS3277" i="1"/>
  <c r="AS2819" i="1"/>
  <c r="AS108" i="1"/>
  <c r="AS3464" i="1"/>
  <c r="AS2191" i="1"/>
  <c r="AS3337" i="1"/>
  <c r="AS3478" i="1"/>
  <c r="AS372" i="1"/>
  <c r="AS3163" i="1"/>
  <c r="AS2048" i="1"/>
  <c r="AS3795" i="1"/>
  <c r="AS3859" i="1"/>
  <c r="AS2311" i="1"/>
  <c r="AS3588" i="1"/>
  <c r="AS3673" i="1"/>
  <c r="AS1704" i="1"/>
  <c r="AS4103" i="1"/>
  <c r="AS1452" i="1"/>
  <c r="AS14" i="1"/>
  <c r="AS3986" i="1"/>
  <c r="AS1959" i="1"/>
  <c r="AS3243" i="1"/>
  <c r="AS4071" i="1"/>
  <c r="AS191" i="1"/>
  <c r="AS3755" i="1"/>
  <c r="AS3966" i="1"/>
  <c r="AS3364" i="1"/>
  <c r="AS4263" i="1"/>
  <c r="AS1745" i="1"/>
  <c r="AS4235" i="1"/>
  <c r="AS1280" i="1"/>
  <c r="AS2796" i="1"/>
  <c r="AS2779" i="1"/>
  <c r="AS1478" i="1"/>
  <c r="AS3611" i="1"/>
  <c r="AS2644" i="1"/>
  <c r="AS3320" i="1"/>
  <c r="AS3610" i="1"/>
  <c r="AS2764" i="1"/>
  <c r="AS3447" i="1"/>
  <c r="AS2639" i="1"/>
  <c r="AS2997" i="1"/>
  <c r="AS1649" i="1"/>
  <c r="AS3249" i="1"/>
  <c r="AS3514" i="1"/>
  <c r="AS2214" i="1"/>
  <c r="AS3780" i="1"/>
  <c r="AS4160" i="1"/>
  <c r="AS2276" i="1"/>
  <c r="AS3261" i="1"/>
  <c r="AS2239" i="1"/>
  <c r="AS3806" i="1"/>
  <c r="AS4249" i="1"/>
  <c r="AS3639" i="1"/>
  <c r="AS2899" i="1"/>
  <c r="AS1326" i="1"/>
  <c r="AS643" i="1"/>
  <c r="AS3849" i="1"/>
  <c r="AS2195" i="1"/>
  <c r="AS4093" i="1"/>
  <c r="AS1462" i="1"/>
  <c r="AS3054" i="1"/>
  <c r="AS3448" i="1"/>
  <c r="AS1650" i="1"/>
  <c r="AS4142" i="1"/>
  <c r="AS1667" i="1"/>
  <c r="AS2666" i="1"/>
  <c r="AS2870" i="1"/>
  <c r="AS1835" i="1"/>
  <c r="AS3550" i="1"/>
  <c r="AS3041" i="1"/>
  <c r="AS1591" i="1"/>
  <c r="AS2977" i="1"/>
  <c r="AS3599" i="1"/>
  <c r="AS2743" i="1"/>
  <c r="AS4123" i="1"/>
  <c r="AS1421" i="1"/>
  <c r="AS3104" i="1"/>
  <c r="AS3890" i="1"/>
  <c r="AS2574" i="1"/>
  <c r="AS3978" i="1"/>
  <c r="AS1726" i="1"/>
  <c r="AS4000" i="1"/>
  <c r="AS3566" i="1"/>
  <c r="AS2643" i="1"/>
  <c r="AS4252" i="1"/>
  <c r="AS3321" i="1"/>
  <c r="AS570" i="1"/>
  <c r="AS3225" i="1"/>
  <c r="AS1943" i="1"/>
  <c r="AS2896" i="1"/>
  <c r="AS2180" i="1"/>
  <c r="AS250" i="1"/>
  <c r="AS4130" i="1"/>
  <c r="AS2500" i="1"/>
  <c r="AS3685" i="1"/>
  <c r="AS4225" i="1"/>
  <c r="AS2402" i="1"/>
  <c r="AS3881" i="1"/>
  <c r="AS3317" i="1"/>
  <c r="AS2308" i="1"/>
  <c r="AS3430" i="1"/>
  <c r="AS1767" i="1"/>
  <c r="AS3889" i="1"/>
  <c r="AS3942" i="1"/>
  <c r="AS2230" i="1"/>
  <c r="AS3435" i="1"/>
  <c r="AS1985" i="1"/>
  <c r="AS828" i="1"/>
  <c r="AS2975" i="1"/>
  <c r="AS3825" i="1"/>
  <c r="AS3799" i="1"/>
  <c r="AS3287" i="1"/>
  <c r="AS2581" i="1"/>
  <c r="AS3648" i="1"/>
  <c r="AS1983" i="1"/>
  <c r="AS3423" i="1"/>
  <c r="AS4191" i="1"/>
  <c r="AS2676" i="1"/>
  <c r="AS2853" i="1"/>
  <c r="AS2397" i="1"/>
  <c r="AS3530" i="1"/>
  <c r="AS2876" i="1"/>
  <c r="AS3618" i="1"/>
  <c r="AS4255" i="1"/>
  <c r="AS1937" i="1"/>
  <c r="AS3244" i="1"/>
  <c r="AS1962" i="1"/>
  <c r="AS3237" i="1"/>
  <c r="AS3962" i="1"/>
  <c r="AS2140" i="1"/>
  <c r="AS3087" i="1"/>
  <c r="AS4158" i="1"/>
  <c r="AS1572" i="1"/>
  <c r="AS2790" i="1"/>
  <c r="AS1881" i="1"/>
  <c r="AS4301" i="1"/>
  <c r="AS3969" i="1"/>
  <c r="AS3257" i="1"/>
  <c r="AS4046" i="1"/>
  <c r="AS2246" i="1"/>
  <c r="AS184" i="1"/>
  <c r="AS3567" i="1"/>
  <c r="AS2414" i="1"/>
  <c r="AS3025" i="1"/>
  <c r="AS1731" i="1"/>
  <c r="AS3285" i="1"/>
  <c r="AS4177" i="1"/>
  <c r="AS2155" i="1"/>
  <c r="AS2817" i="1"/>
  <c r="AS1718" i="1"/>
  <c r="AS458" i="1"/>
  <c r="AS3524" i="1"/>
  <c r="AS2127" i="1"/>
  <c r="AS3230" i="1"/>
  <c r="AS3603" i="1"/>
  <c r="AS2410" i="1"/>
  <c r="AS3347" i="1"/>
  <c r="AS3303" i="1"/>
  <c r="AS2037" i="1"/>
  <c r="AS3518" i="1"/>
  <c r="AS1675" i="1"/>
  <c r="AS3831" i="1"/>
  <c r="AS3060" i="1"/>
  <c r="AS3556" i="1"/>
  <c r="AS2238" i="1"/>
  <c r="AS3722" i="1"/>
  <c r="AS1160" i="1"/>
  <c r="AS816" i="1"/>
  <c r="AS3459" i="1"/>
  <c r="AS1719" i="1"/>
  <c r="AS3195" i="1"/>
  <c r="AS2418" i="1"/>
  <c r="AS919" i="1"/>
  <c r="AS3254" i="1"/>
  <c r="AS1885" i="1"/>
  <c r="AS4023" i="1"/>
  <c r="AS4236" i="1"/>
  <c r="AS2023" i="1"/>
  <c r="AS3486" i="1"/>
  <c r="AS3349" i="1"/>
  <c r="AS515" i="1"/>
  <c r="AS3864" i="1"/>
  <c r="AS1563" i="1"/>
  <c r="AS4041" i="1"/>
  <c r="AS3278" i="1"/>
  <c r="AS2460" i="1"/>
  <c r="AS3080" i="1"/>
  <c r="AS3829" i="1"/>
  <c r="AS3869" i="1"/>
  <c r="AS3696" i="1"/>
  <c r="AS1691" i="1"/>
  <c r="AS4214" i="1"/>
  <c r="AS1696" i="1"/>
  <c r="AS4273" i="1"/>
  <c r="AS4112" i="1"/>
  <c r="AS60" i="1"/>
  <c r="AS4326" i="1"/>
  <c r="AS1451" i="1"/>
  <c r="AS4152" i="1"/>
  <c r="AS4096" i="1"/>
  <c r="AS3090" i="1"/>
  <c r="AS3515" i="1"/>
  <c r="AS944" i="1"/>
  <c r="AS3569" i="1"/>
  <c r="AS1312" i="1"/>
  <c r="AS3762" i="1"/>
  <c r="AS2864" i="1"/>
  <c r="AS1795" i="1"/>
  <c r="AS3532" i="1"/>
  <c r="AS3788" i="1"/>
  <c r="AS658" i="1"/>
  <c r="AS2869" i="1"/>
  <c r="AS3967" i="1"/>
  <c r="AS3534" i="1"/>
  <c r="AS1984" i="1"/>
  <c r="AS3578" i="1"/>
  <c r="AS3197" i="1"/>
  <c r="AS1710" i="1"/>
  <c r="AS3665" i="1"/>
  <c r="AS1908" i="1"/>
  <c r="AS3836" i="1"/>
  <c r="AS4241" i="1"/>
  <c r="AS2164" i="1"/>
  <c r="AS3014" i="1"/>
  <c r="AS1000" i="1"/>
  <c r="AS546" i="1"/>
  <c r="AS3222" i="1"/>
  <c r="AS1699" i="1"/>
  <c r="AS3670" i="1"/>
  <c r="AS3006" i="1"/>
  <c r="AS1913" i="1"/>
  <c r="AS3544" i="1"/>
  <c r="AS2902" i="1"/>
  <c r="AS538" i="1"/>
  <c r="AS3136" i="1"/>
  <c r="AS1787" i="1"/>
  <c r="AS4060" i="1"/>
  <c r="AS4242" i="1"/>
  <c r="AS3305" i="1"/>
  <c r="AS1701" i="1"/>
  <c r="AS3314" i="1"/>
  <c r="AS2435" i="1"/>
  <c r="AS391" i="1"/>
  <c r="AS4070" i="1"/>
  <c r="AS2052" i="1"/>
  <c r="AS4007" i="1"/>
  <c r="AS2108" i="1"/>
  <c r="AS290" i="1"/>
  <c r="AS3146" i="1"/>
  <c r="AS2179" i="1"/>
  <c r="AS3545" i="1"/>
  <c r="AS4232" i="1"/>
  <c r="AS2465" i="1"/>
  <c r="AS2924" i="1"/>
  <c r="AS3462" i="1"/>
  <c r="AS733" i="1"/>
  <c r="AS3099" i="1"/>
  <c r="AS2067" i="1"/>
  <c r="AS3186" i="1"/>
  <c r="AS2858" i="1"/>
  <c r="AS1544" i="1"/>
  <c r="AS3135" i="1"/>
  <c r="AS3441" i="1"/>
  <c r="AS3988" i="1"/>
  <c r="AS3905" i="1"/>
  <c r="AS2383" i="1"/>
  <c r="AS4127" i="1"/>
  <c r="AS1617" i="1"/>
  <c r="AS3158" i="1"/>
  <c r="AS4319" i="1"/>
  <c r="AS97" i="1"/>
  <c r="AS2761" i="1"/>
  <c r="AS1758" i="1"/>
  <c r="AS3376" i="1"/>
  <c r="AS2760" i="1"/>
  <c r="AS3201" i="1"/>
  <c r="AS3256" i="1"/>
  <c r="AS402" i="1"/>
  <c r="AS3612" i="1"/>
  <c r="AS2076" i="1"/>
  <c r="AS3668" i="1"/>
  <c r="AS4195" i="1"/>
  <c r="AS2301" i="1"/>
  <c r="AS4094" i="1"/>
  <c r="AS3571" i="1"/>
  <c r="AS621" i="1"/>
  <c r="AS3619" i="1"/>
  <c r="AS3743" i="1"/>
  <c r="AS3170" i="1"/>
  <c r="AS2449" i="1"/>
  <c r="AS3607" i="1"/>
  <c r="AS4121" i="1"/>
  <c r="AS1992" i="1"/>
  <c r="AS3068" i="1"/>
  <c r="AS1426" i="1"/>
  <c r="AS4064" i="1"/>
  <c r="AS4221" i="1"/>
  <c r="AS2354" i="1"/>
  <c r="AS3420" i="1"/>
  <c r="AS1627" i="1"/>
  <c r="AS18" i="1"/>
  <c r="AS3985" i="1"/>
  <c r="AS1622" i="1"/>
  <c r="AS3109" i="1"/>
  <c r="AS2906" i="1"/>
  <c r="AS2279" i="1"/>
  <c r="AS4141" i="1"/>
  <c r="AS4050" i="1"/>
  <c r="AS794" i="1"/>
  <c r="AS3814" i="1"/>
  <c r="AS1519" i="1"/>
  <c r="AS3866" i="1"/>
  <c r="AS3662" i="1"/>
  <c r="AS3693" i="1"/>
  <c r="AS1829" i="1"/>
  <c r="AS4312" i="1"/>
  <c r="AS2283" i="1"/>
  <c r="AS347" i="1"/>
  <c r="AS3491" i="1"/>
  <c r="AS2520" i="1"/>
  <c r="AS3794" i="1"/>
  <c r="AS1912" i="1"/>
  <c r="AS466" i="1"/>
  <c r="AS3793" i="1"/>
  <c r="AS3734" i="1"/>
  <c r="AS3472" i="1"/>
  <c r="AS1973" i="1"/>
  <c r="AS3917" i="1"/>
  <c r="AS3653" i="1"/>
  <c r="AS695" i="1"/>
  <c r="AS3076" i="1"/>
  <c r="AS1610" i="1"/>
  <c r="AS3446" i="1"/>
  <c r="AS3045" i="1"/>
  <c r="AS1996" i="1"/>
  <c r="AS2956" i="1"/>
  <c r="AS3838" i="1"/>
  <c r="AS2984" i="1"/>
  <c r="AS4115" i="1"/>
  <c r="AS753" i="1"/>
  <c r="AS4323" i="1"/>
  <c r="AS1549" i="1"/>
  <c r="AS3819" i="1"/>
  <c r="AS3508" i="1"/>
  <c r="AS448" i="1"/>
  <c r="AS4138" i="1"/>
  <c r="AS2701" i="1"/>
  <c r="AS3084" i="1"/>
  <c r="AS3792" i="1"/>
  <c r="AS2451" i="1"/>
  <c r="AS4072" i="1"/>
  <c r="AS3636" i="1"/>
  <c r="AS341" i="1"/>
  <c r="AS4308" i="1"/>
  <c r="AS2031" i="1"/>
  <c r="AS3427" i="1"/>
  <c r="AS3428" i="1"/>
  <c r="AS1873" i="1"/>
  <c r="AS3657" i="1"/>
  <c r="AS3103" i="1"/>
  <c r="AS576" i="1"/>
  <c r="AS3307" i="1"/>
  <c r="AS2098" i="1"/>
  <c r="AS3659" i="1"/>
  <c r="AS4076" i="1"/>
  <c r="AS2966" i="1"/>
  <c r="AS3058" i="1"/>
  <c r="AS1790" i="1"/>
  <c r="AS3536" i="1"/>
  <c r="AS3437" i="1"/>
  <c r="AS1989" i="1"/>
  <c r="AS2812" i="1"/>
  <c r="AS1762" i="1"/>
  <c r="AS4047" i="1"/>
  <c r="AS4279" i="1"/>
  <c r="AS2742" i="1"/>
  <c r="AS3217" i="1"/>
  <c r="AS1914" i="1"/>
  <c r="AS833" i="1"/>
  <c r="AS4324" i="1"/>
  <c r="AS2265" i="1"/>
  <c r="AS3965" i="1"/>
  <c r="AS3663" i="1"/>
  <c r="AS2694" i="1"/>
  <c r="AS4278" i="1"/>
  <c r="AS3298" i="1"/>
  <c r="AS261" i="1"/>
  <c r="AS3925" i="1"/>
  <c r="AS2242" i="1"/>
  <c r="AS3667" i="1"/>
  <c r="AS3937" i="1"/>
  <c r="AS2375" i="1"/>
  <c r="AS3630" i="1"/>
  <c r="AS2538" i="1"/>
  <c r="AS4062" i="1"/>
  <c r="AS3852" i="1"/>
  <c r="AS1845" i="1"/>
  <c r="AS2905" i="1"/>
  <c r="AS1574" i="1"/>
  <c r="AS761" i="1"/>
  <c r="AS3352" i="1"/>
  <c r="AS1693" i="1"/>
  <c r="AS3587" i="1"/>
  <c r="AS1559" i="1"/>
  <c r="AS366" i="1"/>
  <c r="AS4217" i="1"/>
  <c r="AS3803" i="1"/>
  <c r="AS3290" i="1"/>
  <c r="AS2745" i="1"/>
  <c r="AS3949" i="1"/>
  <c r="AS3824" i="1"/>
  <c r="AS735" i="1"/>
  <c r="AS4035" i="1"/>
  <c r="AS2030" i="1"/>
  <c r="AS3717" i="1"/>
  <c r="AS2878" i="1"/>
  <c r="AS1816" i="1"/>
  <c r="AS3916" i="1"/>
  <c r="AS1033" i="1"/>
  <c r="AS210" i="1"/>
  <c r="AS3654" i="1"/>
  <c r="AS3813" i="1"/>
  <c r="AS3695" i="1"/>
  <c r="AS4077" i="1"/>
  <c r="AS738" i="1"/>
  <c r="AS3017" i="1"/>
  <c r="AS2056" i="1"/>
  <c r="AS2821" i="1"/>
  <c r="AS4295" i="1"/>
  <c r="AS890" i="1"/>
  <c r="AS2915" i="1"/>
  <c r="AS2422" i="1"/>
  <c r="AS2987" i="1"/>
  <c r="AS3385" i="1"/>
  <c r="AS1746" i="1"/>
  <c r="AS4302" i="1"/>
  <c r="AS3754" i="1"/>
  <c r="AS877" i="1"/>
  <c r="AS3451" i="1"/>
  <c r="AS1676" i="1"/>
  <c r="AS3355" i="1"/>
  <c r="AS4118" i="1"/>
  <c r="AS1997" i="1"/>
  <c r="AS3513" i="1"/>
  <c r="AS3198" i="1"/>
  <c r="AS153" i="1"/>
  <c r="AS2938" i="1"/>
  <c r="AS1212" i="1"/>
  <c r="AS3494" i="1"/>
  <c r="AS3778" i="1"/>
  <c r="AS3993" i="1"/>
  <c r="AS3791" i="1"/>
  <c r="AS2371" i="1"/>
  <c r="AS3477" i="1"/>
  <c r="AS3533" i="1"/>
  <c r="AS1406" i="1"/>
  <c r="AS3528" i="1"/>
  <c r="AS1929" i="1"/>
  <c r="AS2773" i="1"/>
  <c r="AS3059" i="1"/>
  <c r="AS2207" i="1"/>
  <c r="AS4015" i="1"/>
  <c r="AS1646" i="1"/>
  <c r="AS414" i="1"/>
  <c r="AS3273" i="1"/>
  <c r="AS2161" i="1"/>
  <c r="AS3671" i="1"/>
  <c r="AS4164" i="1"/>
  <c r="AS1619" i="1"/>
  <c r="AS3153" i="1"/>
  <c r="AS3482" i="1"/>
  <c r="AS286" i="1"/>
  <c r="AS3977" i="1"/>
  <c r="AS1616" i="1"/>
  <c r="AS3623" i="1"/>
  <c r="AS4318" i="1"/>
  <c r="AS2528" i="1"/>
  <c r="AS4139" i="1"/>
  <c r="AS1722" i="1"/>
  <c r="AS3425" i="1"/>
  <c r="AS3498" i="1"/>
  <c r="AS2159" i="1"/>
  <c r="AS2941" i="1"/>
  <c r="AS1398" i="1"/>
  <c r="AS678" i="1"/>
  <c r="AS2971" i="1"/>
  <c r="AS951" i="1"/>
  <c r="AS4274" i="1"/>
  <c r="AS1252" i="1"/>
  <c r="AS3192" i="1"/>
  <c r="AS4188" i="1"/>
  <c r="AS4074" i="1"/>
  <c r="AS4310" i="1"/>
  <c r="AS2086" i="1"/>
  <c r="AS4067" i="1"/>
  <c r="AS1341" i="1"/>
  <c r="AS70" i="1"/>
  <c r="AS3300" i="1"/>
  <c r="AS1625" i="1"/>
  <c r="AS4086" i="1"/>
  <c r="AS3069" i="1"/>
  <c r="AS2597" i="1"/>
  <c r="AS3710" i="1"/>
  <c r="AS2008" i="1"/>
  <c r="AS3057" i="1"/>
  <c r="AS2972" i="1"/>
  <c r="AS3293" i="1"/>
  <c r="AS3809" i="1"/>
  <c r="AS3143" i="1"/>
  <c r="AS56" i="1"/>
  <c r="AS4289" i="1"/>
  <c r="AS2235" i="1"/>
  <c r="AS2934" i="1"/>
  <c r="AS2736" i="1"/>
  <c r="AS689" i="1"/>
  <c r="AS3972" i="1"/>
  <c r="AS1503" i="1"/>
  <c r="AS3167" i="1"/>
  <c r="AS1596" i="1"/>
  <c r="AS2057" i="1"/>
  <c r="AS4056" i="1"/>
  <c r="AS2549" i="1"/>
  <c r="AS417" i="1"/>
  <c r="AS3179" i="1"/>
  <c r="AS1624" i="1"/>
  <c r="AS3782" i="1"/>
  <c r="AS3888" i="1"/>
  <c r="AS2734" i="1"/>
  <c r="AS3206" i="1"/>
  <c r="AS1743" i="1"/>
  <c r="AS709" i="1"/>
  <c r="AS4176" i="1"/>
  <c r="AS2089" i="1"/>
  <c r="AS3523" i="1"/>
  <c r="AS1464" i="1"/>
  <c r="AS4298" i="1"/>
  <c r="AS2992" i="1"/>
  <c r="AS2353" i="1"/>
  <c r="AS3817" i="1"/>
  <c r="AS3886" i="1"/>
  <c r="AS2635" i="1"/>
  <c r="AS2857" i="1"/>
  <c r="AS2406" i="1"/>
  <c r="AS3641" i="1"/>
  <c r="AS3697" i="1"/>
  <c r="AS1499" i="1"/>
  <c r="AS3719" i="1"/>
  <c r="AS1905" i="1"/>
  <c r="AS87" i="1"/>
  <c r="AS4204" i="1"/>
  <c r="AS2029" i="1"/>
  <c r="AS3895" i="1"/>
  <c r="AS3138" i="1"/>
  <c r="AS1354" i="1"/>
  <c r="AS4087" i="1"/>
  <c r="AS1846" i="1"/>
  <c r="AS34" i="1"/>
  <c r="AS3837" i="1"/>
  <c r="AS1884" i="1"/>
  <c r="AS3117" i="1"/>
  <c r="AS4300" i="1"/>
  <c r="AS3363" i="1"/>
  <c r="AS2377" i="1"/>
  <c r="AS3899" i="1"/>
  <c r="AS2260" i="1"/>
  <c r="AS3943" i="1"/>
  <c r="AS3308" i="1"/>
  <c r="AS1601" i="1"/>
  <c r="AS4001" i="1"/>
  <c r="AS1733" i="1"/>
  <c r="AS3044" i="1"/>
  <c r="AS4213" i="1"/>
  <c r="AS2930" i="1"/>
  <c r="AS3490" i="1"/>
  <c r="AS2181" i="1"/>
  <c r="AS2893" i="1"/>
  <c r="AS2137" i="1"/>
  <c r="AS31" i="1"/>
  <c r="AS3177" i="1"/>
  <c r="AS2121" i="1"/>
  <c r="AS2831" i="1"/>
  <c r="AS3517" i="1"/>
  <c r="AS1539" i="1"/>
  <c r="AS3903" i="1"/>
  <c r="AS4097" i="1"/>
  <c r="AS3431" i="1"/>
  <c r="AS3798" i="1"/>
  <c r="AS566" i="1"/>
  <c r="AS3453" i="1"/>
  <c r="AS1334" i="1"/>
  <c r="AS4253" i="1"/>
  <c r="AS2267" i="1"/>
  <c r="AS650" i="1"/>
  <c r="AS4150" i="1"/>
  <c r="AS1603" i="1"/>
  <c r="AS3332" i="1"/>
  <c r="AS2290" i="1"/>
  <c r="AS1085" i="1"/>
  <c r="AS2756" i="1"/>
  <c r="AS2313" i="1"/>
  <c r="AS79" i="1"/>
  <c r="AS4243" i="1"/>
  <c r="AS2103" i="1"/>
  <c r="AS3772" i="1"/>
  <c r="AS4264" i="1"/>
  <c r="AS1112" i="1"/>
  <c r="AS3574" i="1"/>
  <c r="AS2555" i="1"/>
  <c r="AS145" i="1"/>
  <c r="AS3481" i="1"/>
  <c r="AS3232" i="1"/>
  <c r="AS2390" i="1"/>
  <c r="AS2759" i="1"/>
  <c r="AS2995" i="1"/>
  <c r="AS2247" i="1"/>
  <c r="AS3725" i="1"/>
  <c r="AS2384" i="1"/>
  <c r="AS3983" i="1"/>
  <c r="AS4069" i="1"/>
  <c r="AS453" i="1"/>
  <c r="AS3724" i="1"/>
  <c r="AS1662" i="1"/>
  <c r="AS217" i="1"/>
  <c r="AS3560" i="1"/>
  <c r="AS1763" i="1"/>
  <c r="AS4156" i="1"/>
  <c r="AS3335" i="1"/>
  <c r="AS2699" i="1"/>
  <c r="AS3399" i="1"/>
  <c r="AS2303" i="1"/>
  <c r="AS522" i="1"/>
  <c r="AS3960" i="1"/>
  <c r="AS2566" i="1"/>
  <c r="AS3003" i="1"/>
  <c r="AS3738" i="1"/>
  <c r="AS667" i="1"/>
  <c r="AS2981" i="1"/>
  <c r="AS3879" i="1"/>
  <c r="AS3912" i="1"/>
  <c r="AS2513" i="1"/>
  <c r="AS4303" i="1"/>
  <c r="AS1258" i="1"/>
  <c r="AS3589" i="1"/>
  <c r="AS3863" i="1"/>
  <c r="AS2684" i="1"/>
  <c r="AS4055" i="1"/>
  <c r="AS1977" i="1"/>
  <c r="AS3338" i="1"/>
  <c r="AS3147" i="1"/>
  <c r="AS3928" i="1"/>
  <c r="AS4029" i="1"/>
  <c r="AS1481" i="1"/>
  <c r="AS2929" i="1"/>
  <c r="AS2268" i="1"/>
  <c r="AS447" i="1"/>
  <c r="AS3970" i="1"/>
  <c r="AS2105" i="1"/>
  <c r="AS3108" i="1"/>
  <c r="AS4027" i="1"/>
  <c r="AS2439" i="1"/>
  <c r="AS3093" i="1"/>
  <c r="AS2813" i="1"/>
  <c r="AS3956" i="1"/>
  <c r="AS3325" i="1"/>
  <c r="AS114" i="1"/>
  <c r="AS3701" i="1"/>
  <c r="AS2623" i="1"/>
  <c r="AS4153" i="1"/>
  <c r="AS1569" i="1"/>
  <c r="AS530" i="1"/>
  <c r="AS4266" i="1"/>
  <c r="AS2682" i="1"/>
  <c r="AS4313" i="1"/>
  <c r="AS2227" i="1"/>
  <c r="AS2726" i="1"/>
  <c r="AS4258" i="1"/>
  <c r="AS1125" i="1"/>
  <c r="AS446" i="1"/>
  <c r="AS3128" i="1"/>
  <c r="AS2335" i="1"/>
  <c r="AS4306" i="1"/>
  <c r="AS3175" i="1"/>
  <c r="AS2220" i="1"/>
  <c r="AS3052" i="1"/>
  <c r="AS2068" i="1"/>
  <c r="AS459" i="1"/>
  <c r="AS2998" i="1"/>
  <c r="AS3113" i="1"/>
  <c r="AS1822" i="1"/>
  <c r="AS4287" i="1"/>
  <c r="AS3827" i="1"/>
  <c r="AS812" i="1"/>
  <c r="AS3457" i="1"/>
  <c r="AS1991" i="1"/>
  <c r="AS4169" i="1"/>
  <c r="AS4174" i="1"/>
  <c r="AS163" i="1"/>
  <c r="AS3609" i="1"/>
  <c r="AS1210" i="1"/>
  <c r="AS379" i="1"/>
  <c r="AS3414" i="1"/>
  <c r="AS1698" i="1"/>
  <c r="AS4030" i="1"/>
  <c r="AS3029" i="1"/>
  <c r="AS1948" i="1"/>
  <c r="AS3121" i="1"/>
  <c r="AS2660" i="1"/>
  <c r="AS27" i="1"/>
  <c r="AS3796" i="1"/>
  <c r="AS2028" i="1"/>
  <c r="AS4314" i="1"/>
  <c r="AS4311" i="1"/>
  <c r="AS353" i="1"/>
  <c r="AS3397" i="1"/>
  <c r="AS4226" i="1"/>
  <c r="AS3616" i="1"/>
  <c r="AS2504" i="1"/>
  <c r="AS4173" i="1"/>
  <c r="AS2646" i="1"/>
  <c r="AS4180" i="1"/>
  <c r="AS3229" i="1"/>
  <c r="AS2476" i="1"/>
  <c r="AS3904" i="1"/>
  <c r="AS1684" i="1"/>
  <c r="AS3789" i="1"/>
  <c r="AS3691" i="1"/>
  <c r="AS4172" i="1"/>
  <c r="AS3633" i="1"/>
  <c r="AS2436" i="1"/>
  <c r="AS3767" i="1"/>
  <c r="AS1709" i="1"/>
  <c r="AS505" i="1"/>
  <c r="AS4309" i="1"/>
  <c r="AS1825" i="1"/>
  <c r="AS3502" i="1"/>
  <c r="AS2777" i="1"/>
  <c r="AS1792" i="1"/>
  <c r="AS3865" i="1"/>
  <c r="AS3208" i="1"/>
  <c r="AS4222" i="1"/>
  <c r="AS1896" i="1"/>
  <c r="AS690" i="1"/>
  <c r="AS4137" i="1"/>
  <c r="AS2620" i="1"/>
  <c r="AS3038" i="1"/>
  <c r="AS1237" i="1"/>
  <c r="AS77" i="1"/>
  <c r="AS4025" i="1"/>
  <c r="AS2579" i="1"/>
  <c r="AS4063" i="1"/>
  <c r="AS1895" i="1"/>
  <c r="AS2144" i="1"/>
  <c r="AS2933" i="1"/>
  <c r="AS2349" i="1"/>
  <c r="AS386" i="1"/>
  <c r="AS3223" i="1"/>
  <c r="AS2550" i="1"/>
  <c r="AS2859" i="1"/>
  <c r="AS3753" i="1"/>
  <c r="AS2320" i="1"/>
  <c r="AS4022" i="1"/>
  <c r="AS1378" i="1"/>
  <c r="AS189" i="1"/>
  <c r="AS3144" i="1"/>
  <c r="AS3681" i="1"/>
  <c r="AS2032" i="1"/>
  <c r="AS3274" i="1"/>
  <c r="AS3552" i="1"/>
  <c r="AS780" i="1"/>
  <c r="AS4305" i="1"/>
  <c r="AS2652" i="1"/>
  <c r="AS3551" i="1"/>
  <c r="AS3729" i="1"/>
  <c r="AS748" i="1"/>
  <c r="AS4267" i="1"/>
  <c r="AS2175" i="1"/>
  <c r="AS693" i="1"/>
  <c r="AS2939" i="1"/>
  <c r="AS1864" i="1"/>
  <c r="AS2838" i="1"/>
  <c r="AS3826" i="1"/>
  <c r="AS2054" i="1"/>
  <c r="AS3744" i="1"/>
  <c r="AS2092" i="1"/>
  <c r="AS640" i="1"/>
  <c r="AS4322" i="1"/>
  <c r="AS2003" i="1"/>
  <c r="AS3497" i="1"/>
  <c r="AS3048" i="1"/>
  <c r="AS4247" i="1"/>
  <c r="AS2340" i="1"/>
  <c r="AS3959" i="1"/>
  <c r="AS1581" i="1"/>
  <c r="AS3527" i="1"/>
  <c r="AS4246" i="1"/>
  <c r="AS2681" i="1"/>
  <c r="AS2811" i="1"/>
  <c r="AS2419" i="1"/>
  <c r="AS3940" i="1"/>
  <c r="AS3371" i="1"/>
  <c r="AS3053" i="1"/>
  <c r="AS4294" i="1"/>
  <c r="AS1857" i="1"/>
  <c r="AS3635" i="1"/>
  <c r="AS2063" i="1"/>
  <c r="AS827" i="1"/>
  <c r="AS3990" i="1"/>
  <c r="AS1659" i="1"/>
  <c r="AS3247" i="1"/>
  <c r="AS3275" i="1"/>
  <c r="AS2587" i="1"/>
  <c r="AS3999" i="1"/>
  <c r="AS1976" i="1"/>
  <c r="AS3009" i="1"/>
  <c r="AS3893" i="1"/>
  <c r="AS1686" i="1"/>
  <c r="AS2391" i="1"/>
  <c r="AS2518" i="1"/>
  <c r="AS3700" i="1"/>
  <c r="AS2722" i="1"/>
  <c r="AS2787" i="1"/>
  <c r="AS2970" i="1"/>
  <c r="AS2168" i="1"/>
  <c r="AS3033" i="1"/>
  <c r="AS3391" i="1"/>
  <c r="AS898" i="1"/>
  <c r="AS3021" i="1"/>
  <c r="AS1777" i="1"/>
  <c r="AS4304" i="1"/>
  <c r="AS4124" i="1"/>
  <c r="AS2275" i="1"/>
  <c r="AS3968" i="1"/>
  <c r="AS139" i="1"/>
  <c r="AS399" i="1"/>
  <c r="AS3488" i="1"/>
  <c r="AS3116" i="1"/>
  <c r="AS3510" i="1"/>
  <c r="AS2770" i="1"/>
  <c r="AS3833" i="1"/>
  <c r="AS1533" i="1"/>
  <c r="AS2562" i="1"/>
  <c r="AS892" i="1"/>
  <c r="AS2904" i="1"/>
  <c r="AS4082" i="1"/>
  <c r="AS2047" i="1"/>
  <c r="AS130" i="1"/>
  <c r="AS3664" i="1"/>
  <c r="AS3342" i="1"/>
  <c r="AS2339" i="1"/>
  <c r="AS2381" i="1"/>
  <c r="AS625" i="1"/>
  <c r="AS2490" i="1"/>
  <c r="AS2710" i="1"/>
  <c r="AS3034" i="1"/>
  <c r="AS1995" i="1"/>
  <c r="AS2826" i="1"/>
  <c r="AS1783" i="1"/>
  <c r="AS2073" i="1"/>
  <c r="AS4061" i="1"/>
  <c r="AS1586" i="1"/>
  <c r="AS1776" i="1"/>
  <c r="AS3304" i="1"/>
  <c r="AS321" i="1"/>
  <c r="AS3373" i="1"/>
  <c r="AS2223" i="1"/>
  <c r="AS3091" i="1"/>
  <c r="AS3981" i="1"/>
  <c r="AS902" i="1"/>
  <c r="AS4008" i="1"/>
  <c r="AS1597" i="1"/>
  <c r="AS3417" i="1"/>
  <c r="AS3485" i="1"/>
  <c r="AS1375" i="1"/>
  <c r="AS3235" i="1"/>
  <c r="AS4181" i="1"/>
  <c r="AS3101" i="1"/>
  <c r="AS497" i="1"/>
  <c r="AS3500" i="1"/>
  <c r="AS3443" i="1"/>
  <c r="AS3675" i="1"/>
  <c r="AS3801" i="1"/>
  <c r="AS2119" i="1"/>
  <c r="AS4268" i="1"/>
  <c r="AS3541" i="1"/>
  <c r="AS2670" i="1"/>
  <c r="AS1493" i="1"/>
  <c r="AS3392" i="1"/>
  <c r="AS1577" i="1"/>
  <c r="AS2603" i="1"/>
  <c r="AS2609" i="1"/>
  <c r="AS3816" i="1"/>
  <c r="AS4206" i="1"/>
  <c r="AS2568" i="1"/>
  <c r="AS2954" i="1"/>
  <c r="AS3127" i="1"/>
  <c r="AS1265" i="1"/>
  <c r="AS3581" i="1"/>
  <c r="AS2673" i="1"/>
  <c r="AS3553" i="1"/>
  <c r="AS133" i="1"/>
  <c r="AS387" i="1"/>
  <c r="AS736" i="1"/>
  <c r="AS3507" i="1"/>
  <c r="AS3015" i="1"/>
  <c r="AS2900" i="1"/>
  <c r="AS3499" i="1"/>
  <c r="AS434" i="1"/>
  <c r="AS3721" i="1"/>
  <c r="AS1805" i="1"/>
  <c r="AS3234" i="1"/>
  <c r="AS3775" i="1"/>
  <c r="AS2717" i="1"/>
  <c r="AS4165" i="1"/>
  <c r="AS4159" i="1"/>
  <c r="AS318" i="1"/>
  <c r="AS3445" i="1"/>
  <c r="AS2332" i="1"/>
  <c r="AS407" i="1"/>
  <c r="AS2982" i="1"/>
  <c r="AS2330" i="1"/>
  <c r="AS1909" i="1"/>
  <c r="AS3359" i="1"/>
  <c r="AS2017" i="1"/>
  <c r="AS2881" i="1"/>
  <c r="AS4092" i="1"/>
  <c r="AS3984" i="1"/>
  <c r="AS2824" i="1"/>
  <c r="AS2577" i="1"/>
  <c r="AS1387" i="1"/>
  <c r="AS1508" i="1"/>
  <c r="AS2944" i="1"/>
  <c r="AS2757" i="1"/>
  <c r="AS2534" i="1"/>
  <c r="AS782" i="1"/>
  <c r="AS1365" i="1"/>
  <c r="AS2746" i="1"/>
  <c r="AS2556" i="1"/>
  <c r="AS1755" i="1"/>
  <c r="AS2077" i="1"/>
  <c r="AS1480" i="1"/>
  <c r="AS3440" i="1"/>
  <c r="AS2441" i="1"/>
  <c r="AS3861" i="1"/>
  <c r="AS1901" i="1"/>
  <c r="AS3141" i="1"/>
  <c r="AS2289" i="1"/>
  <c r="AS2616" i="1"/>
  <c r="AS3072" i="1"/>
  <c r="AS1609" i="1"/>
  <c r="AS3929" i="1"/>
  <c r="AS3733" i="1"/>
  <c r="AS2613" i="1"/>
  <c r="AS2898" i="1"/>
  <c r="AS2988" i="1"/>
  <c r="AS420" i="1"/>
  <c r="AS3946" i="1"/>
  <c r="AS2091" i="1"/>
  <c r="AS3830" i="1"/>
  <c r="AS3704" i="1"/>
  <c r="AS1134" i="1"/>
  <c r="AS2771" i="1"/>
  <c r="AS2331" i="1"/>
  <c r="AS410" i="1"/>
  <c r="AS488" i="1"/>
  <c r="AS2862" i="1"/>
  <c r="AS350" i="1"/>
  <c r="AS4209" i="1"/>
  <c r="AS3561" i="1"/>
  <c r="AS3142" i="1"/>
  <c r="AS2703" i="1"/>
  <c r="AS1530" i="1"/>
  <c r="AS2407" i="1"/>
  <c r="AS2051" i="1"/>
  <c r="AS4203" i="1"/>
  <c r="AS3887" i="1"/>
  <c r="AS2627" i="1"/>
  <c r="AS1342" i="1"/>
  <c r="AS4020" i="1"/>
  <c r="AS4282" i="1"/>
  <c r="AS2112" i="1"/>
  <c r="AS3468" i="1"/>
  <c r="AS3505" i="1"/>
  <c r="AS445" i="1"/>
  <c r="AS3781" i="1"/>
  <c r="AS3030" i="1"/>
  <c r="AS605" i="1"/>
  <c r="AS146" i="1"/>
  <c r="AS1813" i="1"/>
  <c r="AS4199" i="1"/>
  <c r="AS3071" i="1"/>
  <c r="AS839" i="1"/>
  <c r="AS4068" i="1"/>
  <c r="AS1350" i="1"/>
  <c r="AS3933" i="1"/>
  <c r="AS3149" i="1"/>
  <c r="AS778" i="1"/>
  <c r="AS3529" i="1"/>
  <c r="AS1717" i="1"/>
  <c r="AS3512" i="1"/>
  <c r="AS4002" i="1"/>
  <c r="AS2096" i="1"/>
  <c r="AS3961" i="1"/>
  <c r="AS2800" i="1"/>
  <c r="AS1495" i="1"/>
  <c r="AS3584" i="1"/>
  <c r="AS2429" i="1"/>
  <c r="AS4321" i="1"/>
  <c r="AS3856" i="1"/>
  <c r="AS285" i="1"/>
  <c r="AS3547" i="1"/>
  <c r="AS519" i="1"/>
  <c r="AS3634" i="1"/>
  <c r="AS2887" i="1"/>
  <c r="AS903" i="1"/>
  <c r="AS1322" i="1"/>
  <c r="AS4037" i="1"/>
  <c r="AS2426" i="1"/>
  <c r="AS4270" i="1"/>
  <c r="AS676" i="1"/>
  <c r="AS2598" i="1"/>
  <c r="AS1566" i="1"/>
  <c r="AS3484" i="1"/>
  <c r="AS4210" i="1"/>
  <c r="AS3711" i="1"/>
  <c r="AS1386" i="1"/>
  <c r="AS4320" i="1"/>
  <c r="AS1550" i="1"/>
  <c r="AS390" i="1"/>
  <c r="AS4170" i="1"/>
  <c r="AS490" i="1"/>
  <c r="AS1400" i="1"/>
  <c r="AS3476" i="1"/>
  <c r="AS4317" i="1"/>
  <c r="AS3720" i="1"/>
  <c r="AS749" i="1"/>
  <c r="AS2921" i="1"/>
  <c r="AS2723" i="1"/>
  <c r="AS3152" i="1"/>
  <c r="AS4104" i="1"/>
  <c r="AS2066" i="1"/>
  <c r="AS3458" i="1"/>
  <c r="AS2926" i="1"/>
  <c r="AS527" i="1"/>
  <c r="AS2880" i="1"/>
  <c r="AS1956" i="1"/>
  <c r="AS32" i="1"/>
  <c r="AS3173" i="1"/>
  <c r="AS3539" i="1"/>
  <c r="AS3896" i="1"/>
  <c r="AS2469" i="1"/>
  <c r="AS2778" i="1"/>
  <c r="AS3935" i="1"/>
  <c r="AS3388" i="1"/>
  <c r="AS3018" i="1"/>
  <c r="AS3832" i="1"/>
  <c r="AS1491" i="1"/>
  <c r="AS1228" i="1"/>
  <c r="AS2802" i="1"/>
  <c r="AS1633" i="1"/>
  <c r="AS3380" i="1"/>
  <c r="AS2344" i="1"/>
  <c r="AS2803" i="1"/>
  <c r="AS2448" i="1"/>
  <c r="AS1664" i="1"/>
  <c r="AS1716" i="1"/>
  <c r="AS306" i="1"/>
  <c r="AS3413" i="1"/>
  <c r="AS319" i="1"/>
  <c r="AS2762" i="1"/>
  <c r="AS3471" i="1"/>
  <c r="AS727" i="1"/>
  <c r="AS2836" i="1"/>
  <c r="AS2621" i="1"/>
  <c r="AS917" i="1"/>
  <c r="AS230" i="1"/>
  <c r="AS1017" i="1"/>
  <c r="AS2784" i="1"/>
  <c r="AS2768" i="1"/>
  <c r="AS1524" i="1"/>
  <c r="AS1789" i="1"/>
  <c r="AS3078" i="1"/>
  <c r="AS2323" i="1"/>
  <c r="AS4245" i="1"/>
  <c r="AS3914" i="1"/>
  <c r="AS2571" i="1"/>
  <c r="AS3204" i="1"/>
  <c r="AS4089" i="1"/>
  <c r="AS55" i="1"/>
  <c r="AS943" i="1"/>
  <c r="AS846" i="1"/>
  <c r="AS3406" i="1"/>
  <c r="AS1687" i="1"/>
  <c r="AS3683" i="1"/>
  <c r="AS3432" i="1"/>
  <c r="AS886" i="1"/>
  <c r="AS3894" i="1"/>
  <c r="AS2027" i="1"/>
  <c r="AS4230" i="1"/>
  <c r="AS3389" i="1"/>
  <c r="AS2806" i="1"/>
  <c r="AS4073" i="1"/>
  <c r="AS4154" i="1"/>
  <c r="AS3522" i="1"/>
  <c r="AS394" i="1"/>
  <c r="AS3353" i="1"/>
  <c r="AS2134" i="1"/>
  <c r="AS4045" i="1"/>
  <c r="AS3123" i="1"/>
  <c r="AS2453" i="1"/>
  <c r="AS3262" i="1"/>
  <c r="AS2629" i="1"/>
  <c r="AS314" i="1"/>
  <c r="AS83" i="1"/>
  <c r="AS1893" i="1"/>
  <c r="AS1636" i="1"/>
  <c r="AS3467" i="1"/>
  <c r="AS1554" i="1"/>
  <c r="AS3264" i="1"/>
  <c r="AS4108" i="1"/>
  <c r="AS2656" i="1"/>
  <c r="AS3741" i="1"/>
  <c r="AS1467" i="1"/>
  <c r="AS728" i="1"/>
  <c r="AS3503" i="1"/>
  <c r="AS2072" i="1"/>
  <c r="AS2807" i="1"/>
  <c r="AS2433" i="1"/>
  <c r="AS3089" i="1"/>
  <c r="AS165" i="1"/>
  <c r="AS3716" i="1"/>
  <c r="AS1497" i="1"/>
  <c r="AS3215" i="1"/>
  <c r="AS1025" i="1"/>
  <c r="AS535" i="1"/>
  <c r="AS2804" i="1"/>
  <c r="AS2294" i="1"/>
  <c r="AS3210" i="1"/>
  <c r="AS4216" i="1"/>
  <c r="AS2708" i="1"/>
  <c r="AS3519" i="1"/>
  <c r="AS1332" i="1"/>
  <c r="AS3885" i="1"/>
  <c r="AS4168" i="1"/>
  <c r="AS1411" i="1"/>
  <c r="AS3614" i="1"/>
  <c r="AS4098" i="1"/>
  <c r="AS832" i="1"/>
  <c r="AS3938" i="1"/>
  <c r="AS2115" i="1"/>
  <c r="AS3504" i="1"/>
  <c r="AS4075" i="1"/>
  <c r="AS1401" i="1"/>
  <c r="AS3601" i="1"/>
  <c r="AS2252" i="1"/>
  <c r="AS766" i="1"/>
  <c r="AS3281" i="1"/>
  <c r="AS1643" i="1"/>
  <c r="AS837" i="1"/>
  <c r="AS2705" i="1"/>
  <c r="AS2801" i="1"/>
  <c r="AS2245" i="1"/>
  <c r="AS3853" i="1"/>
  <c r="AS3769" i="1"/>
  <c r="AS2437" i="1"/>
  <c r="AS3958" i="1"/>
  <c r="AS2204" i="1"/>
  <c r="AS52" i="1"/>
  <c r="AS4079" i="1"/>
  <c r="AS1414" i="1"/>
  <c r="AS3067" i="1"/>
  <c r="AS3559" i="1"/>
  <c r="AS2295" i="1"/>
  <c r="AS2116" i="1"/>
  <c r="AS2792" i="1"/>
  <c r="AS3939" i="1"/>
  <c r="AS3024" i="1"/>
  <c r="AS2488" i="1"/>
  <c r="AS2789" i="1"/>
  <c r="AS2253" i="1"/>
  <c r="AS48" i="1"/>
  <c r="AS4296" i="1"/>
  <c r="AS1528" i="1"/>
  <c r="AS4182" i="1"/>
  <c r="AS3259" i="1"/>
  <c r="AS2413" i="1"/>
  <c r="AS4239" i="1"/>
  <c r="AS2695" i="1"/>
  <c r="AS3236" i="1"/>
  <c r="AS4183" i="1"/>
  <c r="AS2097" i="1"/>
  <c r="AS3751" i="1"/>
  <c r="AS1023" i="1"/>
  <c r="AS412" i="1"/>
  <c r="AS3542" i="1"/>
  <c r="AS2167" i="1"/>
  <c r="AS3784" i="1"/>
  <c r="AS3454" i="1"/>
  <c r="AS1788" i="1"/>
  <c r="AS3350" i="1"/>
  <c r="AS1314" i="1"/>
  <c r="AS804" i="1"/>
  <c r="AS3922" i="1"/>
  <c r="AS2039" i="1"/>
  <c r="AS762" i="1"/>
  <c r="AS280" i="1"/>
  <c r="AS2189" i="1"/>
  <c r="AS4058" i="1"/>
  <c r="AS2976" i="1"/>
  <c r="AS1570" i="1"/>
  <c r="AS413" i="1"/>
  <c r="AS4049" i="1"/>
  <c r="AS431" i="1"/>
  <c r="AS3442" i="1"/>
  <c r="AS2848" i="1"/>
  <c r="AS3604" i="1"/>
  <c r="AS3023" i="1"/>
  <c r="AS687" i="1"/>
  <c r="AS3131" i="1"/>
  <c r="AS4003" i="1"/>
  <c r="AS2865" i="1"/>
  <c r="AS1379" i="1"/>
  <c r="AS2718" i="1"/>
  <c r="AS3326" i="1"/>
  <c r="AS429" i="1"/>
  <c r="AS2664" i="1"/>
  <c r="AS3934" i="1"/>
  <c r="AS2882" i="1"/>
  <c r="AS1751" i="1"/>
  <c r="AS3572" i="1"/>
  <c r="AS2536" i="1"/>
  <c r="AS1670" i="1"/>
  <c r="AS3037" i="1"/>
  <c r="AS726" i="1"/>
  <c r="AS1838" i="1"/>
  <c r="AS4167" i="1"/>
  <c r="AS2943" i="1"/>
  <c r="AS13" i="1"/>
  <c r="AS1663" i="1"/>
  <c r="AS529" i="1"/>
  <c r="AS3148" i="1"/>
  <c r="AS371" i="1"/>
  <c r="AS1081" i="1"/>
  <c r="AS3742" i="1"/>
  <c r="AS2147" i="1"/>
  <c r="AS4110" i="1"/>
  <c r="AS4012" i="1"/>
  <c r="AS2508" i="1"/>
  <c r="AS3804" i="1"/>
  <c r="AS1861" i="1"/>
  <c r="AS206" i="1"/>
  <c r="AS3731" i="1"/>
  <c r="AS2637" i="1"/>
  <c r="AS2758" i="1"/>
  <c r="AS3111" i="1"/>
  <c r="AS2082" i="1"/>
  <c r="AS3224" i="1"/>
  <c r="AS3492" i="1"/>
  <c r="AS3779" i="1"/>
  <c r="AS1955" i="1"/>
  <c r="AS2980" i="1"/>
  <c r="AS3318" i="1"/>
  <c r="AS1843" i="1"/>
  <c r="AS1453" i="1"/>
  <c r="AS3963" i="1"/>
  <c r="AS1487" i="1"/>
  <c r="AS365" i="1"/>
  <c r="AS2425" i="1"/>
  <c r="AS2945" i="1"/>
  <c r="AS3051" i="1"/>
  <c r="AS3628" i="1"/>
  <c r="AS103" i="1"/>
  <c r="AS2675" i="1"/>
  <c r="AS2442" i="1"/>
  <c r="AS295" i="1"/>
  <c r="AS1163" i="1"/>
  <c r="AS3606" i="1"/>
  <c r="AS2755" i="1"/>
  <c r="AS3218" i="1"/>
  <c r="AS3952" i="1"/>
  <c r="AS3074" i="1"/>
  <c r="AS3757" i="1"/>
  <c r="AS3995" i="1"/>
  <c r="AS3800" i="1"/>
  <c r="AS2212" i="1"/>
  <c r="AS4084" i="1"/>
  <c r="AS1738" i="1"/>
  <c r="AS460" i="1"/>
  <c r="AS3409" i="1"/>
  <c r="AS2337" i="1"/>
  <c r="AS3876" i="1"/>
  <c r="AS4157" i="1"/>
  <c r="AS1351" i="1"/>
  <c r="AS3980" i="1"/>
  <c r="AS1855" i="1"/>
  <c r="AS825" i="1"/>
  <c r="AS47" i="1"/>
  <c r="AS3075" i="1"/>
  <c r="AS3878" i="1"/>
  <c r="AS2744" i="1"/>
  <c r="AS3660" i="1"/>
  <c r="AS3403" i="1"/>
  <c r="AS3096" i="1"/>
  <c r="AS3948" i="1"/>
  <c r="AS4254" i="1"/>
  <c r="AS3336" i="1"/>
  <c r="AS537" i="1"/>
  <c r="AS1455" i="1"/>
  <c r="AS2885" i="1"/>
  <c r="AS3496" i="1"/>
  <c r="AS3252" i="1"/>
  <c r="AS3005" i="1"/>
  <c r="AS1652" i="1"/>
  <c r="AS2935" i="1"/>
  <c r="AS1737" i="1"/>
  <c r="AS867" i="1"/>
  <c r="AS4240" i="1"/>
  <c r="AS1598" i="1"/>
  <c r="AS4256" i="1"/>
  <c r="AS3682" i="1"/>
  <c r="AS1589" i="1"/>
  <c r="AS3114" i="1"/>
  <c r="AS1685" i="1"/>
  <c r="AS345" i="1"/>
  <c r="AS3463" i="1"/>
  <c r="AS1407" i="1"/>
  <c r="AS166" i="1"/>
  <c r="AS3605" i="1"/>
  <c r="AS3921" i="1"/>
  <c r="AS2912" i="1"/>
  <c r="AS3483" i="1"/>
  <c r="AS3521" i="1"/>
  <c r="AS3898" i="1"/>
  <c r="AS851" i="1"/>
  <c r="AS1305" i="1"/>
  <c r="AS2123" i="1"/>
  <c r="AS2125" i="1"/>
  <c r="AS1515" i="1"/>
  <c r="AS1422" i="1"/>
  <c r="AS364" i="1"/>
  <c r="AS2493" i="1"/>
  <c r="AS916" i="1"/>
  <c r="AS2554" i="1"/>
  <c r="AS1488" i="1"/>
  <c r="AS3263" i="1"/>
  <c r="AS623" i="1"/>
  <c r="AS3643" i="1"/>
  <c r="AS2942" i="1"/>
  <c r="AS346" i="1"/>
  <c r="AS2698" i="1"/>
  <c r="AS1108" i="1"/>
  <c r="AS3107" i="1"/>
  <c r="AS1144" i="1"/>
  <c r="AS3156" i="1"/>
  <c r="AS2020" i="1"/>
  <c r="AS3617" i="1"/>
  <c r="AS3433" i="1"/>
  <c r="AS4229" i="1"/>
  <c r="AS4042" i="1"/>
  <c r="AS354" i="1"/>
  <c r="AS2582" i="1"/>
  <c r="AS1724" i="1"/>
  <c r="AS2624" i="1"/>
  <c r="AS330" i="1"/>
  <c r="AS2867" i="1"/>
  <c r="AS1216" i="1"/>
  <c r="AS3714" i="1"/>
  <c r="AS3595" i="1"/>
  <c r="AS1347" i="1"/>
  <c r="AS3577" i="1"/>
  <c r="AS1070" i="1"/>
  <c r="AS717" i="1"/>
  <c r="AS2946" i="1"/>
  <c r="AS1043" i="1"/>
  <c r="AS2845" i="1"/>
  <c r="AS3613" i="1"/>
  <c r="AS2298" i="1"/>
  <c r="AS1537" i="1"/>
  <c r="AS411" i="1"/>
  <c r="AS1608" i="1"/>
  <c r="AS4006" i="1"/>
  <c r="AS2901" i="1"/>
  <c r="AS3322" i="1"/>
  <c r="AS1283" i="1"/>
  <c r="AS2875" i="1"/>
  <c r="AS3846" i="1"/>
  <c r="AS4262" i="1"/>
  <c r="AS755" i="1"/>
  <c r="AS2480" i="1"/>
  <c r="AS4162" i="1"/>
  <c r="AS1469" i="1"/>
  <c r="AS4288" i="1"/>
  <c r="AS3923" i="1"/>
  <c r="AS811" i="1"/>
  <c r="AS3341" i="1"/>
  <c r="AS4033" i="1"/>
  <c r="AS1660" i="1"/>
  <c r="AS4155" i="1"/>
  <c r="AS2919" i="1"/>
  <c r="AS1830" i="1"/>
  <c r="AS3401" i="1"/>
  <c r="AS3400" i="1"/>
  <c r="AS3910" i="1"/>
  <c r="AS1639" i="1"/>
  <c r="AS3979" i="1"/>
  <c r="AS1941" i="1"/>
  <c r="AS713" i="1"/>
  <c r="AS3870" i="1"/>
  <c r="AS1595" i="1"/>
  <c r="AS3821" i="1"/>
  <c r="AS3642" i="1"/>
  <c r="AS1512" i="1"/>
  <c r="AS4051" i="1"/>
  <c r="AS2060" i="1"/>
  <c r="AS1439" i="1"/>
  <c r="AS134" i="1"/>
  <c r="AS4161" i="1"/>
  <c r="AS3011" i="1"/>
  <c r="AS4197" i="1"/>
  <c r="AS4116" i="1"/>
  <c r="AS3818" i="1"/>
  <c r="AS2888" i="1"/>
  <c r="AS1449" i="1"/>
  <c r="AS3328" i="1"/>
  <c r="AS2766" i="1"/>
  <c r="AS2815" i="1"/>
  <c r="AS3246" i="1"/>
  <c r="AS1576" i="1"/>
  <c r="AS3875" i="1"/>
  <c r="AS141" i="1"/>
  <c r="AS1193" i="1"/>
  <c r="AS1459" i="1"/>
  <c r="AS4202" i="1"/>
  <c r="AS3709" i="1"/>
  <c r="AS1875" i="1"/>
  <c r="AS1437" i="1"/>
  <c r="AS2222" i="1"/>
  <c r="AS3016" i="1"/>
  <c r="AS1729" i="1"/>
  <c r="AS22" i="1"/>
  <c r="AS3996" i="1"/>
  <c r="AS2474" i="1"/>
  <c r="AS4009" i="1"/>
  <c r="AS3280" i="1"/>
  <c r="AS2348" i="1"/>
  <c r="AS3626" i="1"/>
  <c r="AS2075" i="1"/>
  <c r="AS355" i="1"/>
  <c r="AS3843" i="1"/>
  <c r="AS1878" i="1"/>
  <c r="AS4091" i="1"/>
  <c r="AS3632" i="1"/>
  <c r="AS2328" i="1"/>
  <c r="AS4021" i="1"/>
  <c r="AS3847" i="1"/>
  <c r="AS3531" i="1"/>
  <c r="AS1869" i="1"/>
  <c r="AS3592" i="1"/>
  <c r="AS1540" i="1"/>
  <c r="AS2595" i="1"/>
  <c r="AS860" i="1"/>
  <c r="AS3348" i="1"/>
  <c r="AS1474" i="1"/>
  <c r="AS2907" i="1"/>
  <c r="AS1527" i="1"/>
  <c r="AS2872" i="1"/>
  <c r="AS1494" i="1"/>
  <c r="AS3248" i="1"/>
  <c r="AS3319" i="1"/>
  <c r="AS602" i="1"/>
  <c r="AS3615" i="1"/>
  <c r="AS2004" i="1"/>
  <c r="AS3226" i="1"/>
  <c r="AS3621" i="1"/>
  <c r="AS2358" i="1"/>
  <c r="AS2780" i="1"/>
  <c r="AS2385" i="1"/>
  <c r="AS439" i="1"/>
  <c r="AS3345" i="1"/>
  <c r="AS2586" i="1"/>
  <c r="AS2403" i="1"/>
  <c r="AS3771" i="1"/>
  <c r="AS3625" i="1"/>
  <c r="AS2361" i="1"/>
  <c r="AS10" i="1"/>
  <c r="AS2783" i="1"/>
  <c r="AS2272" i="1"/>
  <c r="AS514" i="1"/>
  <c r="AS3955" i="1"/>
  <c r="AS1269" i="1"/>
  <c r="AS4316" i="1"/>
  <c r="AS3405" i="1"/>
  <c r="AS1935" i="1"/>
  <c r="AS3202" i="1"/>
  <c r="AS4211" i="1"/>
  <c r="AS2730" i="1"/>
  <c r="AS4227" i="1"/>
  <c r="AS2464" i="1"/>
  <c r="AS3998" i="1"/>
  <c r="AS1275" i="1"/>
  <c r="AS3231" i="1"/>
  <c r="AS2969" i="1"/>
  <c r="AS2158" i="1"/>
  <c r="AS4207" i="1"/>
  <c r="AS2136" i="1"/>
  <c r="AS2752" i="1"/>
  <c r="AS2955" i="1"/>
  <c r="AS2808" i="1"/>
  <c r="AS4095" i="1"/>
  <c r="AS1872" i="1"/>
  <c r="AS2521" i="1"/>
  <c r="AS58" i="1"/>
  <c r="AS2855" i="1"/>
  <c r="AS2225" i="1"/>
  <c r="AS3411" i="1"/>
  <c r="AS2967" i="1"/>
  <c r="AS1534" i="1"/>
  <c r="AS3672" i="1"/>
  <c r="AS2495" i="1"/>
  <c r="AS3586" i="1"/>
  <c r="AS4299" i="1"/>
  <c r="AS2729" i="1"/>
  <c r="AS3511" i="1"/>
  <c r="AS3164" i="1"/>
  <c r="AS2781" i="1"/>
  <c r="AS3509" i="1"/>
  <c r="AS2564" i="1"/>
  <c r="AS557" i="1"/>
  <c r="AS747" i="1"/>
  <c r="AS3892" i="1"/>
  <c r="AS2611" i="1"/>
  <c r="AS1337" i="1"/>
  <c r="AS4134" i="1"/>
  <c r="AS2959" i="1"/>
  <c r="AS2797" i="1"/>
  <c r="AS2360" i="1"/>
  <c r="AS385" i="1"/>
  <c r="AS3122" i="1"/>
  <c r="AS1232" i="1"/>
  <c r="AS3953" i="1"/>
  <c r="AS2953" i="1"/>
  <c r="AS2732" i="1"/>
  <c r="AS4151" i="1"/>
  <c r="AS3622" i="1"/>
  <c r="AS1164" i="1"/>
  <c r="AS3854" i="1"/>
  <c r="AS3031" i="1"/>
  <c r="AS2472" i="1"/>
  <c r="AS3022" i="1"/>
  <c r="AS2431" i="1"/>
  <c r="AS4237" i="1"/>
  <c r="AS2727" i="1"/>
  <c r="AS3171" i="1"/>
  <c r="AS3568" i="1"/>
  <c r="AS2081" i="1"/>
  <c r="AS3877" i="1"/>
  <c r="AS2007" i="1"/>
  <c r="AS2994" i="1"/>
  <c r="AS3105" i="1"/>
  <c r="AS2665" i="1"/>
  <c r="AS1819" i="1"/>
  <c r="AS2229" i="1"/>
  <c r="AS473" i="1"/>
  <c r="AS3086" i="1"/>
  <c r="AS2711" i="1"/>
  <c r="AS3732" i="1"/>
  <c r="AS3538" i="1"/>
  <c r="AS1465" i="1"/>
  <c r="AS3564" i="1"/>
  <c r="AS1967" i="1"/>
  <c r="AS3266" i="1"/>
  <c r="AS4325" i="1"/>
  <c r="AS2184" i="1"/>
  <c r="AS4147" i="1"/>
  <c r="AS4259" i="1"/>
  <c r="AS1472" i="1"/>
  <c r="AS3944" i="1"/>
  <c r="AS3351" i="1"/>
  <c r="AS2852" i="1"/>
  <c r="AS1856" i="1"/>
  <c r="AS4327" i="1"/>
  <c r="AS1770" i="1"/>
  <c r="AS3049" i="1"/>
  <c r="AS3576" i="1"/>
  <c r="AS2302" i="1"/>
  <c r="AS3918" i="1"/>
  <c r="AS3558" i="1"/>
  <c r="AS945" i="1"/>
  <c r="AS3535" i="1"/>
  <c r="AS2411" i="1"/>
  <c r="AS4105" i="1"/>
  <c r="AS2687" i="1"/>
  <c r="AS3994" i="1"/>
  <c r="AS2019" i="1"/>
  <c r="AS3678" i="1"/>
  <c r="AS3749" i="1"/>
  <c r="AS2087" i="1"/>
  <c r="AS3785" i="1"/>
  <c r="AS2486" i="1"/>
  <c r="AS2529" i="1"/>
  <c r="AS842" i="1"/>
  <c r="AS3649" i="1"/>
  <c r="AS1923" i="1"/>
  <c r="AS4059" i="1"/>
  <c r="AS3736" i="1"/>
  <c r="AS406" i="1"/>
  <c r="AS3419" i="1"/>
  <c r="AS2400" i="1"/>
  <c r="AS2810" i="1"/>
  <c r="AS2856" i="1"/>
  <c r="AS2608" i="1"/>
  <c r="AS4233" i="1"/>
  <c r="AS3658" i="1"/>
  <c r="AS3369" i="1"/>
  <c r="AS1630" i="1"/>
  <c r="AS3661" i="1"/>
  <c r="AS2338" i="1"/>
  <c r="AS291" i="1"/>
  <c r="AS1082" i="1"/>
  <c r="AS844" i="1"/>
  <c r="AS2767" i="1"/>
  <c r="AS3686" i="1"/>
  <c r="AS2662" i="1"/>
  <c r="AS2829" i="1"/>
  <c r="AS2884" i="1"/>
  <c r="AS3891" i="1"/>
  <c r="AS2394" i="1"/>
  <c r="AS740" i="1"/>
  <c r="AS2593" i="1"/>
  <c r="AS3651" i="1"/>
  <c r="AS3783" i="1"/>
  <c r="AS3580" i="1"/>
  <c r="AS1562" i="1"/>
  <c r="AS3000" i="1"/>
  <c r="AS3526" i="1"/>
  <c r="AS3495" i="1"/>
  <c r="AS2735" i="1"/>
  <c r="AS2667" i="1"/>
  <c r="AS2835" i="1"/>
  <c r="AS1368" i="1"/>
  <c r="AS443" i="1"/>
  <c r="AS3975" i="1"/>
  <c r="AS809" i="1"/>
  <c r="AS3375" i="1"/>
  <c r="AS4192" i="1"/>
  <c r="AS869" i="1"/>
  <c r="AS2910" i="1"/>
  <c r="AS2074" i="1"/>
  <c r="AS734" i="1"/>
  <c r="AS2565" i="1"/>
  <c r="AS2254" i="1"/>
  <c r="AS3629" i="1"/>
  <c r="AS1367" i="1"/>
  <c r="AS1015" i="1"/>
  <c r="AS2952" i="1"/>
  <c r="AS3306" i="1"/>
  <c r="AS1215" i="1"/>
  <c r="AS2863" i="1"/>
  <c r="AS305" i="1"/>
  <c r="AS2920" i="1"/>
  <c r="AS2697" i="1"/>
  <c r="AS373" i="1"/>
  <c r="AS3763" i="1"/>
  <c r="AS2753" i="1"/>
  <c r="AS1543" i="1"/>
  <c r="AS3299" i="1"/>
  <c r="AS1517" i="1"/>
  <c r="AS508" i="1"/>
  <c r="AS102" i="1"/>
  <c r="AS2641" i="1"/>
  <c r="AS336" i="1"/>
  <c r="AS4057" i="1"/>
  <c r="AS3315" i="1"/>
  <c r="AS1604" i="1"/>
  <c r="AS4186" i="1"/>
  <c r="AS3473" i="1"/>
  <c r="AS241" i="1"/>
  <c r="AS3039" i="1"/>
  <c r="AS2118" i="1"/>
  <c r="AS2719" i="1"/>
  <c r="AS707" i="1"/>
  <c r="AS3951" i="1"/>
  <c r="AS190" i="1"/>
  <c r="AS307" i="1"/>
  <c r="AS3882" i="1"/>
  <c r="AS1910" i="1"/>
  <c r="AS957" i="1"/>
  <c r="AS1703" i="1"/>
  <c r="AS3971" i="1"/>
  <c r="AS808" i="1"/>
  <c r="AS2327" i="1"/>
  <c r="AS2889" i="1"/>
  <c r="AS752" i="1"/>
  <c r="AS653" i="1"/>
  <c r="AS2908" i="1"/>
  <c r="AS2825" i="1"/>
  <c r="AS462" i="1"/>
  <c r="AS2221" i="1"/>
  <c r="AS2894" i="1"/>
  <c r="AS3848" i="1"/>
  <c r="AS2925" i="1"/>
  <c r="AS3593" i="1"/>
  <c r="AS971" i="1"/>
  <c r="AS3297" i="1"/>
  <c r="AS708" i="1"/>
  <c r="AS3120" i="1"/>
  <c r="AS2525" i="1"/>
  <c r="AS1511" i="1"/>
  <c r="AS1235" i="1"/>
  <c r="AS1732" i="1"/>
  <c r="AS3812" i="1"/>
  <c r="AS1839" i="1"/>
  <c r="AS3387" i="1"/>
  <c r="AS2927" i="1"/>
  <c r="AS397" i="1"/>
  <c r="AS2949" i="1"/>
  <c r="AS324" i="1"/>
  <c r="AS1113" i="1"/>
  <c r="AS3379" i="1"/>
  <c r="AS800" i="1"/>
  <c r="AS3130" i="1"/>
  <c r="AS1587" i="1"/>
  <c r="AS1928" i="1"/>
  <c r="AS3079" i="1"/>
  <c r="AS3479" i="1"/>
  <c r="AS3065" i="1"/>
  <c r="AS2877" i="1"/>
  <c r="AS303" i="1"/>
  <c r="AS3219" i="1"/>
  <c r="AS3915" i="1"/>
  <c r="AS3932" i="1"/>
  <c r="AS2561" i="1"/>
  <c r="AS2551" i="1"/>
  <c r="AS3470" i="1"/>
  <c r="AS2849" i="1"/>
  <c r="AS2890" i="1"/>
  <c r="AS2512" i="1"/>
  <c r="AS1021" i="1"/>
  <c r="AS2749" i="1"/>
  <c r="AS946" i="1"/>
  <c r="AS4332" i="1"/>
  <c r="AT3763" i="1" l="1"/>
  <c r="AV3763" i="1"/>
  <c r="AV2486" i="1"/>
  <c r="AT2486" i="1"/>
  <c r="AV3538" i="1"/>
  <c r="AT3538" i="1"/>
  <c r="AV2797" i="1"/>
  <c r="AT2797" i="1"/>
  <c r="AV2158" i="1"/>
  <c r="AT2158" i="1"/>
  <c r="AV3615" i="1"/>
  <c r="AT3615" i="1"/>
  <c r="AV1729" i="1"/>
  <c r="AT1729" i="1"/>
  <c r="AV713" i="1"/>
  <c r="AT713" i="1"/>
  <c r="AV2845" i="1"/>
  <c r="AT2845" i="1"/>
  <c r="AV4012" i="1"/>
  <c r="AT4012" i="1"/>
  <c r="AV1528" i="1"/>
  <c r="AT1528" i="1"/>
  <c r="AV3504" i="1"/>
  <c r="AT3504" i="1"/>
  <c r="AV3264" i="1"/>
  <c r="AT3264" i="1"/>
  <c r="AV3204" i="1"/>
  <c r="AT3204" i="1"/>
  <c r="AT3071" i="1"/>
  <c r="AV3071" i="1"/>
  <c r="AV3830" i="1"/>
  <c r="AT3830" i="1"/>
  <c r="AV3304" i="1"/>
  <c r="AT3304" i="1"/>
  <c r="AT4124" i="1"/>
  <c r="AV4124" i="1"/>
  <c r="AT2419" i="1"/>
  <c r="AV2419" i="1"/>
  <c r="AV2032" i="1"/>
  <c r="AT2032" i="1"/>
  <c r="AV1825" i="1"/>
  <c r="AT1825" i="1"/>
  <c r="AV1698" i="1"/>
  <c r="AT1698" i="1"/>
  <c r="AV530" i="1"/>
  <c r="AT530" i="1"/>
  <c r="AV3879" i="1"/>
  <c r="AT3879" i="1"/>
  <c r="AV1112" i="1"/>
  <c r="AT1112" i="1"/>
  <c r="AV3490" i="1"/>
  <c r="AT3490" i="1"/>
  <c r="AV2857" i="1"/>
  <c r="AT2857" i="1"/>
  <c r="AV56" i="1"/>
  <c r="AT56" i="1"/>
  <c r="AV4139" i="1"/>
  <c r="AT4139" i="1"/>
  <c r="AV153" i="1"/>
  <c r="AT153" i="1"/>
  <c r="AV2030" i="1"/>
  <c r="AT2030" i="1"/>
  <c r="AV3965" i="1"/>
  <c r="AT3965" i="1"/>
  <c r="AV2451" i="1"/>
  <c r="AT2451" i="1"/>
  <c r="AV347" i="1"/>
  <c r="AT347" i="1"/>
  <c r="AV621" i="1"/>
  <c r="AT621" i="1"/>
  <c r="AV2924" i="1"/>
  <c r="AT2924" i="1"/>
  <c r="AV4241" i="1"/>
  <c r="AT4241" i="1"/>
  <c r="AV3696" i="1"/>
  <c r="AT3696" i="1"/>
  <c r="AV3303" i="1"/>
  <c r="AT3303" i="1"/>
  <c r="AV3244" i="1"/>
  <c r="AT3244" i="1"/>
  <c r="AV2500" i="1"/>
  <c r="AT2500" i="1"/>
  <c r="AV3448" i="1"/>
  <c r="AT3448" i="1"/>
  <c r="AV1280" i="1"/>
  <c r="AT1280" i="1"/>
  <c r="AV2974" i="1"/>
  <c r="AT2974" i="1"/>
  <c r="AV602" i="1"/>
  <c r="AT602" i="1"/>
  <c r="AV3016" i="1"/>
  <c r="AT3016" i="1"/>
  <c r="AV1941" i="1"/>
  <c r="AT1941" i="1"/>
  <c r="AV1043" i="1"/>
  <c r="AT1043" i="1"/>
  <c r="AV4110" i="1"/>
  <c r="AT4110" i="1"/>
  <c r="AV4296" i="1"/>
  <c r="AT4296" i="1"/>
  <c r="AV2115" i="1"/>
  <c r="AT2115" i="1"/>
  <c r="AV1554" i="1"/>
  <c r="AT1554" i="1"/>
  <c r="AV2571" i="1"/>
  <c r="AT2571" i="1"/>
  <c r="AT4199" i="1"/>
  <c r="AV4199" i="1"/>
  <c r="AV2091" i="1"/>
  <c r="AT2091" i="1"/>
  <c r="AV1776" i="1"/>
  <c r="AT1776" i="1"/>
  <c r="AT4304" i="1"/>
  <c r="AV4304" i="1"/>
  <c r="AT2811" i="1"/>
  <c r="AV2811" i="1"/>
  <c r="AV3681" i="1"/>
  <c r="AT3681" i="1"/>
  <c r="AV4309" i="1"/>
  <c r="AT4309" i="1"/>
  <c r="AV3414" i="1"/>
  <c r="AT3414" i="1"/>
  <c r="AV1569" i="1"/>
  <c r="AT1569" i="1"/>
  <c r="AV2981" i="1"/>
  <c r="AT2981" i="1"/>
  <c r="AV4264" i="1"/>
  <c r="AT4264" i="1"/>
  <c r="AV2930" i="1"/>
  <c r="AT2930" i="1"/>
  <c r="AV2635" i="1"/>
  <c r="AT2635" i="1"/>
  <c r="AV3143" i="1"/>
  <c r="AT3143" i="1"/>
  <c r="AV2528" i="1"/>
  <c r="AT2528" i="1"/>
  <c r="AV3198" i="1"/>
  <c r="AT3198" i="1"/>
  <c r="AV4035" i="1"/>
  <c r="AT4035" i="1"/>
  <c r="AV2265" i="1"/>
  <c r="AT2265" i="1"/>
  <c r="AV3792" i="1"/>
  <c r="AT3792" i="1"/>
  <c r="AV2283" i="1"/>
  <c r="AT2283" i="1"/>
  <c r="AV3571" i="1"/>
  <c r="AT3571" i="1"/>
  <c r="AV2465" i="1"/>
  <c r="AT2465" i="1"/>
  <c r="AV3836" i="1"/>
  <c r="AT3836" i="1"/>
  <c r="AV3869" i="1"/>
  <c r="AT3869" i="1"/>
  <c r="AV3347" i="1"/>
  <c r="AT3347" i="1"/>
  <c r="AV1937" i="1"/>
  <c r="AT1937" i="1"/>
  <c r="AV4130" i="1"/>
  <c r="AT4130" i="1"/>
  <c r="AV3054" i="1"/>
  <c r="AT3054" i="1"/>
  <c r="AV4235" i="1"/>
  <c r="AT4235" i="1"/>
  <c r="AV4331" i="1"/>
  <c r="AT4331" i="1"/>
  <c r="AV2946" i="1"/>
  <c r="AT2946" i="1"/>
  <c r="AV2147" i="1"/>
  <c r="AT2147" i="1"/>
  <c r="AV48" i="1"/>
  <c r="AT48" i="1"/>
  <c r="AV3938" i="1"/>
  <c r="AT3938" i="1"/>
  <c r="AV3467" i="1"/>
  <c r="AT3467" i="1"/>
  <c r="AV3914" i="1"/>
  <c r="AT3914" i="1"/>
  <c r="AV3946" i="1"/>
  <c r="AT3946" i="1"/>
  <c r="AT1777" i="1"/>
  <c r="AV1777" i="1"/>
  <c r="AT2681" i="1"/>
  <c r="AV2681" i="1"/>
  <c r="AV3144" i="1"/>
  <c r="AT3144" i="1"/>
  <c r="AV505" i="1"/>
  <c r="AT505" i="1"/>
  <c r="AV379" i="1"/>
  <c r="AT379" i="1"/>
  <c r="AV4153" i="1"/>
  <c r="AT4153" i="1"/>
  <c r="AV667" i="1"/>
  <c r="AT667" i="1"/>
  <c r="AV3772" i="1"/>
  <c r="AT3772" i="1"/>
  <c r="AV4213" i="1"/>
  <c r="AT4213" i="1"/>
  <c r="AV3886" i="1"/>
  <c r="AT3886" i="1"/>
  <c r="AV3809" i="1"/>
  <c r="AT3809" i="1"/>
  <c r="AV4318" i="1"/>
  <c r="AT4318" i="1"/>
  <c r="AV3513" i="1"/>
  <c r="AT3513" i="1"/>
  <c r="AV735" i="1"/>
  <c r="AT735" i="1"/>
  <c r="AV4324" i="1"/>
  <c r="AT4324" i="1"/>
  <c r="AV3084" i="1"/>
  <c r="AT3084" i="1"/>
  <c r="AV4312" i="1"/>
  <c r="AT4312" i="1"/>
  <c r="AV4094" i="1"/>
  <c r="AT4094" i="1"/>
  <c r="AV4232" i="1"/>
  <c r="AT4232" i="1"/>
  <c r="AV1908" i="1"/>
  <c r="AT1908" i="1"/>
  <c r="AV3829" i="1"/>
  <c r="AT3829" i="1"/>
  <c r="AV2410" i="1"/>
  <c r="AT2410" i="1"/>
  <c r="AV4255" i="1"/>
  <c r="AT4255" i="1"/>
  <c r="AV250" i="1"/>
  <c r="AT250" i="1"/>
  <c r="AV1462" i="1"/>
  <c r="AT1462" i="1"/>
  <c r="AV1745" i="1"/>
  <c r="AT1745" i="1"/>
  <c r="AT1831" i="1"/>
  <c r="AV1831" i="1"/>
  <c r="AV1275" i="1"/>
  <c r="AT1275" i="1"/>
  <c r="AT1437" i="1"/>
  <c r="AV1437" i="1"/>
  <c r="AV1639" i="1"/>
  <c r="AT1639" i="1"/>
  <c r="AV717" i="1"/>
  <c r="AT717" i="1"/>
  <c r="AV3742" i="1"/>
  <c r="AT3742" i="1"/>
  <c r="AV2253" i="1"/>
  <c r="AT2253" i="1"/>
  <c r="AV832" i="1"/>
  <c r="AT832" i="1"/>
  <c r="AV1636" i="1"/>
  <c r="AT1636" i="1"/>
  <c r="AV4245" i="1"/>
  <c r="AT4245" i="1"/>
  <c r="AV420" i="1"/>
  <c r="AT420" i="1"/>
  <c r="AT3021" i="1"/>
  <c r="AV3021" i="1"/>
  <c r="AT4246" i="1"/>
  <c r="AV4246" i="1"/>
  <c r="AV189" i="1"/>
  <c r="AT189" i="1"/>
  <c r="AV1709" i="1"/>
  <c r="AT1709" i="1"/>
  <c r="AV1210" i="1"/>
  <c r="AT1210" i="1"/>
  <c r="AV2623" i="1"/>
  <c r="AT2623" i="1"/>
  <c r="AV3738" i="1"/>
  <c r="AT3738" i="1"/>
  <c r="AV2103" i="1"/>
  <c r="AT2103" i="1"/>
  <c r="AV3044" i="1"/>
  <c r="AT3044" i="1"/>
  <c r="AV3817" i="1"/>
  <c r="AT3817" i="1"/>
  <c r="AV3293" i="1"/>
  <c r="AT3293" i="1"/>
  <c r="AV3623" i="1"/>
  <c r="AT3623" i="1"/>
  <c r="AV1997" i="1"/>
  <c r="AT1997" i="1"/>
  <c r="AV3824" i="1"/>
  <c r="AT3824" i="1"/>
  <c r="AV833" i="1"/>
  <c r="AT833" i="1"/>
  <c r="AV2701" i="1"/>
  <c r="AT2701" i="1"/>
  <c r="AV1829" i="1"/>
  <c r="AT1829" i="1"/>
  <c r="AV2301" i="1"/>
  <c r="AT2301" i="1"/>
  <c r="AV3545" i="1"/>
  <c r="AT3545" i="1"/>
  <c r="AV3665" i="1"/>
  <c r="AT3665" i="1"/>
  <c r="AV3080" i="1"/>
  <c r="AT3080" i="1"/>
  <c r="AV3603" i="1"/>
  <c r="AT3603" i="1"/>
  <c r="AV3618" i="1"/>
  <c r="AT3618" i="1"/>
  <c r="AV2180" i="1"/>
  <c r="AT2180" i="1"/>
  <c r="AV4093" i="1"/>
  <c r="AT4093" i="1"/>
  <c r="AV4263" i="1"/>
  <c r="AT4263" i="1"/>
  <c r="AT3694" i="1"/>
  <c r="AV3694" i="1"/>
  <c r="AT1875" i="1"/>
  <c r="AV1875" i="1"/>
  <c r="AV3910" i="1"/>
  <c r="AT3910" i="1"/>
  <c r="AV1070" i="1"/>
  <c r="AT1070" i="1"/>
  <c r="AV1081" i="1"/>
  <c r="AT1081" i="1"/>
  <c r="AV2789" i="1"/>
  <c r="AT2789" i="1"/>
  <c r="AV4098" i="1"/>
  <c r="AT4098" i="1"/>
  <c r="AT1893" i="1"/>
  <c r="AV1893" i="1"/>
  <c r="AV2323" i="1"/>
  <c r="AT2323" i="1"/>
  <c r="AT4270" i="1"/>
  <c r="AV4270" i="1"/>
  <c r="AV2988" i="1"/>
  <c r="AT2988" i="1"/>
  <c r="AT898" i="1"/>
  <c r="AV898" i="1"/>
  <c r="AT3527" i="1"/>
  <c r="AV3527" i="1"/>
  <c r="AV1378" i="1"/>
  <c r="AT1378" i="1"/>
  <c r="AV3767" i="1"/>
  <c r="AT3767" i="1"/>
  <c r="AV3609" i="1"/>
  <c r="AT3609" i="1"/>
  <c r="AV3701" i="1"/>
  <c r="AT3701" i="1"/>
  <c r="AV3003" i="1"/>
  <c r="AT3003" i="1"/>
  <c r="AV4243" i="1"/>
  <c r="AT4243" i="1"/>
  <c r="AV1733" i="1"/>
  <c r="AT1733" i="1"/>
  <c r="AV2353" i="1"/>
  <c r="AT2353" i="1"/>
  <c r="AV2972" i="1"/>
  <c r="AT2972" i="1"/>
  <c r="AV1616" i="1"/>
  <c r="AT1616" i="1"/>
  <c r="AV4118" i="1"/>
  <c r="AT4118" i="1"/>
  <c r="AV3949" i="1"/>
  <c r="AT3949" i="1"/>
  <c r="AV1914" i="1"/>
  <c r="AT1914" i="1"/>
  <c r="AV4138" i="1"/>
  <c r="AT4138" i="1"/>
  <c r="AV3693" i="1"/>
  <c r="AT3693" i="1"/>
  <c r="AV4195" i="1"/>
  <c r="AT4195" i="1"/>
  <c r="AV2179" i="1"/>
  <c r="AT2179" i="1"/>
  <c r="AV1710" i="1"/>
  <c r="AT1710" i="1"/>
  <c r="AV2460" i="1"/>
  <c r="AT2460" i="1"/>
  <c r="AV3230" i="1"/>
  <c r="AT3230" i="1"/>
  <c r="AV2876" i="1"/>
  <c r="AT2876" i="1"/>
  <c r="AV2896" i="1"/>
  <c r="AT2896" i="1"/>
  <c r="AV2195" i="1"/>
  <c r="AT2195" i="1"/>
  <c r="AV3364" i="1"/>
  <c r="AT3364" i="1"/>
  <c r="AT2585" i="1"/>
  <c r="AV2585" i="1"/>
  <c r="AV2959" i="1"/>
  <c r="AT2959" i="1"/>
  <c r="AV3577" i="1"/>
  <c r="AT3577" i="1"/>
  <c r="AT371" i="1"/>
  <c r="AV371" i="1"/>
  <c r="AV2488" i="1"/>
  <c r="AT2488" i="1"/>
  <c r="AV3614" i="1"/>
  <c r="AT3614" i="1"/>
  <c r="AV83" i="1"/>
  <c r="AT83" i="1"/>
  <c r="AV3078" i="1"/>
  <c r="AT3078" i="1"/>
  <c r="AT2426" i="1"/>
  <c r="AV2426" i="1"/>
  <c r="AV2898" i="1"/>
  <c r="AT2898" i="1"/>
  <c r="AT2603" i="1"/>
  <c r="AV2603" i="1"/>
  <c r="AT3391" i="1"/>
  <c r="AV3391" i="1"/>
  <c r="AT1581" i="1"/>
  <c r="AV1581" i="1"/>
  <c r="AV4022" i="1"/>
  <c r="AT4022" i="1"/>
  <c r="AV2436" i="1"/>
  <c r="AT2436" i="1"/>
  <c r="AV163" i="1"/>
  <c r="AT163" i="1"/>
  <c r="AV114" i="1"/>
  <c r="AT114" i="1"/>
  <c r="AV2566" i="1"/>
  <c r="AT2566" i="1"/>
  <c r="AV79" i="1"/>
  <c r="AT79" i="1"/>
  <c r="AV4001" i="1"/>
  <c r="AT4001" i="1"/>
  <c r="AV2992" i="1"/>
  <c r="AT2992" i="1"/>
  <c r="AV3057" i="1"/>
  <c r="AT3057" i="1"/>
  <c r="AV3977" i="1"/>
  <c r="AT3977" i="1"/>
  <c r="AV3355" i="1"/>
  <c r="AT3355" i="1"/>
  <c r="AV2745" i="1"/>
  <c r="AT2745" i="1"/>
  <c r="AV3217" i="1"/>
  <c r="AT3217" i="1"/>
  <c r="AV448" i="1"/>
  <c r="AT448" i="1"/>
  <c r="AV3662" i="1"/>
  <c r="AT3662" i="1"/>
  <c r="AV3668" i="1"/>
  <c r="AT3668" i="1"/>
  <c r="AV3146" i="1"/>
  <c r="AT3146" i="1"/>
  <c r="AV3197" i="1"/>
  <c r="AT3197" i="1"/>
  <c r="AV3278" i="1"/>
  <c r="AT3278" i="1"/>
  <c r="AV2127" i="1"/>
  <c r="AT2127" i="1"/>
  <c r="AV3530" i="1"/>
  <c r="AT3530" i="1"/>
  <c r="AV1943" i="1"/>
  <c r="AT1943" i="1"/>
  <c r="AV3849" i="1"/>
  <c r="AT3849" i="1"/>
  <c r="AV3966" i="1"/>
  <c r="AT3966" i="1"/>
  <c r="AT4081" i="1"/>
  <c r="AV4081" i="1"/>
  <c r="AV3024" i="1"/>
  <c r="AT3024" i="1"/>
  <c r="AV1411" i="1"/>
  <c r="AT1411" i="1"/>
  <c r="AV314" i="1"/>
  <c r="AT314" i="1"/>
  <c r="AV1789" i="1"/>
  <c r="AT1789" i="1"/>
  <c r="AV2613" i="1"/>
  <c r="AT2613" i="1"/>
  <c r="AT3033" i="1"/>
  <c r="AV3033" i="1"/>
  <c r="AT3959" i="1"/>
  <c r="AV3959" i="1"/>
  <c r="AV2320" i="1"/>
  <c r="AT2320" i="1"/>
  <c r="AV3633" i="1"/>
  <c r="AT3633" i="1"/>
  <c r="AV4174" i="1"/>
  <c r="AT4174" i="1"/>
  <c r="AV3325" i="1"/>
  <c r="AT3325" i="1"/>
  <c r="AV3960" i="1"/>
  <c r="AT3960" i="1"/>
  <c r="AV2313" i="1"/>
  <c r="AT2313" i="1"/>
  <c r="AV1601" i="1"/>
  <c r="AT1601" i="1"/>
  <c r="AV4298" i="1"/>
  <c r="AT4298" i="1"/>
  <c r="AV2008" i="1"/>
  <c r="AT2008" i="1"/>
  <c r="AV286" i="1"/>
  <c r="AT286" i="1"/>
  <c r="AV1676" i="1"/>
  <c r="AT1676" i="1"/>
  <c r="AV3290" i="1"/>
  <c r="AT3290" i="1"/>
  <c r="AV2742" i="1"/>
  <c r="AT2742" i="1"/>
  <c r="AV3508" i="1"/>
  <c r="AT3508" i="1"/>
  <c r="AV3866" i="1"/>
  <c r="AT3866" i="1"/>
  <c r="AV2076" i="1"/>
  <c r="AT2076" i="1"/>
  <c r="AV290" i="1"/>
  <c r="AT290" i="1"/>
  <c r="AV3578" i="1"/>
  <c r="AT3578" i="1"/>
  <c r="AT4041" i="1"/>
  <c r="AV4041" i="1"/>
  <c r="AV3524" i="1"/>
  <c r="AT3524" i="1"/>
  <c r="AV2397" i="1"/>
  <c r="AT2397" i="1"/>
  <c r="AV3225" i="1"/>
  <c r="AT3225" i="1"/>
  <c r="AV643" i="1"/>
  <c r="AT643" i="1"/>
  <c r="AV3755" i="1"/>
  <c r="AT3755" i="1"/>
  <c r="AT561" i="1"/>
  <c r="AV561" i="1"/>
  <c r="AV3939" i="1"/>
  <c r="AT3939" i="1"/>
  <c r="AV4168" i="1"/>
  <c r="AT4168" i="1"/>
  <c r="AV2629" i="1"/>
  <c r="AT2629" i="1"/>
  <c r="AV1524" i="1"/>
  <c r="AT1524" i="1"/>
  <c r="AV3733" i="1"/>
  <c r="AT3733" i="1"/>
  <c r="AT2168" i="1"/>
  <c r="AV2168" i="1"/>
  <c r="AT2340" i="1"/>
  <c r="AV2340" i="1"/>
  <c r="AV3753" i="1"/>
  <c r="AT3753" i="1"/>
  <c r="AV4172" i="1"/>
  <c r="AT4172" i="1"/>
  <c r="AV4169" i="1"/>
  <c r="AT4169" i="1"/>
  <c r="AV3956" i="1"/>
  <c r="AT3956" i="1"/>
  <c r="AV522" i="1"/>
  <c r="AT522" i="1"/>
  <c r="AV2756" i="1"/>
  <c r="AT2756" i="1"/>
  <c r="AV3308" i="1"/>
  <c r="AT3308" i="1"/>
  <c r="AV1464" i="1"/>
  <c r="AT1464" i="1"/>
  <c r="AV3710" i="1"/>
  <c r="AT3710" i="1"/>
  <c r="AV3482" i="1"/>
  <c r="AT3482" i="1"/>
  <c r="AV3451" i="1"/>
  <c r="AT3451" i="1"/>
  <c r="AV3803" i="1"/>
  <c r="AT3803" i="1"/>
  <c r="AV4279" i="1"/>
  <c r="AT4279" i="1"/>
  <c r="AV3819" i="1"/>
  <c r="AT3819" i="1"/>
  <c r="AV1519" i="1"/>
  <c r="AT1519" i="1"/>
  <c r="AV3612" i="1"/>
  <c r="AT3612" i="1"/>
  <c r="AV2108" i="1"/>
  <c r="AT2108" i="1"/>
  <c r="AV1984" i="1"/>
  <c r="AT1984" i="1"/>
  <c r="AV1563" i="1"/>
  <c r="AT1563" i="1"/>
  <c r="AV458" i="1"/>
  <c r="AT458" i="1"/>
  <c r="AV2853" i="1"/>
  <c r="AT2853" i="1"/>
  <c r="AV570" i="1"/>
  <c r="AT570" i="1"/>
  <c r="AV1326" i="1"/>
  <c r="AT1326" i="1"/>
  <c r="AV191" i="1"/>
  <c r="AT191" i="1"/>
  <c r="AT2455" i="1"/>
  <c r="AV2455" i="1"/>
  <c r="AV2792" i="1"/>
  <c r="AT2792" i="1"/>
  <c r="AV3885" i="1"/>
  <c r="AT3885" i="1"/>
  <c r="AV3262" i="1"/>
  <c r="AT3262" i="1"/>
  <c r="AV2768" i="1"/>
  <c r="AT2768" i="1"/>
  <c r="AV32" i="1"/>
  <c r="AT32" i="1"/>
  <c r="AV3929" i="1"/>
  <c r="AT3929" i="1"/>
  <c r="AV407" i="1"/>
  <c r="AT407" i="1"/>
  <c r="AT2970" i="1"/>
  <c r="AV2970" i="1"/>
  <c r="AT4247" i="1"/>
  <c r="AV4247" i="1"/>
  <c r="AV2859" i="1"/>
  <c r="AT2859" i="1"/>
  <c r="AV3691" i="1"/>
  <c r="AT3691" i="1"/>
  <c r="AV1991" i="1"/>
  <c r="AT1991" i="1"/>
  <c r="AV2813" i="1"/>
  <c r="AT2813" i="1"/>
  <c r="AV2303" i="1"/>
  <c r="AT2303" i="1"/>
  <c r="AV1085" i="1"/>
  <c r="AT1085" i="1"/>
  <c r="AV3943" i="1"/>
  <c r="AT3943" i="1"/>
  <c r="AV3523" i="1"/>
  <c r="AT3523" i="1"/>
  <c r="AV2597" i="1"/>
  <c r="AT2597" i="1"/>
  <c r="AV3153" i="1"/>
  <c r="AT3153" i="1"/>
  <c r="AV877" i="1"/>
  <c r="AT877" i="1"/>
  <c r="AV4217" i="1"/>
  <c r="AT4217" i="1"/>
  <c r="AV4047" i="1"/>
  <c r="AT4047" i="1"/>
  <c r="AV1549" i="1"/>
  <c r="AT1549" i="1"/>
  <c r="AV3814" i="1"/>
  <c r="AT3814" i="1"/>
  <c r="AV402" i="1"/>
  <c r="AT402" i="1"/>
  <c r="AV4007" i="1"/>
  <c r="AT4007" i="1"/>
  <c r="AV3534" i="1"/>
  <c r="AT3534" i="1"/>
  <c r="AV3864" i="1"/>
  <c r="AT3864" i="1"/>
  <c r="AV1718" i="1"/>
  <c r="AT1718" i="1"/>
  <c r="AV2676" i="1"/>
  <c r="AT2676" i="1"/>
  <c r="AV3321" i="1"/>
  <c r="AT3321" i="1"/>
  <c r="AV2899" i="1"/>
  <c r="AT2899" i="1"/>
  <c r="AV4071" i="1"/>
  <c r="AT4071" i="1"/>
  <c r="AT4066" i="1"/>
  <c r="AV4066" i="1"/>
  <c r="AV2453" i="1"/>
  <c r="AT2453" i="1"/>
  <c r="AT1956" i="1"/>
  <c r="AV1956" i="1"/>
  <c r="AV1609" i="1"/>
  <c r="AT1609" i="1"/>
  <c r="AV2332" i="1"/>
  <c r="AT2332" i="1"/>
  <c r="AT3048" i="1"/>
  <c r="AV3048" i="1"/>
  <c r="AV2550" i="1"/>
  <c r="AT2550" i="1"/>
  <c r="AV3789" i="1"/>
  <c r="AT3789" i="1"/>
  <c r="AV3457" i="1"/>
  <c r="AT3457" i="1"/>
  <c r="AV3093" i="1"/>
  <c r="AT3093" i="1"/>
  <c r="AV3399" i="1"/>
  <c r="AT3399" i="1"/>
  <c r="AV2290" i="1"/>
  <c r="AT2290" i="1"/>
  <c r="AV2260" i="1"/>
  <c r="AT2260" i="1"/>
  <c r="AV2089" i="1"/>
  <c r="AT2089" i="1"/>
  <c r="AV3069" i="1"/>
  <c r="AT3069" i="1"/>
  <c r="AV1619" i="1"/>
  <c r="AT1619" i="1"/>
  <c r="AV3754" i="1"/>
  <c r="AT3754" i="1"/>
  <c r="AV366" i="1"/>
  <c r="AT366" i="1"/>
  <c r="AV1762" i="1"/>
  <c r="AT1762" i="1"/>
  <c r="AV4323" i="1"/>
  <c r="AT4323" i="1"/>
  <c r="AV794" i="1"/>
  <c r="AT794" i="1"/>
  <c r="AV3256" i="1"/>
  <c r="AT3256" i="1"/>
  <c r="AV2052" i="1"/>
  <c r="AT2052" i="1"/>
  <c r="AT3967" i="1"/>
  <c r="AV3967" i="1"/>
  <c r="AV515" i="1"/>
  <c r="AT515" i="1"/>
  <c r="AV2817" i="1"/>
  <c r="AT2817" i="1"/>
  <c r="AV4191" i="1"/>
  <c r="AT4191" i="1"/>
  <c r="AV4252" i="1"/>
  <c r="AT4252" i="1"/>
  <c r="AV3639" i="1"/>
  <c r="AT3639" i="1"/>
  <c r="AV3243" i="1"/>
  <c r="AT3243" i="1"/>
  <c r="AT2524" i="1"/>
  <c r="AV2524" i="1"/>
  <c r="AV2969" i="1"/>
  <c r="AT2969" i="1"/>
  <c r="AV4134" i="1"/>
  <c r="AT4134" i="1"/>
  <c r="AV3086" i="1"/>
  <c r="AT3086" i="1"/>
  <c r="AV3401" i="1"/>
  <c r="AT3401" i="1"/>
  <c r="AV1830" i="1"/>
  <c r="AT1830" i="1"/>
  <c r="AV1332" i="1"/>
  <c r="AT1332" i="1"/>
  <c r="AV2784" i="1"/>
  <c r="AT2784" i="1"/>
  <c r="AT2787" i="1"/>
  <c r="AV2787" i="1"/>
  <c r="AV3535" i="1"/>
  <c r="AT3535" i="1"/>
  <c r="AV2007" i="1"/>
  <c r="AT2007" i="1"/>
  <c r="AV1935" i="1"/>
  <c r="AT1935" i="1"/>
  <c r="AV3875" i="1"/>
  <c r="AT3875" i="1"/>
  <c r="AV2867" i="1"/>
  <c r="AT2867" i="1"/>
  <c r="AT3660" i="1"/>
  <c r="AV3660" i="1"/>
  <c r="AT762" i="1"/>
  <c r="AV762" i="1"/>
  <c r="AV2295" i="1"/>
  <c r="AT2295" i="1"/>
  <c r="AV3519" i="1"/>
  <c r="AT3519" i="1"/>
  <c r="AV3123" i="1"/>
  <c r="AT3123" i="1"/>
  <c r="AT2880" i="1"/>
  <c r="AV2880" i="1"/>
  <c r="AV3072" i="1"/>
  <c r="AT3072" i="1"/>
  <c r="AV3445" i="1"/>
  <c r="AT3445" i="1"/>
  <c r="AT2722" i="1"/>
  <c r="AV2722" i="1"/>
  <c r="AV3497" i="1"/>
  <c r="AT3497" i="1"/>
  <c r="AV3223" i="1"/>
  <c r="AT3223" i="1"/>
  <c r="AV1684" i="1"/>
  <c r="AT1684" i="1"/>
  <c r="AV812" i="1"/>
  <c r="AT812" i="1"/>
  <c r="AV2439" i="1"/>
  <c r="AT2439" i="1"/>
  <c r="AV2699" i="1"/>
  <c r="AT2699" i="1"/>
  <c r="AV3332" i="1"/>
  <c r="AT3332" i="1"/>
  <c r="AV3899" i="1"/>
  <c r="AT3899" i="1"/>
  <c r="AV4176" i="1"/>
  <c r="AT4176" i="1"/>
  <c r="AV4086" i="1"/>
  <c r="AT4086" i="1"/>
  <c r="AV4164" i="1"/>
  <c r="AT4164" i="1"/>
  <c r="AV4302" i="1"/>
  <c r="AT4302" i="1"/>
  <c r="AV1559" i="1"/>
  <c r="AT1559" i="1"/>
  <c r="AV2812" i="1"/>
  <c r="AT2812" i="1"/>
  <c r="AV753" i="1"/>
  <c r="AT753" i="1"/>
  <c r="AV4050" i="1"/>
  <c r="AT4050" i="1"/>
  <c r="AV3201" i="1"/>
  <c r="AT3201" i="1"/>
  <c r="AV4070" i="1"/>
  <c r="AT4070" i="1"/>
  <c r="AV2869" i="1"/>
  <c r="AT2869" i="1"/>
  <c r="AV3349" i="1"/>
  <c r="AT3349" i="1"/>
  <c r="AV2155" i="1"/>
  <c r="AT2155" i="1"/>
  <c r="AV3423" i="1"/>
  <c r="AT3423" i="1"/>
  <c r="AV2643" i="1"/>
  <c r="AT2643" i="1"/>
  <c r="AV4249" i="1"/>
  <c r="AT4249" i="1"/>
  <c r="AV1959" i="1"/>
  <c r="AT1959" i="1"/>
  <c r="AT4219" i="1"/>
  <c r="AV4219" i="1"/>
  <c r="AV2616" i="1"/>
  <c r="AT2616" i="1"/>
  <c r="AV318" i="1"/>
  <c r="AT318" i="1"/>
  <c r="AT3700" i="1"/>
  <c r="AV3700" i="1"/>
  <c r="AV2003" i="1"/>
  <c r="AT2003" i="1"/>
  <c r="AV386" i="1"/>
  <c r="AT386" i="1"/>
  <c r="AV3904" i="1"/>
  <c r="AT3904" i="1"/>
  <c r="AV3827" i="1"/>
  <c r="AT3827" i="1"/>
  <c r="AV4027" i="1"/>
  <c r="AT4027" i="1"/>
  <c r="AV3335" i="1"/>
  <c r="AT3335" i="1"/>
  <c r="AV1603" i="1"/>
  <c r="AT1603" i="1"/>
  <c r="AV2377" i="1"/>
  <c r="AT2377" i="1"/>
  <c r="AV709" i="1"/>
  <c r="AT709" i="1"/>
  <c r="AV1625" i="1"/>
  <c r="AT1625" i="1"/>
  <c r="AV3671" i="1"/>
  <c r="AT3671" i="1"/>
  <c r="AV1746" i="1"/>
  <c r="AT1746" i="1"/>
  <c r="AV3587" i="1"/>
  <c r="AT3587" i="1"/>
  <c r="AV1989" i="1"/>
  <c r="AT1989" i="1"/>
  <c r="AV4115" i="1"/>
  <c r="AT4115" i="1"/>
  <c r="AV4141" i="1"/>
  <c r="AT4141" i="1"/>
  <c r="AV2760" i="1"/>
  <c r="AT2760" i="1"/>
  <c r="AV391" i="1"/>
  <c r="AT391" i="1"/>
  <c r="AV658" i="1"/>
  <c r="AT658" i="1"/>
  <c r="AV3486" i="1"/>
  <c r="AT3486" i="1"/>
  <c r="AV4177" i="1"/>
  <c r="AT4177" i="1"/>
  <c r="AV1983" i="1"/>
  <c r="AT1983" i="1"/>
  <c r="AV3566" i="1"/>
  <c r="AT3566" i="1"/>
  <c r="AV3806" i="1"/>
  <c r="AT3806" i="1"/>
  <c r="AV3986" i="1"/>
  <c r="AT3986" i="1"/>
  <c r="AT4080" i="1"/>
  <c r="AV4080" i="1"/>
  <c r="AT2926" i="1"/>
  <c r="AV2926" i="1"/>
  <c r="AT2518" i="1"/>
  <c r="AV2518" i="1"/>
  <c r="AV4322" i="1"/>
  <c r="AT4322" i="1"/>
  <c r="AV2349" i="1"/>
  <c r="AT2349" i="1"/>
  <c r="AV2476" i="1"/>
  <c r="AT2476" i="1"/>
  <c r="AV4287" i="1"/>
  <c r="AT4287" i="1"/>
  <c r="AV3108" i="1"/>
  <c r="AT3108" i="1"/>
  <c r="AV4156" i="1"/>
  <c r="AT4156" i="1"/>
  <c r="AV4150" i="1"/>
  <c r="AT4150" i="1"/>
  <c r="AV3363" i="1"/>
  <c r="AT3363" i="1"/>
  <c r="AV1743" i="1"/>
  <c r="AT1743" i="1"/>
  <c r="AV3300" i="1"/>
  <c r="AT3300" i="1"/>
  <c r="AV2161" i="1"/>
  <c r="AT2161" i="1"/>
  <c r="AV3385" i="1"/>
  <c r="AT3385" i="1"/>
  <c r="AV1693" i="1"/>
  <c r="AT1693" i="1"/>
  <c r="AV3437" i="1"/>
  <c r="AT3437" i="1"/>
  <c r="AV2984" i="1"/>
  <c r="AT2984" i="1"/>
  <c r="AV2279" i="1"/>
  <c r="AT2279" i="1"/>
  <c r="AV3376" i="1"/>
  <c r="AT3376" i="1"/>
  <c r="AV2435" i="1"/>
  <c r="AT2435" i="1"/>
  <c r="AV3788" i="1"/>
  <c r="AT3788" i="1"/>
  <c r="AV2023" i="1"/>
  <c r="AT2023" i="1"/>
  <c r="AV3285" i="1"/>
  <c r="AT3285" i="1"/>
  <c r="AV3648" i="1"/>
  <c r="AT3648" i="1"/>
  <c r="AV4000" i="1"/>
  <c r="AT4000" i="1"/>
  <c r="AV2239" i="1"/>
  <c r="AT2239" i="1"/>
  <c r="AV14" i="1"/>
  <c r="AT14" i="1"/>
  <c r="AT2409" i="1"/>
  <c r="AV2409" i="1"/>
  <c r="AV809" i="1"/>
  <c r="AT809" i="1"/>
  <c r="AV2687" i="1"/>
  <c r="AT2687" i="1"/>
  <c r="AT1113" i="1"/>
  <c r="AV1113" i="1"/>
  <c r="AV13" i="1"/>
  <c r="AT13" i="1"/>
  <c r="AV3877" i="1"/>
  <c r="AT3877" i="1"/>
  <c r="AV4045" i="1"/>
  <c r="AT4045" i="1"/>
  <c r="AV2081" i="1"/>
  <c r="AT2081" i="1"/>
  <c r="AT2624" i="1"/>
  <c r="AV2624" i="1"/>
  <c r="AV4216" i="1"/>
  <c r="AT4216" i="1"/>
  <c r="AV4159" i="1"/>
  <c r="AT4159" i="1"/>
  <c r="AT291" i="1"/>
  <c r="AV291" i="1"/>
  <c r="AV3918" i="1"/>
  <c r="AT3918" i="1"/>
  <c r="AV3568" i="1"/>
  <c r="AT3568" i="1"/>
  <c r="AV2729" i="1"/>
  <c r="AT2729" i="1"/>
  <c r="AV1269" i="1"/>
  <c r="AT1269" i="1"/>
  <c r="AT1724" i="1"/>
  <c r="AV1724" i="1"/>
  <c r="AV804" i="1"/>
  <c r="AT804" i="1"/>
  <c r="AV1414" i="1"/>
  <c r="AT1414" i="1"/>
  <c r="AV3210" i="1"/>
  <c r="AT3210" i="1"/>
  <c r="AV3353" i="1"/>
  <c r="AT3353" i="1"/>
  <c r="AV3458" i="1"/>
  <c r="AT3458" i="1"/>
  <c r="AV3141" i="1"/>
  <c r="AT3141" i="1"/>
  <c r="AV4165" i="1"/>
  <c r="AT4165" i="1"/>
  <c r="AV2391" i="1"/>
  <c r="AT2391" i="1"/>
  <c r="AV640" i="1"/>
  <c r="AT640" i="1"/>
  <c r="AV2933" i="1"/>
  <c r="AT2933" i="1"/>
  <c r="AV3229" i="1"/>
  <c r="AT3229" i="1"/>
  <c r="AV1822" i="1"/>
  <c r="AT1822" i="1"/>
  <c r="AV2105" i="1"/>
  <c r="AT2105" i="1"/>
  <c r="AV1763" i="1"/>
  <c r="AT1763" i="1"/>
  <c r="AV650" i="1"/>
  <c r="AT650" i="1"/>
  <c r="AV4300" i="1"/>
  <c r="AT4300" i="1"/>
  <c r="AV3206" i="1"/>
  <c r="AT3206" i="1"/>
  <c r="AV70" i="1"/>
  <c r="AT70" i="1"/>
  <c r="AV3273" i="1"/>
  <c r="AT3273" i="1"/>
  <c r="AV2987" i="1"/>
  <c r="AT2987" i="1"/>
  <c r="AV3352" i="1"/>
  <c r="AT3352" i="1"/>
  <c r="AV3536" i="1"/>
  <c r="AT3536" i="1"/>
  <c r="AV3838" i="1"/>
  <c r="AT3838" i="1"/>
  <c r="AV2906" i="1"/>
  <c r="AT2906" i="1"/>
  <c r="AV1758" i="1"/>
  <c r="AT1758" i="1"/>
  <c r="AV3314" i="1"/>
  <c r="AT3314" i="1"/>
  <c r="AV3532" i="1"/>
  <c r="AT3532" i="1"/>
  <c r="AV4236" i="1"/>
  <c r="AT4236" i="1"/>
  <c r="AV1731" i="1"/>
  <c r="AT1731" i="1"/>
  <c r="AV2581" i="1"/>
  <c r="AT2581" i="1"/>
  <c r="AV1726" i="1"/>
  <c r="AT1726" i="1"/>
  <c r="AV3261" i="1"/>
  <c r="AT3261" i="1"/>
  <c r="AV1452" i="1"/>
  <c r="AT1452" i="1"/>
  <c r="AT2993" i="1"/>
  <c r="AV2993" i="1"/>
  <c r="AT2608" i="1"/>
  <c r="AV2608" i="1"/>
  <c r="AV3231" i="1"/>
  <c r="AT3231" i="1"/>
  <c r="AV3749" i="1"/>
  <c r="AT3749" i="1"/>
  <c r="AV2327" i="1"/>
  <c r="AT2327" i="1"/>
  <c r="AV2863" i="1"/>
  <c r="AT2863" i="1"/>
  <c r="AV3994" i="1"/>
  <c r="AT3994" i="1"/>
  <c r="AV2665" i="1"/>
  <c r="AT2665" i="1"/>
  <c r="AT4211" i="1"/>
  <c r="AV4211" i="1"/>
  <c r="AV2994" i="1"/>
  <c r="AT2994" i="1"/>
  <c r="AV2116" i="1"/>
  <c r="AT2116" i="1"/>
  <c r="AT2595" i="1"/>
  <c r="AV2595" i="1"/>
  <c r="AV1901" i="1"/>
  <c r="AT1901" i="1"/>
  <c r="AV2717" i="1"/>
  <c r="AT2717" i="1"/>
  <c r="AV1686" i="1"/>
  <c r="AT1686" i="1"/>
  <c r="AV2092" i="1"/>
  <c r="AT2092" i="1"/>
  <c r="AV2144" i="1"/>
  <c r="AT2144" i="1"/>
  <c r="AV4180" i="1"/>
  <c r="AT4180" i="1"/>
  <c r="AV3113" i="1"/>
  <c r="AT3113" i="1"/>
  <c r="AV3970" i="1"/>
  <c r="AT3970" i="1"/>
  <c r="AV3560" i="1"/>
  <c r="AT3560" i="1"/>
  <c r="AV2267" i="1"/>
  <c r="AT2267" i="1"/>
  <c r="AV3117" i="1"/>
  <c r="AT3117" i="1"/>
  <c r="AV2734" i="1"/>
  <c r="AT2734" i="1"/>
  <c r="AV1341" i="1"/>
  <c r="AT1341" i="1"/>
  <c r="AV414" i="1"/>
  <c r="AT414" i="1"/>
  <c r="AV2422" i="1"/>
  <c r="AT2422" i="1"/>
  <c r="AV761" i="1"/>
  <c r="AT761" i="1"/>
  <c r="AV1790" i="1"/>
  <c r="AT1790" i="1"/>
  <c r="AV2956" i="1"/>
  <c r="AT2956" i="1"/>
  <c r="AV3109" i="1"/>
  <c r="AT3109" i="1"/>
  <c r="AV2761" i="1"/>
  <c r="AT2761" i="1"/>
  <c r="AV1701" i="1"/>
  <c r="AT1701" i="1"/>
  <c r="AV1795" i="1"/>
  <c r="AT1795" i="1"/>
  <c r="AV4023" i="1"/>
  <c r="AT4023" i="1"/>
  <c r="AV3025" i="1"/>
  <c r="AT3025" i="1"/>
  <c r="AV3287" i="1"/>
  <c r="AT3287" i="1"/>
  <c r="AV3978" i="1"/>
  <c r="AT3978" i="1"/>
  <c r="AV2276" i="1"/>
  <c r="AT2276" i="1"/>
  <c r="AV4103" i="1"/>
  <c r="AT4103" i="1"/>
  <c r="AT758" i="1"/>
  <c r="AV758" i="1"/>
  <c r="AV3319" i="1"/>
  <c r="AT3319" i="1"/>
  <c r="AV1928" i="1"/>
  <c r="AT1928" i="1"/>
  <c r="AV3678" i="1"/>
  <c r="AT3678" i="1"/>
  <c r="AV2019" i="1"/>
  <c r="AT2019" i="1"/>
  <c r="AV3400" i="1"/>
  <c r="AT3400" i="1"/>
  <c r="AV1347" i="1"/>
  <c r="AT1347" i="1"/>
  <c r="AT1703" i="1"/>
  <c r="AV1703" i="1"/>
  <c r="AV4105" i="1"/>
  <c r="AT4105" i="1"/>
  <c r="AV2411" i="1"/>
  <c r="AT2411" i="1"/>
  <c r="AV3922" i="1"/>
  <c r="AT3922" i="1"/>
  <c r="AV2302" i="1"/>
  <c r="AT2302" i="1"/>
  <c r="AT3661" i="1"/>
  <c r="AV3661" i="1"/>
  <c r="AV514" i="1"/>
  <c r="AT514" i="1"/>
  <c r="AV3350" i="1"/>
  <c r="AT3350" i="1"/>
  <c r="AV52" i="1"/>
  <c r="AT52" i="1"/>
  <c r="AV2804" i="1"/>
  <c r="AT2804" i="1"/>
  <c r="AV3522" i="1"/>
  <c r="AT3522" i="1"/>
  <c r="AV4104" i="1"/>
  <c r="AT4104" i="1"/>
  <c r="AV3775" i="1"/>
  <c r="AT3775" i="1"/>
  <c r="AT3893" i="1"/>
  <c r="AV3893" i="1"/>
  <c r="AV3744" i="1"/>
  <c r="AT3744" i="1"/>
  <c r="AV1895" i="1"/>
  <c r="AT1895" i="1"/>
  <c r="AV2646" i="1"/>
  <c r="AT2646" i="1"/>
  <c r="AT2998" i="1"/>
  <c r="AV2998" i="1"/>
  <c r="AV447" i="1"/>
  <c r="AT447" i="1"/>
  <c r="AV217" i="1"/>
  <c r="AT217" i="1"/>
  <c r="AV4253" i="1"/>
  <c r="AT4253" i="1"/>
  <c r="AV1884" i="1"/>
  <c r="AT1884" i="1"/>
  <c r="AV3888" i="1"/>
  <c r="AT3888" i="1"/>
  <c r="AV4067" i="1"/>
  <c r="AT4067" i="1"/>
  <c r="AV1646" i="1"/>
  <c r="AT1646" i="1"/>
  <c r="AV2915" i="1"/>
  <c r="AT2915" i="1"/>
  <c r="AV1574" i="1"/>
  <c r="AT1574" i="1"/>
  <c r="AV3058" i="1"/>
  <c r="AT3058" i="1"/>
  <c r="AV1996" i="1"/>
  <c r="AT1996" i="1"/>
  <c r="AV1622" i="1"/>
  <c r="AT1622" i="1"/>
  <c r="AV97" i="1"/>
  <c r="AT97" i="1"/>
  <c r="AV3305" i="1"/>
  <c r="AT3305" i="1"/>
  <c r="AV2864" i="1"/>
  <c r="AT2864" i="1"/>
  <c r="AV1885" i="1"/>
  <c r="AT1885" i="1"/>
  <c r="AV2414" i="1"/>
  <c r="AT2414" i="1"/>
  <c r="AV3799" i="1"/>
  <c r="AT3799" i="1"/>
  <c r="AV2574" i="1"/>
  <c r="AT2574" i="1"/>
  <c r="AV4160" i="1"/>
  <c r="AT4160" i="1"/>
  <c r="AV1704" i="1"/>
  <c r="AT1704" i="1"/>
  <c r="AT1942" i="1"/>
  <c r="AV1942" i="1"/>
  <c r="AV2222" i="1"/>
  <c r="AT2222" i="1"/>
  <c r="AV3998" i="1"/>
  <c r="AT3998" i="1"/>
  <c r="AV2464" i="1"/>
  <c r="AT2464" i="1"/>
  <c r="AV3130" i="1"/>
  <c r="AT3130" i="1"/>
  <c r="AV4254" i="1"/>
  <c r="AT4254" i="1"/>
  <c r="AV3105" i="1"/>
  <c r="AT3105" i="1"/>
  <c r="AV3164" i="1"/>
  <c r="AT3164" i="1"/>
  <c r="AV2708" i="1"/>
  <c r="AT2708" i="1"/>
  <c r="AV3067" i="1"/>
  <c r="AT3067" i="1"/>
  <c r="AV2381" i="1"/>
  <c r="AT2381" i="1"/>
  <c r="AV3955" i="1"/>
  <c r="AT3955" i="1"/>
  <c r="AV1314" i="1"/>
  <c r="AT1314" i="1"/>
  <c r="AV3586" i="1"/>
  <c r="AT3586" i="1"/>
  <c r="AV3049" i="1"/>
  <c r="AT3049" i="1"/>
  <c r="AV2272" i="1"/>
  <c r="AT2272" i="1"/>
  <c r="AV1855" i="1"/>
  <c r="AT1855" i="1"/>
  <c r="AV1788" i="1"/>
  <c r="AT1788" i="1"/>
  <c r="AV535" i="1"/>
  <c r="AT535" i="1"/>
  <c r="AV3152" i="1"/>
  <c r="AT3152" i="1"/>
  <c r="AV4203" i="1"/>
  <c r="AT4203" i="1"/>
  <c r="AV3234" i="1"/>
  <c r="AT3234" i="1"/>
  <c r="AT3009" i="1"/>
  <c r="AV3009" i="1"/>
  <c r="AV2054" i="1"/>
  <c r="AT2054" i="1"/>
  <c r="AV4063" i="1"/>
  <c r="AT4063" i="1"/>
  <c r="AV4173" i="1"/>
  <c r="AT4173" i="1"/>
  <c r="AV459" i="1"/>
  <c r="AT459" i="1"/>
  <c r="AV2268" i="1"/>
  <c r="AT2268" i="1"/>
  <c r="AV1662" i="1"/>
  <c r="AT1662" i="1"/>
  <c r="AV1334" i="1"/>
  <c r="AT1334" i="1"/>
  <c r="AV3837" i="1"/>
  <c r="AT3837" i="1"/>
  <c r="AV3782" i="1"/>
  <c r="AT3782" i="1"/>
  <c r="AV2086" i="1"/>
  <c r="AT2086" i="1"/>
  <c r="AV4015" i="1"/>
  <c r="AT4015" i="1"/>
  <c r="AV890" i="1"/>
  <c r="AT890" i="1"/>
  <c r="AV2905" i="1"/>
  <c r="AT2905" i="1"/>
  <c r="AT2966" i="1"/>
  <c r="AV2966" i="1"/>
  <c r="AV3045" i="1"/>
  <c r="AT3045" i="1"/>
  <c r="AV3985" i="1"/>
  <c r="AT3985" i="1"/>
  <c r="AV4319" i="1"/>
  <c r="AT4319" i="1"/>
  <c r="AV4242" i="1"/>
  <c r="AT4242" i="1"/>
  <c r="AV3762" i="1"/>
  <c r="AT3762" i="1"/>
  <c r="AV3254" i="1"/>
  <c r="AT3254" i="1"/>
  <c r="AV3567" i="1"/>
  <c r="AT3567" i="1"/>
  <c r="AV3825" i="1"/>
  <c r="AT3825" i="1"/>
  <c r="AV3890" i="1"/>
  <c r="AT3890" i="1"/>
  <c r="AV3780" i="1"/>
  <c r="AT3780" i="1"/>
  <c r="AV3673" i="1"/>
  <c r="AT3673" i="1"/>
  <c r="AT3924" i="1"/>
  <c r="AV3924" i="1"/>
  <c r="AV2749" i="1"/>
  <c r="AT2749" i="1"/>
  <c r="AV3732" i="1"/>
  <c r="AT3732" i="1"/>
  <c r="AV2087" i="1"/>
  <c r="AT2087" i="1"/>
  <c r="AT2829" i="1"/>
  <c r="AV2829" i="1"/>
  <c r="AV2730" i="1"/>
  <c r="AT2730" i="1"/>
  <c r="AV3714" i="1"/>
  <c r="AT3714" i="1"/>
  <c r="AV1216" i="1"/>
  <c r="AT1216" i="1"/>
  <c r="AV3405" i="1"/>
  <c r="AT3405" i="1"/>
  <c r="AT2425" i="1"/>
  <c r="AV2425" i="1"/>
  <c r="AV2039" i="1"/>
  <c r="AT2039" i="1"/>
  <c r="AV397" i="1"/>
  <c r="AT397" i="1"/>
  <c r="AV3511" i="1"/>
  <c r="AT3511" i="1"/>
  <c r="AV4299" i="1"/>
  <c r="AT4299" i="1"/>
  <c r="AT3037" i="1"/>
  <c r="AV3037" i="1"/>
  <c r="AV2294" i="1"/>
  <c r="AT2294" i="1"/>
  <c r="AV2066" i="1"/>
  <c r="AT2066" i="1"/>
  <c r="AV2727" i="1"/>
  <c r="AT2727" i="1"/>
  <c r="AT1630" i="1"/>
  <c r="AV1630" i="1"/>
  <c r="AV2495" i="1"/>
  <c r="AT2495" i="1"/>
  <c r="AV166" i="1"/>
  <c r="AT166" i="1"/>
  <c r="AV2204" i="1"/>
  <c r="AT2204" i="1"/>
  <c r="AT3369" i="1"/>
  <c r="AV3369" i="1"/>
  <c r="AV1770" i="1"/>
  <c r="AT1770" i="1"/>
  <c r="AV2431" i="1"/>
  <c r="AT2431" i="1"/>
  <c r="AV3672" i="1"/>
  <c r="AT3672" i="1"/>
  <c r="AV2783" i="1"/>
  <c r="AT2783" i="1"/>
  <c r="AV1407" i="1"/>
  <c r="AT1407" i="1"/>
  <c r="AV3980" i="1"/>
  <c r="AT3980" i="1"/>
  <c r="AV3454" i="1"/>
  <c r="AT3454" i="1"/>
  <c r="AV3958" i="1"/>
  <c r="AT3958" i="1"/>
  <c r="AV1025" i="1"/>
  <c r="AT1025" i="1"/>
  <c r="AV4073" i="1"/>
  <c r="AT4073" i="1"/>
  <c r="AV2723" i="1"/>
  <c r="AT2723" i="1"/>
  <c r="AV1805" i="1"/>
  <c r="AT1805" i="1"/>
  <c r="AT1976" i="1"/>
  <c r="AV1976" i="1"/>
  <c r="AV3826" i="1"/>
  <c r="AT3826" i="1"/>
  <c r="AV2579" i="1"/>
  <c r="AT2579" i="1"/>
  <c r="AV2504" i="1"/>
  <c r="AT2504" i="1"/>
  <c r="AV2068" i="1"/>
  <c r="AT2068" i="1"/>
  <c r="AV2929" i="1"/>
  <c r="AT2929" i="1"/>
  <c r="AV3724" i="1"/>
  <c r="AT3724" i="1"/>
  <c r="AV3453" i="1"/>
  <c r="AT3453" i="1"/>
  <c r="AV34" i="1"/>
  <c r="AT34" i="1"/>
  <c r="AV1624" i="1"/>
  <c r="AT1624" i="1"/>
  <c r="AV4310" i="1"/>
  <c r="AT4310" i="1"/>
  <c r="AV2207" i="1"/>
  <c r="AT2207" i="1"/>
  <c r="AV4295" i="1"/>
  <c r="AT4295" i="1"/>
  <c r="AV1845" i="1"/>
  <c r="AT1845" i="1"/>
  <c r="AT4076" i="1"/>
  <c r="AV4076" i="1"/>
  <c r="AT3446" i="1"/>
  <c r="AV3446" i="1"/>
  <c r="AV18" i="1"/>
  <c r="AT18" i="1"/>
  <c r="AV3158" i="1"/>
  <c r="AT3158" i="1"/>
  <c r="AV4060" i="1"/>
  <c r="AT4060" i="1"/>
  <c r="AV1312" i="1"/>
  <c r="AT1312" i="1"/>
  <c r="AV919" i="1"/>
  <c r="AT919" i="1"/>
  <c r="AV184" i="1"/>
  <c r="AT184" i="1"/>
  <c r="AV2975" i="1"/>
  <c r="AT2975" i="1"/>
  <c r="AV3104" i="1"/>
  <c r="AT3104" i="1"/>
  <c r="AV2214" i="1"/>
  <c r="AT2214" i="1"/>
  <c r="AV3588" i="1"/>
  <c r="AT3588" i="1"/>
  <c r="AT2285" i="1"/>
  <c r="AV2285" i="1"/>
  <c r="AV3785" i="1"/>
  <c r="AT3785" i="1"/>
  <c r="AT752" i="1"/>
  <c r="AV752" i="1"/>
  <c r="AV2711" i="1"/>
  <c r="AT2711" i="1"/>
  <c r="AV1337" i="1"/>
  <c r="AT1337" i="1"/>
  <c r="AV2229" i="1"/>
  <c r="AT2229" i="1"/>
  <c r="AV1819" i="1"/>
  <c r="AT1819" i="1"/>
  <c r="AV527" i="1"/>
  <c r="AT527" i="1"/>
  <c r="AV3558" i="1"/>
  <c r="AT3558" i="1"/>
  <c r="AV2134" i="1"/>
  <c r="AT2134" i="1"/>
  <c r="AT4020" i="1"/>
  <c r="AV4020" i="1"/>
  <c r="AT2338" i="1"/>
  <c r="AV2338" i="1"/>
  <c r="AV1869" i="1"/>
  <c r="AT1869" i="1"/>
  <c r="AV4079" i="1"/>
  <c r="AT4079" i="1"/>
  <c r="AV3576" i="1"/>
  <c r="AT3576" i="1"/>
  <c r="AT2910" i="1"/>
  <c r="AV2910" i="1"/>
  <c r="AV4237" i="1"/>
  <c r="AT4237" i="1"/>
  <c r="AV4154" i="1"/>
  <c r="AT4154" i="1"/>
  <c r="AT1732" i="1"/>
  <c r="AV1732" i="1"/>
  <c r="AV4332" i="1"/>
  <c r="AT4332" i="1"/>
  <c r="AT3658" i="1"/>
  <c r="AV3658" i="1"/>
  <c r="AV4327" i="1"/>
  <c r="AT4327" i="1"/>
  <c r="AV3022" i="1"/>
  <c r="AT3022" i="1"/>
  <c r="AV1534" i="1"/>
  <c r="AT1534" i="1"/>
  <c r="AV10" i="1"/>
  <c r="AT10" i="1"/>
  <c r="AV3463" i="1"/>
  <c r="AT3463" i="1"/>
  <c r="AV1351" i="1"/>
  <c r="AT1351" i="1"/>
  <c r="AV1751" i="1"/>
  <c r="AT1751" i="1"/>
  <c r="AV3784" i="1"/>
  <c r="AT3784" i="1"/>
  <c r="AV2437" i="1"/>
  <c r="AT2437" i="1"/>
  <c r="AV3215" i="1"/>
  <c r="AT3215" i="1"/>
  <c r="AV2806" i="1"/>
  <c r="AT2806" i="1"/>
  <c r="AV319" i="1"/>
  <c r="AT319" i="1"/>
  <c r="AV2921" i="1"/>
  <c r="AT2921" i="1"/>
  <c r="AV3721" i="1"/>
  <c r="AT3721" i="1"/>
  <c r="AT3999" i="1"/>
  <c r="AV3999" i="1"/>
  <c r="AV2838" i="1"/>
  <c r="AT2838" i="1"/>
  <c r="AV4025" i="1"/>
  <c r="AT4025" i="1"/>
  <c r="AV3616" i="1"/>
  <c r="AT3616" i="1"/>
  <c r="AV3052" i="1"/>
  <c r="AT3052" i="1"/>
  <c r="AV1481" i="1"/>
  <c r="AT1481" i="1"/>
  <c r="AV453" i="1"/>
  <c r="AT453" i="1"/>
  <c r="AV566" i="1"/>
  <c r="AT566" i="1"/>
  <c r="AV1846" i="1"/>
  <c r="AT1846" i="1"/>
  <c r="AV3179" i="1"/>
  <c r="AT3179" i="1"/>
  <c r="AV4074" i="1"/>
  <c r="AT4074" i="1"/>
  <c r="AV3059" i="1"/>
  <c r="AT3059" i="1"/>
  <c r="AV2821" i="1"/>
  <c r="AT2821" i="1"/>
  <c r="AV3852" i="1"/>
  <c r="AT3852" i="1"/>
  <c r="AT3659" i="1"/>
  <c r="AV3659" i="1"/>
  <c r="AV1610" i="1"/>
  <c r="AT1610" i="1"/>
  <c r="AV1627" i="1"/>
  <c r="AT1627" i="1"/>
  <c r="AV1617" i="1"/>
  <c r="AT1617" i="1"/>
  <c r="AV1787" i="1"/>
  <c r="AT1787" i="1"/>
  <c r="AV3569" i="1"/>
  <c r="AT3569" i="1"/>
  <c r="AV2418" i="1"/>
  <c r="AT2418" i="1"/>
  <c r="AV2246" i="1"/>
  <c r="AT2246" i="1"/>
  <c r="AV828" i="1"/>
  <c r="AT828" i="1"/>
  <c r="AV1421" i="1"/>
  <c r="AT1421" i="1"/>
  <c r="AV3514" i="1"/>
  <c r="AT3514" i="1"/>
  <c r="AV2311" i="1"/>
  <c r="AT2311" i="1"/>
  <c r="AT1463" i="1"/>
  <c r="AV1463" i="1"/>
  <c r="AV3783" i="1"/>
  <c r="AT3783" i="1"/>
  <c r="AV3979" i="1"/>
  <c r="AT3979" i="1"/>
  <c r="AV473" i="1"/>
  <c r="AT473" i="1"/>
  <c r="AV4227" i="1"/>
  <c r="AT4227" i="1"/>
  <c r="AV3595" i="1"/>
  <c r="AT3595" i="1"/>
  <c r="AT3202" i="1"/>
  <c r="AV3202" i="1"/>
  <c r="AV945" i="1"/>
  <c r="AT945" i="1"/>
  <c r="AV330" i="1"/>
  <c r="AT330" i="1"/>
  <c r="AV3559" i="1"/>
  <c r="AT3559" i="1"/>
  <c r="AV4316" i="1"/>
  <c r="AT4316" i="1"/>
  <c r="AV2289" i="1"/>
  <c r="AT2289" i="1"/>
  <c r="AV3171" i="1"/>
  <c r="AT3171" i="1"/>
  <c r="AV394" i="1"/>
  <c r="AT394" i="1"/>
  <c r="AV946" i="1"/>
  <c r="AT946" i="1"/>
  <c r="AT4233" i="1"/>
  <c r="AV4233" i="1"/>
  <c r="AV1856" i="1"/>
  <c r="AT1856" i="1"/>
  <c r="AV2472" i="1"/>
  <c r="AT2472" i="1"/>
  <c r="AV2967" i="1"/>
  <c r="AT2967" i="1"/>
  <c r="AV2361" i="1"/>
  <c r="AT2361" i="1"/>
  <c r="AV345" i="1"/>
  <c r="AT345" i="1"/>
  <c r="AV4157" i="1"/>
  <c r="AT4157" i="1"/>
  <c r="AV2167" i="1"/>
  <c r="AT2167" i="1"/>
  <c r="AV3769" i="1"/>
  <c r="AT3769" i="1"/>
  <c r="AV1497" i="1"/>
  <c r="AT1497" i="1"/>
  <c r="AV3389" i="1"/>
  <c r="AT3389" i="1"/>
  <c r="AV3413" i="1"/>
  <c r="AT3413" i="1"/>
  <c r="AV749" i="1"/>
  <c r="AT749" i="1"/>
  <c r="AV2800" i="1"/>
  <c r="AT2800" i="1"/>
  <c r="AV434" i="1"/>
  <c r="AT434" i="1"/>
  <c r="AV4181" i="1"/>
  <c r="AT4181" i="1"/>
  <c r="AT2587" i="1"/>
  <c r="AV2587" i="1"/>
  <c r="AV1864" i="1"/>
  <c r="AT1864" i="1"/>
  <c r="AV77" i="1"/>
  <c r="AT77" i="1"/>
  <c r="AV4226" i="1"/>
  <c r="AT4226" i="1"/>
  <c r="AV2220" i="1"/>
  <c r="AT2220" i="1"/>
  <c r="AV4029" i="1"/>
  <c r="AT4029" i="1"/>
  <c r="AV4069" i="1"/>
  <c r="AT4069" i="1"/>
  <c r="AV3798" i="1"/>
  <c r="AT3798" i="1"/>
  <c r="AV4087" i="1"/>
  <c r="AT4087" i="1"/>
  <c r="AV417" i="1"/>
  <c r="AT417" i="1"/>
  <c r="AV4188" i="1"/>
  <c r="AT4188" i="1"/>
  <c r="AV2773" i="1"/>
  <c r="AT2773" i="1"/>
  <c r="AV2056" i="1"/>
  <c r="AT2056" i="1"/>
  <c r="AV4062" i="1"/>
  <c r="AT4062" i="1"/>
  <c r="AT2098" i="1"/>
  <c r="AV2098" i="1"/>
  <c r="AV3076" i="1"/>
  <c r="AT3076" i="1"/>
  <c r="AV3420" i="1"/>
  <c r="AT3420" i="1"/>
  <c r="AV4127" i="1"/>
  <c r="AT4127" i="1"/>
  <c r="AV3136" i="1"/>
  <c r="AT3136" i="1"/>
  <c r="AV944" i="1"/>
  <c r="AT944" i="1"/>
  <c r="AV3195" i="1"/>
  <c r="AT3195" i="1"/>
  <c r="AV4046" i="1"/>
  <c r="AT4046" i="1"/>
  <c r="AV1985" i="1"/>
  <c r="AT1985" i="1"/>
  <c r="AV4123" i="1"/>
  <c r="AT4123" i="1"/>
  <c r="AT3249" i="1"/>
  <c r="AV3249" i="1"/>
  <c r="AV3859" i="1"/>
  <c r="AT3859" i="1"/>
  <c r="AT2960" i="1"/>
  <c r="AV2960" i="1"/>
  <c r="AV2852" i="1"/>
  <c r="AT2852" i="1"/>
  <c r="AV3031" i="1"/>
  <c r="AT3031" i="1"/>
  <c r="AV3411" i="1"/>
  <c r="AT3411" i="1"/>
  <c r="AV3625" i="1"/>
  <c r="AT3625" i="1"/>
  <c r="AV1685" i="1"/>
  <c r="AT1685" i="1"/>
  <c r="AV3876" i="1"/>
  <c r="AT3876" i="1"/>
  <c r="AV3542" i="1"/>
  <c r="AT3542" i="1"/>
  <c r="AV3853" i="1"/>
  <c r="AT3853" i="1"/>
  <c r="AV3716" i="1"/>
  <c r="AT3716" i="1"/>
  <c r="AV4230" i="1"/>
  <c r="AT4230" i="1"/>
  <c r="AV3720" i="1"/>
  <c r="AT3720" i="1"/>
  <c r="AV3961" i="1"/>
  <c r="AT3961" i="1"/>
  <c r="AV3499" i="1"/>
  <c r="AT3499" i="1"/>
  <c r="AV3235" i="1"/>
  <c r="AT3235" i="1"/>
  <c r="AT3275" i="1"/>
  <c r="AV3275" i="1"/>
  <c r="AV2939" i="1"/>
  <c r="AT2939" i="1"/>
  <c r="AV1237" i="1"/>
  <c r="AT1237" i="1"/>
  <c r="AV3397" i="1"/>
  <c r="AT3397" i="1"/>
  <c r="AV3175" i="1"/>
  <c r="AT3175" i="1"/>
  <c r="AV3928" i="1"/>
  <c r="AT3928" i="1"/>
  <c r="AV3983" i="1"/>
  <c r="AT3983" i="1"/>
  <c r="AV3431" i="1"/>
  <c r="AT3431" i="1"/>
  <c r="AV1354" i="1"/>
  <c r="AT1354" i="1"/>
  <c r="AV2549" i="1"/>
  <c r="AT2549" i="1"/>
  <c r="AV3192" i="1"/>
  <c r="AT3192" i="1"/>
  <c r="AV1929" i="1"/>
  <c r="AT1929" i="1"/>
  <c r="AV3017" i="1"/>
  <c r="AT3017" i="1"/>
  <c r="AV2538" i="1"/>
  <c r="AT2538" i="1"/>
  <c r="AV3307" i="1"/>
  <c r="AT3307" i="1"/>
  <c r="AV695" i="1"/>
  <c r="AT695" i="1"/>
  <c r="AV2354" i="1"/>
  <c r="AT2354" i="1"/>
  <c r="AV2383" i="1"/>
  <c r="AT2383" i="1"/>
  <c r="AV538" i="1"/>
  <c r="AT538" i="1"/>
  <c r="AV3515" i="1"/>
  <c r="AT3515" i="1"/>
  <c r="AV1719" i="1"/>
  <c r="AT1719" i="1"/>
  <c r="AV3257" i="1"/>
  <c r="AT3257" i="1"/>
  <c r="AV3435" i="1"/>
  <c r="AT3435" i="1"/>
  <c r="AV2743" i="1"/>
  <c r="AT2743" i="1"/>
  <c r="AV1649" i="1"/>
  <c r="AT1649" i="1"/>
  <c r="AT3795" i="1"/>
  <c r="AV3795" i="1"/>
  <c r="AT1388" i="1"/>
  <c r="AV1388" i="1"/>
  <c r="AV2856" i="1"/>
  <c r="AT2856" i="1"/>
  <c r="AV2245" i="1"/>
  <c r="AT2245" i="1"/>
  <c r="AV4317" i="1"/>
  <c r="AT4317" i="1"/>
  <c r="AV2096" i="1"/>
  <c r="AT2096" i="1"/>
  <c r="AT2556" i="1"/>
  <c r="AV2556" i="1"/>
  <c r="AV693" i="1"/>
  <c r="AT693" i="1"/>
  <c r="AV3038" i="1"/>
  <c r="AT3038" i="1"/>
  <c r="AV353" i="1"/>
  <c r="AT353" i="1"/>
  <c r="AV4306" i="1"/>
  <c r="AT4306" i="1"/>
  <c r="AV3147" i="1"/>
  <c r="AT3147" i="1"/>
  <c r="AV2384" i="1"/>
  <c r="AT2384" i="1"/>
  <c r="AV4097" i="1"/>
  <c r="AT4097" i="1"/>
  <c r="AV3138" i="1"/>
  <c r="AT3138" i="1"/>
  <c r="AV4056" i="1"/>
  <c r="AT4056" i="1"/>
  <c r="AV1252" i="1"/>
  <c r="AT1252" i="1"/>
  <c r="AV3528" i="1"/>
  <c r="AT3528" i="1"/>
  <c r="AV738" i="1"/>
  <c r="AT738" i="1"/>
  <c r="AV3630" i="1"/>
  <c r="AT3630" i="1"/>
  <c r="AV576" i="1"/>
  <c r="AT576" i="1"/>
  <c r="AV3653" i="1"/>
  <c r="AT3653" i="1"/>
  <c r="AV4221" i="1"/>
  <c r="AT4221" i="1"/>
  <c r="AV3905" i="1"/>
  <c r="AT3905" i="1"/>
  <c r="AV2902" i="1"/>
  <c r="AT2902" i="1"/>
  <c r="AV3090" i="1"/>
  <c r="AT3090" i="1"/>
  <c r="AV3459" i="1"/>
  <c r="AT3459" i="1"/>
  <c r="AV3969" i="1"/>
  <c r="AT3969" i="1"/>
  <c r="AV2230" i="1"/>
  <c r="AT2230" i="1"/>
  <c r="AV3599" i="1"/>
  <c r="AT3599" i="1"/>
  <c r="AV2997" i="1"/>
  <c r="AT2997" i="1"/>
  <c r="AV2048" i="1"/>
  <c r="AT2048" i="1"/>
  <c r="AT3692" i="1"/>
  <c r="AV3692" i="1"/>
  <c r="AV1589" i="1"/>
  <c r="AT1589" i="1"/>
  <c r="AV2801" i="1"/>
  <c r="AT2801" i="1"/>
  <c r="AV3089" i="1"/>
  <c r="AT3089" i="1"/>
  <c r="AV3894" i="1"/>
  <c r="AT3894" i="1"/>
  <c r="AV1664" i="1"/>
  <c r="AT1664" i="1"/>
  <c r="AV3476" i="1"/>
  <c r="AT3476" i="1"/>
  <c r="AV4002" i="1"/>
  <c r="AT4002" i="1"/>
  <c r="AT3015" i="1"/>
  <c r="AV3015" i="1"/>
  <c r="AV3485" i="1"/>
  <c r="AT3485" i="1"/>
  <c r="AT1659" i="1"/>
  <c r="AV1659" i="1"/>
  <c r="AV2175" i="1"/>
  <c r="AT2175" i="1"/>
  <c r="AV2620" i="1"/>
  <c r="AT2620" i="1"/>
  <c r="AV4311" i="1"/>
  <c r="AT4311" i="1"/>
  <c r="AV2335" i="1"/>
  <c r="AT2335" i="1"/>
  <c r="AV3338" i="1"/>
  <c r="AT3338" i="1"/>
  <c r="AV3725" i="1"/>
  <c r="AT3725" i="1"/>
  <c r="AV3903" i="1"/>
  <c r="AT3903" i="1"/>
  <c r="AV3895" i="1"/>
  <c r="AT3895" i="1"/>
  <c r="AV2057" i="1"/>
  <c r="AT2057" i="1"/>
  <c r="AV4274" i="1"/>
  <c r="AT4274" i="1"/>
  <c r="AV1406" i="1"/>
  <c r="AT1406" i="1"/>
  <c r="AV4077" i="1"/>
  <c r="AT4077" i="1"/>
  <c r="AV2375" i="1"/>
  <c r="AT2375" i="1"/>
  <c r="AV3103" i="1"/>
  <c r="AT3103" i="1"/>
  <c r="AV3917" i="1"/>
  <c r="AT3917" i="1"/>
  <c r="AV4064" i="1"/>
  <c r="AT4064" i="1"/>
  <c r="AV3988" i="1"/>
  <c r="AT3988" i="1"/>
  <c r="AV3544" i="1"/>
  <c r="AT3544" i="1"/>
  <c r="AV4096" i="1"/>
  <c r="AT4096" i="1"/>
  <c r="AV816" i="1"/>
  <c r="AT816" i="1"/>
  <c r="AV4301" i="1"/>
  <c r="AT4301" i="1"/>
  <c r="AV3942" i="1"/>
  <c r="AT3942" i="1"/>
  <c r="AV2977" i="1"/>
  <c r="AT2977" i="1"/>
  <c r="AV2639" i="1"/>
  <c r="AT2639" i="1"/>
  <c r="AV3163" i="1"/>
  <c r="AT3163" i="1"/>
  <c r="AT688" i="1"/>
  <c r="AV688" i="1"/>
  <c r="AV2705" i="1"/>
  <c r="AT2705" i="1"/>
  <c r="AV3512" i="1"/>
  <c r="AT3512" i="1"/>
  <c r="AT3507" i="1"/>
  <c r="AV3507" i="1"/>
  <c r="AV3417" i="1"/>
  <c r="AT3417" i="1"/>
  <c r="AT3990" i="1"/>
  <c r="AV3990" i="1"/>
  <c r="AV4267" i="1"/>
  <c r="AT4267" i="1"/>
  <c r="AV4137" i="1"/>
  <c r="AT4137" i="1"/>
  <c r="AV4314" i="1"/>
  <c r="AT4314" i="1"/>
  <c r="AV3128" i="1"/>
  <c r="AT3128" i="1"/>
  <c r="AV1977" i="1"/>
  <c r="AT1977" i="1"/>
  <c r="AV2247" i="1"/>
  <c r="AT2247" i="1"/>
  <c r="AV1539" i="1"/>
  <c r="AT1539" i="1"/>
  <c r="AV2029" i="1"/>
  <c r="AT2029" i="1"/>
  <c r="AV1596" i="1"/>
  <c r="AT1596" i="1"/>
  <c r="AV951" i="1"/>
  <c r="AT951" i="1"/>
  <c r="AV3533" i="1"/>
  <c r="AT3533" i="1"/>
  <c r="AV3695" i="1"/>
  <c r="AT3695" i="1"/>
  <c r="AV3937" i="1"/>
  <c r="AT3937" i="1"/>
  <c r="AV3657" i="1"/>
  <c r="AT3657" i="1"/>
  <c r="AV1973" i="1"/>
  <c r="AT1973" i="1"/>
  <c r="AV1426" i="1"/>
  <c r="AT1426" i="1"/>
  <c r="AV3441" i="1"/>
  <c r="AT3441" i="1"/>
  <c r="AV1913" i="1"/>
  <c r="AT1913" i="1"/>
  <c r="AV4152" i="1"/>
  <c r="AT4152" i="1"/>
  <c r="AV1160" i="1"/>
  <c r="AT1160" i="1"/>
  <c r="AV1881" i="1"/>
  <c r="AT1881" i="1"/>
  <c r="AV3889" i="1"/>
  <c r="AT3889" i="1"/>
  <c r="AV1591" i="1"/>
  <c r="AT1591" i="1"/>
  <c r="AV3447" i="1"/>
  <c r="AT3447" i="1"/>
  <c r="AV372" i="1"/>
  <c r="AT372" i="1"/>
  <c r="AT2618" i="1"/>
  <c r="AV2618" i="1"/>
  <c r="AV748" i="1"/>
  <c r="AT748" i="1"/>
  <c r="AV2995" i="1"/>
  <c r="AT2995" i="1"/>
  <c r="AV4204" i="1"/>
  <c r="AT4204" i="1"/>
  <c r="AV3167" i="1"/>
  <c r="AT3167" i="1"/>
  <c r="AV3477" i="1"/>
  <c r="AT3477" i="1"/>
  <c r="AV3813" i="1"/>
  <c r="AT3813" i="1"/>
  <c r="AV3667" i="1"/>
  <c r="AT3667" i="1"/>
  <c r="AV1873" i="1"/>
  <c r="AT1873" i="1"/>
  <c r="AV3472" i="1"/>
  <c r="AT3472" i="1"/>
  <c r="AV3068" i="1"/>
  <c r="AT3068" i="1"/>
  <c r="AV3135" i="1"/>
  <c r="AT3135" i="1"/>
  <c r="AV3006" i="1"/>
  <c r="AT3006" i="1"/>
  <c r="AV1451" i="1"/>
  <c r="AT1451" i="1"/>
  <c r="AV3722" i="1"/>
  <c r="AT3722" i="1"/>
  <c r="AV2790" i="1"/>
  <c r="AT2790" i="1"/>
  <c r="AV1767" i="1"/>
  <c r="AT1767" i="1"/>
  <c r="AV3041" i="1"/>
  <c r="AT3041" i="1"/>
  <c r="AV2764" i="1"/>
  <c r="AT2764" i="1"/>
  <c r="AV3478" i="1"/>
  <c r="AT3478" i="1"/>
  <c r="AT4248" i="1"/>
  <c r="AV4248" i="1"/>
  <c r="AV3351" i="1"/>
  <c r="AT3351" i="1"/>
  <c r="AV3771" i="1"/>
  <c r="AT3771" i="1"/>
  <c r="AV3156" i="1"/>
  <c r="AT3156" i="1"/>
  <c r="AV412" i="1"/>
  <c r="AT412" i="1"/>
  <c r="AV2900" i="1"/>
  <c r="AT2900" i="1"/>
  <c r="AV2810" i="1"/>
  <c r="AT2810" i="1"/>
  <c r="AT3843" i="1"/>
  <c r="AV3843" i="1"/>
  <c r="AV1023" i="1"/>
  <c r="AT1023" i="1"/>
  <c r="AV58" i="1"/>
  <c r="AT58" i="1"/>
  <c r="AV2082" i="1"/>
  <c r="AT2082" i="1"/>
  <c r="AV886" i="1"/>
  <c r="AT886" i="1"/>
  <c r="AT2835" i="1"/>
  <c r="AV2835" i="1"/>
  <c r="AV3419" i="1"/>
  <c r="AT3419" i="1"/>
  <c r="AV4259" i="1"/>
  <c r="AT4259" i="1"/>
  <c r="AV4151" i="1"/>
  <c r="AT4151" i="1"/>
  <c r="AV2521" i="1"/>
  <c r="AT2521" i="1"/>
  <c r="AT3345" i="1"/>
  <c r="AV3345" i="1"/>
  <c r="AT2075" i="1"/>
  <c r="AV2075" i="1"/>
  <c r="AV4256" i="1"/>
  <c r="AT4256" i="1"/>
  <c r="AV1738" i="1"/>
  <c r="AT1738" i="1"/>
  <c r="AV3111" i="1"/>
  <c r="AT3111" i="1"/>
  <c r="AV2097" i="1"/>
  <c r="AT2097" i="1"/>
  <c r="AV837" i="1"/>
  <c r="AT837" i="1"/>
  <c r="AV2807" i="1"/>
  <c r="AT2807" i="1"/>
  <c r="AV3432" i="1"/>
  <c r="AT3432" i="1"/>
  <c r="AV490" i="1"/>
  <c r="AT490" i="1"/>
  <c r="AV1717" i="1"/>
  <c r="AT1717" i="1"/>
  <c r="AV1597" i="1"/>
  <c r="AT1597" i="1"/>
  <c r="AT827" i="1"/>
  <c r="AV827" i="1"/>
  <c r="AV690" i="1"/>
  <c r="AT690" i="1"/>
  <c r="AV2028" i="1"/>
  <c r="AT2028" i="1"/>
  <c r="AV446" i="1"/>
  <c r="AT446" i="1"/>
  <c r="AV4055" i="1"/>
  <c r="AT4055" i="1"/>
  <c r="AV3517" i="1"/>
  <c r="AT3517" i="1"/>
  <c r="AV2971" i="1"/>
  <c r="AT2971" i="1"/>
  <c r="AV3593" i="1"/>
  <c r="AT3593" i="1"/>
  <c r="AV406" i="1"/>
  <c r="AT406" i="1"/>
  <c r="AV4147" i="1"/>
  <c r="AT4147" i="1"/>
  <c r="AV2732" i="1"/>
  <c r="AT2732" i="1"/>
  <c r="AV1872" i="1"/>
  <c r="AT1872" i="1"/>
  <c r="AV439" i="1"/>
  <c r="AT439" i="1"/>
  <c r="AV3626" i="1"/>
  <c r="AT3626" i="1"/>
  <c r="AV2060" i="1"/>
  <c r="AT2060" i="1"/>
  <c r="AV1598" i="1"/>
  <c r="AT1598" i="1"/>
  <c r="AV4084" i="1"/>
  <c r="AT4084" i="1"/>
  <c r="AV2758" i="1"/>
  <c r="AT2758" i="1"/>
  <c r="AV4183" i="1"/>
  <c r="AT4183" i="1"/>
  <c r="AV1643" i="1"/>
  <c r="AT1643" i="1"/>
  <c r="AV2072" i="1"/>
  <c r="AT2072" i="1"/>
  <c r="AV3683" i="1"/>
  <c r="AT3683" i="1"/>
  <c r="AV3529" i="1"/>
  <c r="AT3529" i="1"/>
  <c r="AV4008" i="1"/>
  <c r="AT4008" i="1"/>
  <c r="AT2063" i="1"/>
  <c r="AV2063" i="1"/>
  <c r="AV3729" i="1"/>
  <c r="AT3729" i="1"/>
  <c r="AV1896" i="1"/>
  <c r="AT1896" i="1"/>
  <c r="AV3796" i="1"/>
  <c r="AT3796" i="1"/>
  <c r="AV1125" i="1"/>
  <c r="AT1125" i="1"/>
  <c r="AV2684" i="1"/>
  <c r="AT2684" i="1"/>
  <c r="AV2759" i="1"/>
  <c r="AT2759" i="1"/>
  <c r="AV2831" i="1"/>
  <c r="AT2831" i="1"/>
  <c r="AV87" i="1"/>
  <c r="AT87" i="1"/>
  <c r="AV1503" i="1"/>
  <c r="AT1503" i="1"/>
  <c r="AV678" i="1"/>
  <c r="AT678" i="1"/>
  <c r="AV2371" i="1"/>
  <c r="AT2371" i="1"/>
  <c r="AV3654" i="1"/>
  <c r="AT3654" i="1"/>
  <c r="AV2242" i="1"/>
  <c r="AT2242" i="1"/>
  <c r="AV3428" i="1"/>
  <c r="AT3428" i="1"/>
  <c r="AV3734" i="1"/>
  <c r="AT3734" i="1"/>
  <c r="AV1992" i="1"/>
  <c r="AT1992" i="1"/>
  <c r="AV1544" i="1"/>
  <c r="AT1544" i="1"/>
  <c r="AV3670" i="1"/>
  <c r="AT3670" i="1"/>
  <c r="AV4326" i="1"/>
  <c r="AT4326" i="1"/>
  <c r="AV2238" i="1"/>
  <c r="AT2238" i="1"/>
  <c r="AV1572" i="1"/>
  <c r="AT1572" i="1"/>
  <c r="AV3430" i="1"/>
  <c r="AT3430" i="1"/>
  <c r="AT3550" i="1"/>
  <c r="AV3550" i="1"/>
  <c r="AV3610" i="1"/>
  <c r="AT3610" i="1"/>
  <c r="AV3337" i="1"/>
  <c r="AT3337" i="1"/>
  <c r="AT2319" i="1"/>
  <c r="AV2319" i="1"/>
  <c r="AV3736" i="1"/>
  <c r="AT3736" i="1"/>
  <c r="AV3551" i="1"/>
  <c r="AT3551" i="1"/>
  <c r="AV4222" i="1"/>
  <c r="AT4222" i="1"/>
  <c r="AV27" i="1"/>
  <c r="AT27" i="1"/>
  <c r="AV4258" i="1"/>
  <c r="AT4258" i="1"/>
  <c r="AV3863" i="1"/>
  <c r="AT3863" i="1"/>
  <c r="AV2390" i="1"/>
  <c r="AT2390" i="1"/>
  <c r="AV2121" i="1"/>
  <c r="AT2121" i="1"/>
  <c r="AV1905" i="1"/>
  <c r="AT1905" i="1"/>
  <c r="AV3972" i="1"/>
  <c r="AT3972" i="1"/>
  <c r="AV1398" i="1"/>
  <c r="AT1398" i="1"/>
  <c r="AV3791" i="1"/>
  <c r="AT3791" i="1"/>
  <c r="AV210" i="1"/>
  <c r="AT210" i="1"/>
  <c r="AV3925" i="1"/>
  <c r="AT3925" i="1"/>
  <c r="AV3427" i="1"/>
  <c r="AT3427" i="1"/>
  <c r="AV3793" i="1"/>
  <c r="AT3793" i="1"/>
  <c r="AV4121" i="1"/>
  <c r="AT4121" i="1"/>
  <c r="AV2858" i="1"/>
  <c r="AT2858" i="1"/>
  <c r="AV1699" i="1"/>
  <c r="AT1699" i="1"/>
  <c r="AV60" i="1"/>
  <c r="AT60" i="1"/>
  <c r="AV3556" i="1"/>
  <c r="AT3556" i="1"/>
  <c r="AV4158" i="1"/>
  <c r="AT4158" i="1"/>
  <c r="AV2308" i="1"/>
  <c r="AT2308" i="1"/>
  <c r="AV1835" i="1"/>
  <c r="AT1835" i="1"/>
  <c r="AV3320" i="1"/>
  <c r="AT3320" i="1"/>
  <c r="AV2191" i="1"/>
  <c r="AT2191" i="1"/>
  <c r="AT3926" i="1"/>
  <c r="AV3926" i="1"/>
  <c r="AV3280" i="1"/>
  <c r="AT3280" i="1"/>
  <c r="AV2726" i="1"/>
  <c r="AT2726" i="1"/>
  <c r="AV689" i="1"/>
  <c r="AT689" i="1"/>
  <c r="AV2941" i="1"/>
  <c r="AT2941" i="1"/>
  <c r="AV3993" i="1"/>
  <c r="AT3993" i="1"/>
  <c r="AV1033" i="1"/>
  <c r="AT1033" i="1"/>
  <c r="AV261" i="1"/>
  <c r="AT261" i="1"/>
  <c r="AV2031" i="1"/>
  <c r="AT2031" i="1"/>
  <c r="AV466" i="1"/>
  <c r="AT466" i="1"/>
  <c r="AV3607" i="1"/>
  <c r="AT3607" i="1"/>
  <c r="AT3186" i="1"/>
  <c r="AV3186" i="1"/>
  <c r="AV3222" i="1"/>
  <c r="AT3222" i="1"/>
  <c r="AV4112" i="1"/>
  <c r="AT4112" i="1"/>
  <c r="AT3060" i="1"/>
  <c r="AV3060" i="1"/>
  <c r="AV3087" i="1"/>
  <c r="AT3087" i="1"/>
  <c r="AV3317" i="1"/>
  <c r="AT3317" i="1"/>
  <c r="AV2870" i="1"/>
  <c r="AT2870" i="1"/>
  <c r="AV2644" i="1"/>
  <c r="AT2644" i="1"/>
  <c r="AV3464" i="1"/>
  <c r="AT3464" i="1"/>
  <c r="AT721" i="1"/>
  <c r="AV721" i="1"/>
  <c r="AV3944" i="1"/>
  <c r="AT3944" i="1"/>
  <c r="AV2403" i="1"/>
  <c r="AT2403" i="1"/>
  <c r="AV2586" i="1"/>
  <c r="AT2586" i="1"/>
  <c r="AV460" i="1"/>
  <c r="AT460" i="1"/>
  <c r="AV1400" i="1"/>
  <c r="AT1400" i="1"/>
  <c r="AV2953" i="1"/>
  <c r="AT2953" i="1"/>
  <c r="AV2348" i="1"/>
  <c r="AT2348" i="1"/>
  <c r="AV4240" i="1"/>
  <c r="AT4240" i="1"/>
  <c r="AV3236" i="1"/>
  <c r="AT3236" i="1"/>
  <c r="AT3380" i="1"/>
  <c r="AV3380" i="1"/>
  <c r="AT3635" i="1"/>
  <c r="AV3635" i="1"/>
  <c r="AV4059" i="1"/>
  <c r="AT4059" i="1"/>
  <c r="AV2780" i="1"/>
  <c r="AT2780" i="1"/>
  <c r="AV3731" i="1"/>
  <c r="AT3731" i="1"/>
  <c r="AV766" i="1"/>
  <c r="AT766" i="1"/>
  <c r="AT1857" i="1"/>
  <c r="AV1857" i="1"/>
  <c r="AV2660" i="1"/>
  <c r="AT2660" i="1"/>
  <c r="AV3589" i="1"/>
  <c r="AT3589" i="1"/>
  <c r="AV1923" i="1"/>
  <c r="AT1923" i="1"/>
  <c r="AV3266" i="1"/>
  <c r="AT3266" i="1"/>
  <c r="AV1232" i="1"/>
  <c r="AT1232" i="1"/>
  <c r="AV2358" i="1"/>
  <c r="AT2358" i="1"/>
  <c r="AV4009" i="1"/>
  <c r="AT4009" i="1"/>
  <c r="AV3642" i="1"/>
  <c r="AT3642" i="1"/>
  <c r="AV1737" i="1"/>
  <c r="AT1737" i="1"/>
  <c r="AV3995" i="1"/>
  <c r="AT3995" i="1"/>
  <c r="AV206" i="1"/>
  <c r="AT206" i="1"/>
  <c r="AV4239" i="1"/>
  <c r="AT4239" i="1"/>
  <c r="AV2252" i="1"/>
  <c r="AT2252" i="1"/>
  <c r="AV1467" i="1"/>
  <c r="AT1467" i="1"/>
  <c r="AV846" i="1"/>
  <c r="AT846" i="1"/>
  <c r="AV4320" i="1"/>
  <c r="AT4320" i="1"/>
  <c r="AV3933" i="1"/>
  <c r="AT3933" i="1"/>
  <c r="AV3091" i="1"/>
  <c r="AT3091" i="1"/>
  <c r="AT4294" i="1"/>
  <c r="AV4294" i="1"/>
  <c r="AV4305" i="1"/>
  <c r="AT4305" i="1"/>
  <c r="AV3865" i="1"/>
  <c r="AT3865" i="1"/>
  <c r="AV3121" i="1"/>
  <c r="AT3121" i="1"/>
  <c r="AV2227" i="1"/>
  <c r="AT2227" i="1"/>
  <c r="AV1258" i="1"/>
  <c r="AT1258" i="1"/>
  <c r="AT3481" i="1"/>
  <c r="AV3481" i="1"/>
  <c r="AV31" i="1"/>
  <c r="AT31" i="1"/>
  <c r="AV1499" i="1"/>
  <c r="AT1499" i="1"/>
  <c r="AV2736" i="1"/>
  <c r="AT2736" i="1"/>
  <c r="AV2159" i="1"/>
  <c r="AT2159" i="1"/>
  <c r="AV3778" i="1"/>
  <c r="AT3778" i="1"/>
  <c r="AV3916" i="1"/>
  <c r="AT3916" i="1"/>
  <c r="AV3298" i="1"/>
  <c r="AT3298" i="1"/>
  <c r="AV4308" i="1"/>
  <c r="AT4308" i="1"/>
  <c r="AV1912" i="1"/>
  <c r="AT1912" i="1"/>
  <c r="AV2449" i="1"/>
  <c r="AT2449" i="1"/>
  <c r="AV2067" i="1"/>
  <c r="AT2067" i="1"/>
  <c r="AV546" i="1"/>
  <c r="AT546" i="1"/>
  <c r="AV4273" i="1"/>
  <c r="AT4273" i="1"/>
  <c r="AV3831" i="1"/>
  <c r="AT3831" i="1"/>
  <c r="AV2140" i="1"/>
  <c r="AT2140" i="1"/>
  <c r="AV3881" i="1"/>
  <c r="AT3881" i="1"/>
  <c r="AV2666" i="1"/>
  <c r="AT2666" i="1"/>
  <c r="AV3611" i="1"/>
  <c r="AT3611" i="1"/>
  <c r="AV108" i="1"/>
  <c r="AT108" i="1"/>
  <c r="AT1808" i="1"/>
  <c r="AV1808" i="1"/>
  <c r="AV2225" i="1"/>
  <c r="AT2225" i="1"/>
  <c r="AV3114" i="1"/>
  <c r="AT3114" i="1"/>
  <c r="AV2027" i="1"/>
  <c r="AT2027" i="1"/>
  <c r="AV1375" i="1"/>
  <c r="AT1375" i="1"/>
  <c r="AV1164" i="1"/>
  <c r="AT1164" i="1"/>
  <c r="AV1472" i="1"/>
  <c r="AT1472" i="1"/>
  <c r="AV355" i="1"/>
  <c r="AT355" i="1"/>
  <c r="AV2448" i="1"/>
  <c r="AT2448" i="1"/>
  <c r="AV2184" i="1"/>
  <c r="AT2184" i="1"/>
  <c r="AV2385" i="1"/>
  <c r="AT2385" i="1"/>
  <c r="AV2212" i="1"/>
  <c r="AT2212" i="1"/>
  <c r="AV3503" i="1"/>
  <c r="AT3503" i="1"/>
  <c r="AV778" i="1"/>
  <c r="AT778" i="1"/>
  <c r="AV3953" i="1"/>
  <c r="AT3953" i="1"/>
  <c r="AV1512" i="1"/>
  <c r="AT1512" i="1"/>
  <c r="AV3800" i="1"/>
  <c r="AT3800" i="1"/>
  <c r="AV2695" i="1"/>
  <c r="AT2695" i="1"/>
  <c r="AV3981" i="1"/>
  <c r="AT3981" i="1"/>
  <c r="AV3208" i="1"/>
  <c r="AT3208" i="1"/>
  <c r="AV3177" i="1"/>
  <c r="AT3177" i="1"/>
  <c r="AT3915" i="1"/>
  <c r="AV3915" i="1"/>
  <c r="AV3649" i="1"/>
  <c r="AT3649" i="1"/>
  <c r="AV1967" i="1"/>
  <c r="AT1967" i="1"/>
  <c r="AV3122" i="1"/>
  <c r="AT3122" i="1"/>
  <c r="AV3621" i="1"/>
  <c r="AT3621" i="1"/>
  <c r="AV2474" i="1"/>
  <c r="AT2474" i="1"/>
  <c r="AV3821" i="1"/>
  <c r="AT3821" i="1"/>
  <c r="AV2935" i="1"/>
  <c r="AT2935" i="1"/>
  <c r="AV3757" i="1"/>
  <c r="AT3757" i="1"/>
  <c r="AV1861" i="1"/>
  <c r="AT1861" i="1"/>
  <c r="AV2413" i="1"/>
  <c r="AT2413" i="1"/>
  <c r="AV3601" i="1"/>
  <c r="AT3601" i="1"/>
  <c r="AV3741" i="1"/>
  <c r="AT3741" i="1"/>
  <c r="AT943" i="1"/>
  <c r="AV943" i="1"/>
  <c r="AV1350" i="1"/>
  <c r="AT1350" i="1"/>
  <c r="AV2223" i="1"/>
  <c r="AT2223" i="1"/>
  <c r="AT3053" i="1"/>
  <c r="AV3053" i="1"/>
  <c r="AV780" i="1"/>
  <c r="AT780" i="1"/>
  <c r="AV1792" i="1"/>
  <c r="AT1792" i="1"/>
  <c r="AV1948" i="1"/>
  <c r="AT1948" i="1"/>
  <c r="AV4313" i="1"/>
  <c r="AT4313" i="1"/>
  <c r="AV4303" i="1"/>
  <c r="AT4303" i="1"/>
  <c r="AV145" i="1"/>
  <c r="AT145" i="1"/>
  <c r="AV2137" i="1"/>
  <c r="AT2137" i="1"/>
  <c r="AV3697" i="1"/>
  <c r="AT3697" i="1"/>
  <c r="AV2934" i="1"/>
  <c r="AT2934" i="1"/>
  <c r="AV3498" i="1"/>
  <c r="AT3498" i="1"/>
  <c r="AV3494" i="1"/>
  <c r="AT3494" i="1"/>
  <c r="AV1816" i="1"/>
  <c r="AT1816" i="1"/>
  <c r="AV4278" i="1"/>
  <c r="AT4278" i="1"/>
  <c r="AV341" i="1"/>
  <c r="AT341" i="1"/>
  <c r="AV3794" i="1"/>
  <c r="AT3794" i="1"/>
  <c r="AV3170" i="1"/>
  <c r="AT3170" i="1"/>
  <c r="AV3099" i="1"/>
  <c r="AT3099" i="1"/>
  <c r="AV1000" i="1"/>
  <c r="AT1000" i="1"/>
  <c r="AV1696" i="1"/>
  <c r="AT1696" i="1"/>
  <c r="AV1675" i="1"/>
  <c r="AT1675" i="1"/>
  <c r="AV3962" i="1"/>
  <c r="AT3962" i="1"/>
  <c r="AV2402" i="1"/>
  <c r="AT2402" i="1"/>
  <c r="AV1667" i="1"/>
  <c r="AT1667" i="1"/>
  <c r="AV1478" i="1"/>
  <c r="AT1478" i="1"/>
  <c r="AV2819" i="1"/>
  <c r="AT2819" i="1"/>
  <c r="AT3987" i="1"/>
  <c r="AV3987" i="1"/>
  <c r="AV3854" i="1"/>
  <c r="AT3854" i="1"/>
  <c r="AT1878" i="1"/>
  <c r="AV1878" i="1"/>
  <c r="AV2337" i="1"/>
  <c r="AT2337" i="1"/>
  <c r="AV165" i="1"/>
  <c r="AT165" i="1"/>
  <c r="AT3247" i="1"/>
  <c r="AV3247" i="1"/>
  <c r="AV2855" i="1"/>
  <c r="AT2855" i="1"/>
  <c r="AV3409" i="1"/>
  <c r="AT3409" i="1"/>
  <c r="AT2400" i="1"/>
  <c r="AV2400" i="1"/>
  <c r="AV3622" i="1"/>
  <c r="AT3622" i="1"/>
  <c r="AV3682" i="1"/>
  <c r="AT3682" i="1"/>
  <c r="AV3751" i="1"/>
  <c r="AT3751" i="1"/>
  <c r="AV2433" i="1"/>
  <c r="AT2433" i="1"/>
  <c r="AV4051" i="1"/>
  <c r="AT4051" i="1"/>
  <c r="AV2637" i="1"/>
  <c r="AT2637" i="1"/>
  <c r="AV3281" i="1"/>
  <c r="AT3281" i="1"/>
  <c r="AV902" i="1"/>
  <c r="AT902" i="1"/>
  <c r="AV867" i="1"/>
  <c r="AT867" i="1"/>
  <c r="AV728" i="1"/>
  <c r="AT728" i="1"/>
  <c r="AV2652" i="1"/>
  <c r="AT2652" i="1"/>
  <c r="AV3719" i="1"/>
  <c r="AT3719" i="1"/>
  <c r="AV3219" i="1"/>
  <c r="AT3219" i="1"/>
  <c r="AV842" i="1"/>
  <c r="AT842" i="1"/>
  <c r="AV3564" i="1"/>
  <c r="AT3564" i="1"/>
  <c r="AV385" i="1"/>
  <c r="AT385" i="1"/>
  <c r="AV2136" i="1"/>
  <c r="AT2136" i="1"/>
  <c r="AV3226" i="1"/>
  <c r="AT3226" i="1"/>
  <c r="AV3996" i="1"/>
  <c r="AT3996" i="1"/>
  <c r="AV1595" i="1"/>
  <c r="AT1595" i="1"/>
  <c r="AV2298" i="1"/>
  <c r="AT2298" i="1"/>
  <c r="AV1652" i="1"/>
  <c r="AT1652" i="1"/>
  <c r="AV3074" i="1"/>
  <c r="AT3074" i="1"/>
  <c r="AV3804" i="1"/>
  <c r="AT3804" i="1"/>
  <c r="AV3259" i="1"/>
  <c r="AT3259" i="1"/>
  <c r="AV1401" i="1"/>
  <c r="AT1401" i="1"/>
  <c r="AV2656" i="1"/>
  <c r="AT2656" i="1"/>
  <c r="AV55" i="1"/>
  <c r="AT55" i="1"/>
  <c r="AV4068" i="1"/>
  <c r="AT4068" i="1"/>
  <c r="AV1134" i="1"/>
  <c r="AT1134" i="1"/>
  <c r="AV3373" i="1"/>
  <c r="AT3373" i="1"/>
  <c r="AT3371" i="1"/>
  <c r="AV3371" i="1"/>
  <c r="AV3552" i="1"/>
  <c r="AT3552" i="1"/>
  <c r="AV2777" i="1"/>
  <c r="AT2777" i="1"/>
  <c r="AV3029" i="1"/>
  <c r="AT3029" i="1"/>
  <c r="AV2682" i="1"/>
  <c r="AT2682" i="1"/>
  <c r="AV2513" i="1"/>
  <c r="AT2513" i="1"/>
  <c r="AV2555" i="1"/>
  <c r="AT2555" i="1"/>
  <c r="AV2893" i="1"/>
  <c r="AT2893" i="1"/>
  <c r="AV3641" i="1"/>
  <c r="AT3641" i="1"/>
  <c r="AV2235" i="1"/>
  <c r="AT2235" i="1"/>
  <c r="AV3425" i="1"/>
  <c r="AT3425" i="1"/>
  <c r="AV1212" i="1"/>
  <c r="AT1212" i="1"/>
  <c r="AV2878" i="1"/>
  <c r="AT2878" i="1"/>
  <c r="AV2694" i="1"/>
  <c r="AT2694" i="1"/>
  <c r="AV3636" i="1"/>
  <c r="AT3636" i="1"/>
  <c r="AV2520" i="1"/>
  <c r="AT2520" i="1"/>
  <c r="AT3743" i="1"/>
  <c r="AV3743" i="1"/>
  <c r="AV733" i="1"/>
  <c r="AT733" i="1"/>
  <c r="AV3014" i="1"/>
  <c r="AT3014" i="1"/>
  <c r="AV4214" i="1"/>
  <c r="AT4214" i="1"/>
  <c r="AV3518" i="1"/>
  <c r="AT3518" i="1"/>
  <c r="AV3237" i="1"/>
  <c r="AT3237" i="1"/>
  <c r="AV4225" i="1"/>
  <c r="AT4225" i="1"/>
  <c r="AV4142" i="1"/>
  <c r="AT4142" i="1"/>
  <c r="AV2779" i="1"/>
  <c r="AT2779" i="1"/>
  <c r="AV3277" i="1"/>
  <c r="AT3277" i="1"/>
  <c r="AT3370" i="1"/>
  <c r="AV3370" i="1"/>
  <c r="AV1687" i="1"/>
  <c r="AT1687" i="1"/>
  <c r="AV3848" i="1"/>
  <c r="AT3848" i="1"/>
  <c r="AV4325" i="1"/>
  <c r="AT4325" i="1"/>
  <c r="AV3406" i="1"/>
  <c r="AT3406" i="1"/>
  <c r="AV3149" i="1"/>
  <c r="AT3149" i="1"/>
  <c r="AV3232" i="1"/>
  <c r="AT3232" i="1"/>
  <c r="AV2529" i="1"/>
  <c r="AT2529" i="1"/>
  <c r="AV1465" i="1"/>
  <c r="AT1465" i="1"/>
  <c r="AV2360" i="1"/>
  <c r="AT2360" i="1"/>
  <c r="AV4207" i="1"/>
  <c r="AT4207" i="1"/>
  <c r="AV2004" i="1"/>
  <c r="AT2004" i="1"/>
  <c r="AV22" i="1"/>
  <c r="AT22" i="1"/>
  <c r="AV3870" i="1"/>
  <c r="AT3870" i="1"/>
  <c r="AV3613" i="1"/>
  <c r="AT3613" i="1"/>
  <c r="AV3005" i="1"/>
  <c r="AT3005" i="1"/>
  <c r="AV2508" i="1"/>
  <c r="AT2508" i="1"/>
  <c r="AV4182" i="1"/>
  <c r="AT4182" i="1"/>
  <c r="AV4075" i="1"/>
  <c r="AT4075" i="1"/>
  <c r="AV4108" i="1"/>
  <c r="AT4108" i="1"/>
  <c r="AV4089" i="1"/>
  <c r="AT4089" i="1"/>
  <c r="AV839" i="1"/>
  <c r="AT839" i="1"/>
  <c r="AV3704" i="1"/>
  <c r="AT3704" i="1"/>
  <c r="AV321" i="1"/>
  <c r="AT321" i="1"/>
  <c r="AT2275" i="1"/>
  <c r="AV2275" i="1"/>
  <c r="AT3940" i="1"/>
  <c r="AV3940" i="1"/>
  <c r="AV3274" i="1"/>
  <c r="AT3274" i="1"/>
  <c r="AV3502" i="1"/>
  <c r="AT3502" i="1"/>
  <c r="AV4030" i="1"/>
  <c r="AT4030" i="1"/>
  <c r="AV4266" i="1"/>
  <c r="AT4266" i="1"/>
  <c r="AV3912" i="1"/>
  <c r="AT3912" i="1"/>
  <c r="AV3574" i="1"/>
  <c r="AT3574" i="1"/>
  <c r="AV2181" i="1"/>
  <c r="AT2181" i="1"/>
  <c r="AV2406" i="1"/>
  <c r="AT2406" i="1"/>
  <c r="AV4289" i="1"/>
  <c r="AT4289" i="1"/>
  <c r="AV1722" i="1"/>
  <c r="AT1722" i="1"/>
  <c r="AV2938" i="1"/>
  <c r="AT2938" i="1"/>
  <c r="AT3717" i="1"/>
  <c r="AV3717" i="1"/>
  <c r="AV3663" i="1"/>
  <c r="AT3663" i="1"/>
  <c r="AV4072" i="1"/>
  <c r="AT4072" i="1"/>
  <c r="AV3491" i="1"/>
  <c r="AT3491" i="1"/>
  <c r="AV3619" i="1"/>
  <c r="AT3619" i="1"/>
  <c r="AV3462" i="1"/>
  <c r="AT3462" i="1"/>
  <c r="AV2164" i="1"/>
  <c r="AT2164" i="1"/>
  <c r="AV1691" i="1"/>
  <c r="AT1691" i="1"/>
  <c r="AV2037" i="1"/>
  <c r="AT2037" i="1"/>
  <c r="AV1962" i="1"/>
  <c r="AT1962" i="1"/>
  <c r="AT3685" i="1"/>
  <c r="AV3685" i="1"/>
  <c r="AV1650" i="1"/>
  <c r="AT1650" i="1"/>
  <c r="AV2796" i="1"/>
  <c r="AT2796" i="1"/>
  <c r="AV2696" i="1"/>
  <c r="AT2696" i="1"/>
  <c r="AT4343" i="1" a="1"/>
  <c r="AT4341" i="1" a="1"/>
  <c r="AV4341" i="1" a="1"/>
  <c r="AT4342" i="1" a="1"/>
  <c r="AT4341" i="1" l="1"/>
  <c r="AV4341" i="1"/>
  <c r="AT4342" i="1"/>
  <c r="AT434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<sst xmlns="http://schemas.openxmlformats.org/spreadsheetml/2006/main" count="20649" uniqueCount="5002">
  <si>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</si>
  <si>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</si>
  <si>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</si>
  <si>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</si>
  <si>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</si>
  <si>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</si>
  <si>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</si>
  <si>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</si>
  <si>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</si>
  <si>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</si>
  <si>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</si>
  <si>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</si>
  <si>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</si>
  <si>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</si>
  <si>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</si>
  <si>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</si>
  <si>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</si>
  <si>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</si>
  <si>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</si>
  <si>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</si>
  <si>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</si>
  <si>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</si>
  <si>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</si>
  <si>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</si>
  <si>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</si>
  <si>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</si>
  <si>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</si>
  <si>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</si>
  <si>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</si>
  <si>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</si>
  <si>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</si>
  <si>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</si>
  <si>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</si>
  <si>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</si>
  <si>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</si>
  <si>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</si>
  <si>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</si>
  <si>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</si>
  <si>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</si>
  <si>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</si>
  <si>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</si>
  <si>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</si>
  <si>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</si>
  <si>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</si>
  <si>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</si>
  <si>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</si>
  <si>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</si>
  <si>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</si>
  <si>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</si>
  <si>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</si>
  <si>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</si>
  <si>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</si>
  <si>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</si>
  <si>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</si>
  <si>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</si>
  <si>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</si>
  <si>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</si>
  <si>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</si>
  <si>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</si>
  <si>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</si>
  <si>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</si>
  <si>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</si>
  <si>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</si>
  <si>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</si>
  <si>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</si>
  <si>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</si>
  <si>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</si>
  <si>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</si>
  <si>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</si>
  <si>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</si>
  <si>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</si>
  <si>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</si>
  <si>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</si>
  <si>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</si>
  <si>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</si>
  <si>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</si>
  <si>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</si>
  <si>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</si>
  <si>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</si>
  <si>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</si>
  <si>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</si>
  <si>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</si>
  <si>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</si>
  <si>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</si>
  <si>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</si>
  <si>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</si>
  <si>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</si>
  <si>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</si>
  <si>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</si>
  <si>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</si>
  <si>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</si>
  <si>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</si>
  <si>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</si>
  <si>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</si>
  <si>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</si>
  <si>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</si>
  <si>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</si>
  <si>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</si>
  <si>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</si>
  <si>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</si>
  <si>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</si>
  <si>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</si>
  <si>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</si>
  <si>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</si>
  <si>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</si>
  <si>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</si>
  <si>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</si>
  <si>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</si>
  <si>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</si>
  <si>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</si>
  <si>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</si>
  <si>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</si>
  <si>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</si>
  <si>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</si>
  <si>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</si>
  <si>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</si>
  <si>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</si>
  <si>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</si>
  <si>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</si>
  <si>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</si>
  <si>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</si>
  <si>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</si>
  <si>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</si>
  <si>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</si>
  <si>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</si>
  <si>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</si>
  <si>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</si>
  <si>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</si>
  <si>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</si>
  <si>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</si>
  <si>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</si>
  <si>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</si>
  <si>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</si>
  <si>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</si>
  <si>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</si>
  <si>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</si>
  <si>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</si>
  <si>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</si>
  <si>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</si>
  <si>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</si>
  <si>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</si>
  <si>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</si>
  <si>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</si>
  <si>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</si>
  <si>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</si>
  <si>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</si>
  <si>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</si>
  <si>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</si>
  <si>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</si>
  <si>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</si>
  <si>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</si>
  <si>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</si>
  <si>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</si>
  <si>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</si>
  <si>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</si>
  <si>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</si>
  <si>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</si>
  <si>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</si>
  <si>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</si>
  <si>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</si>
  <si>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</si>
  <si>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</si>
  <si>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</si>
  <si>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</si>
  <si>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</si>
  <si>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</si>
  <si>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</si>
  <si>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</si>
  <si>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</si>
  <si>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</si>
  <si>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</si>
  <si>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</si>
  <si>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</si>
  <si>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</si>
  <si>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</si>
  <si>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</si>
  <si>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</si>
  <si>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</si>
  <si>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</si>
  <si>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</si>
  <si>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</si>
  <si>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</si>
  <si>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</si>
  <si>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</si>
  <si>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</si>
  <si>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</si>
  <si>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</si>
  <si>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</si>
  <si>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</si>
  <si>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</si>
  <si>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</si>
  <si>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</si>
  <si>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</si>
  <si>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</si>
  <si>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</si>
  <si>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</si>
  <si>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</si>
  <si>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</si>
  <si>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</si>
  <si>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</si>
  <si>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</si>
  <si>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</si>
  <si>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</si>
  <si>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</si>
  <si>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</si>
  <si>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</si>
  <si>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</si>
  <si>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</si>
  <si>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</si>
  <si>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</si>
  <si>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</si>
  <si>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</si>
  <si>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</si>
  <si>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</si>
  <si>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</si>
  <si>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</si>
  <si>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</si>
  <si>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</si>
  <si>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</si>
  <si>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</si>
  <si>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</si>
  <si>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</si>
  <si>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</si>
  <si>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</si>
  <si>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</si>
  <si>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</si>
  <si>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</si>
  <si>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</si>
  <si>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</si>
  <si>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</si>
  <si>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</si>
  <si>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</si>
  <si>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</si>
  <si>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</si>
  <si>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</si>
  <si>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</si>
  <si>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</si>
  <si>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</si>
  <si>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</si>
  <si>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</si>
  <si>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</si>
  <si>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</si>
  <si>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</si>
  <si>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</si>
  <si>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</si>
  <si>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</si>
  <si>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</si>
  <si>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</si>
  <si>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</si>
  <si>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</si>
  <si>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</si>
  <si>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</si>
  <si>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</si>
  <si>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</si>
  <si>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</si>
  <si>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</si>
  <si>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</si>
  <si>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</si>
  <si>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</si>
  <si>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</si>
  <si>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</si>
  <si>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</si>
  <si>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</si>
  <si>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</si>
  <si>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</si>
  <si>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</si>
  <si>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</si>
  <si>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</si>
  <si>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</si>
  <si>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</si>
  <si>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</si>
  <si>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</si>
  <si>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</si>
  <si>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</si>
  <si>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</si>
  <si>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</si>
  <si>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</si>
  <si>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</si>
  <si>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</si>
  <si>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</si>
  <si>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</si>
  <si>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</si>
  <si>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</si>
  <si>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</si>
  <si>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</si>
  <si>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</si>
  <si>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</si>
  <si>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</si>
  <si>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</si>
  <si>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</si>
  <si>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</si>
  <si>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</si>
  <si>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</si>
  <si>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</si>
  <si>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</si>
  <si>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</si>
  <si>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</si>
  <si>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</si>
  <si>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</si>
  <si>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</si>
  <si>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</si>
  <si>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</si>
  <si>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</si>
  <si>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</si>
  <si>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</si>
  <si>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</si>
  <si>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</si>
  <si>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</si>
  <si>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</si>
  <si>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</si>
  <si>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</si>
  <si>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</si>
  <si>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</si>
  <si>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</si>
  <si>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</si>
  <si>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</si>
  <si>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</si>
  <si>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</si>
  <si>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</si>
  <si>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</si>
  <si>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</si>
  <si>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</si>
  <si>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</si>
  <si>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</si>
  <si>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</si>
  <si>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</si>
  <si>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</si>
  <si>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</si>
  <si>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</si>
  <si>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</si>
  <si>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</si>
  <si>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</si>
  <si>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</si>
  <si>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</si>
  <si>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</si>
  <si>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</si>
  <si>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</si>
  <si>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</si>
  <si>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</si>
  <si>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</si>
  <si>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</si>
  <si>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</si>
  <si>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</si>
  <si>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</si>
  <si>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</si>
  <si>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</si>
  <si>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</si>
  <si>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</si>
  <si>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</si>
  <si>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</si>
  <si>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</si>
  <si>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</si>
  <si>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</si>
  <si>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</si>
  <si>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</si>
  <si>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</si>
  <si>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</si>
  <si>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</si>
  <si>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</si>
  <si>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</si>
  <si>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</si>
  <si>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</si>
  <si>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</si>
  <si>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</si>
  <si>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</si>
  <si>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</si>
  <si>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</si>
  <si>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</si>
  <si>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</si>
  <si>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</si>
  <si>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</si>
  <si>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</si>
  <si>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</si>
  <si>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</si>
  <si>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</si>
  <si>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</si>
  <si>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</si>
  <si>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</si>
  <si>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</si>
  <si>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</si>
  <si>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</si>
  <si>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</si>
  <si>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</si>
  <si>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</si>
  <si>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</si>
  <si>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</si>
  <si>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</si>
  <si>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</si>
  <si>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</si>
  <si>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</si>
  <si>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</si>
  <si>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</si>
  <si>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</si>
  <si>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</si>
  <si>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</si>
  <si>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</si>
  <si>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</si>
  <si>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</si>
  <si>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</si>
  <si>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</si>
  <si>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</si>
  <si>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</si>
  <si>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</si>
  <si>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</si>
  <si>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</si>
  <si>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</si>
  <si>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</si>
  <si>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</si>
  <si>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</si>
  <si>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</si>
  <si>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</si>
  <si>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</si>
  <si>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</si>
  <si>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</si>
  <si>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</si>
  <si>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</si>
  <si>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</si>
  <si>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</si>
  <si>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</si>
  <si>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</si>
  <si>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</si>
  <si>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</si>
  <si>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</si>
  <si>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</si>
  <si>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</si>
  <si>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</si>
  <si>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</si>
  <si>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</si>
  <si>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</si>
  <si>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</si>
  <si>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</si>
  <si>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</si>
  <si>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</si>
  <si>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</si>
  <si>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</si>
  <si>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</si>
  <si>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</si>
  <si>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</si>
  <si>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</si>
  <si>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</si>
  <si>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</si>
  <si>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</si>
  <si>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</si>
  <si>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</si>
  <si>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</si>
  <si>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</si>
  <si>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</si>
  <si>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</si>
  <si>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</si>
  <si>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</si>
  <si>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</si>
  <si>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</si>
  <si>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</si>
  <si>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</si>
  <si>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</si>
  <si>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</si>
  <si>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</si>
  <si>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</si>
  <si>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</si>
  <si>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</si>
  <si>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</si>
  <si>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</si>
  <si>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</si>
  <si>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</si>
  <si>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</si>
  <si>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</si>
  <si>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</si>
  <si>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</si>
  <si>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</si>
  <si>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</si>
  <si>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</si>
  <si>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</si>
  <si>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</si>
  <si>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</si>
  <si>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</si>
  <si>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</si>
  <si>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</si>
  <si>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</si>
  <si>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</si>
  <si>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</si>
  <si>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</si>
  <si>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</si>
  <si>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</si>
  <si>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</si>
  <si>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</si>
  <si>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</si>
  <si>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</si>
  <si>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</si>
  <si>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</si>
  <si>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</si>
  <si>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</si>
  <si>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</si>
  <si>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</si>
  <si>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</si>
  <si>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</si>
  <si>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</si>
  <si>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</si>
  <si>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</si>
  <si>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</si>
  <si>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</si>
  <si>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</si>
  <si>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</si>
  <si>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</si>
  <si>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</si>
  <si>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</si>
  <si>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</si>
  <si>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</si>
  <si>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</si>
  <si>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</si>
  <si>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</si>
  <si>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</si>
  <si>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</si>
  <si>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</si>
  <si>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</si>
  <si>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</si>
  <si>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</si>
  <si>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</si>
  <si>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</si>
  <si>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</si>
  <si>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</si>
  <si>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</si>
  <si>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</si>
  <si>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</si>
  <si>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</si>
  <si>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</si>
  <si>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</si>
  <si>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</si>
  <si>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</si>
  <si>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</si>
  <si>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</si>
  <si>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</si>
  <si>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</si>
  <si>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</si>
  <si>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</si>
  <si>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</si>
  <si>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</si>
  <si>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</si>
  <si>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</si>
  <si>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</si>
  <si>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</si>
  <si>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</si>
  <si>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</si>
  <si>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</si>
  <si>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</si>
  <si>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</si>
  <si>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</si>
  <si>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</si>
  <si>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</si>
  <si>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</si>
  <si>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</si>
  <si>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</si>
  <si>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</si>
  <si>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</si>
  <si>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</si>
  <si>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</si>
  <si>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</si>
  <si>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</si>
  <si>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</si>
  <si>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</si>
  <si>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</si>
  <si>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</si>
  <si>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</si>
  <si>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</si>
  <si>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</si>
  <si>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</si>
  <si>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</si>
  <si>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</si>
  <si>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</si>
  <si>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</si>
  <si>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</si>
  <si>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</si>
  <si>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</si>
  <si>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</si>
  <si>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</si>
  <si>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</si>
  <si>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</si>
  <si>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</si>
  <si>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</si>
  <si>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</si>
  <si>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</si>
  <si>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</si>
  <si>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</si>
  <si>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</si>
  <si>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</si>
  <si>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</si>
  <si>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</si>
  <si>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</si>
  <si>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</si>
  <si>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</si>
  <si>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</si>
  <si>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</si>
  <si>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</si>
  <si>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</si>
  <si>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</si>
  <si>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</si>
  <si>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</si>
  <si>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</si>
  <si>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</si>
  <si>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</si>
  <si>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</si>
  <si>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</si>
  <si>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</si>
  <si>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</si>
  <si>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</si>
  <si>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</si>
  <si>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</si>
  <si>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</si>
  <si>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</si>
  <si>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</si>
  <si>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</si>
  <si>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</si>
  <si>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</si>
  <si>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</si>
  <si>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</si>
  <si>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</si>
  <si>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</si>
  <si>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</si>
  <si>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</si>
  <si>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</si>
  <si>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</si>
  <si>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</si>
  <si>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</si>
  <si>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</si>
  <si>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</si>
  <si>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</si>
  <si>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</si>
  <si>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</si>
  <si>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</si>
  <si>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</si>
  <si>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</si>
  <si>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</si>
  <si>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</si>
  <si>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</si>
  <si>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</si>
  <si>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</si>
  <si>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</si>
  <si>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</si>
  <si>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</si>
  <si>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</si>
  <si>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</si>
  <si>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</si>
  <si>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</si>
  <si>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</si>
  <si>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</si>
  <si>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</si>
  <si>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</si>
  <si>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</si>
  <si>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</si>
  <si>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</si>
  <si>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</si>
  <si>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</si>
  <si>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</si>
  <si>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</si>
  <si>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</si>
  <si>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</si>
  <si>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</si>
  <si>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</si>
  <si>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</si>
  <si>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</si>
  <si>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</si>
  <si>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</si>
  <si>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</si>
  <si>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</si>
  <si>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</si>
  <si>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</si>
  <si>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</si>
  <si>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</si>
  <si>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</si>
  <si>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</si>
  <si>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</si>
  <si>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</si>
  <si>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</si>
  <si>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</si>
  <si>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</si>
  <si>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</si>
  <si>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</si>
  <si>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</si>
  <si>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</si>
  <si>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</si>
  <si>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</si>
  <si>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</si>
  <si>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</si>
  <si>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</si>
  <si>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</si>
  <si>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</si>
  <si>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</si>
  <si>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</si>
  <si>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</si>
  <si>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</si>
  <si>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</si>
  <si>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</si>
  <si>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</si>
  <si>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</si>
  <si>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</si>
  <si>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</si>
  <si>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</si>
  <si>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</si>
  <si>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</si>
  <si>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</si>
  <si>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</si>
  <si>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</si>
  <si>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</si>
  <si>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</si>
  <si>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</si>
  <si>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</si>
  <si>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</si>
  <si>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</si>
  <si>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</si>
  <si>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</si>
  <si>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</si>
  <si>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</si>
  <si>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</si>
  <si>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</si>
  <si>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</si>
  <si>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</si>
  <si>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</si>
  <si>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</si>
  <si>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</si>
  <si>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</si>
  <si>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</si>
  <si>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</si>
  <si>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</si>
  <si>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</si>
  <si>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</si>
  <si>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</si>
  <si>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</si>
  <si>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</si>
  <si>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</si>
  <si>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</si>
  <si>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</si>
  <si>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</si>
  <si>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</si>
  <si>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</si>
  <si>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</si>
  <si>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</si>
  <si>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</si>
  <si>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</si>
  <si>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</si>
  <si>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</si>
  <si>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</si>
  <si>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</si>
  <si>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</si>
  <si>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</si>
  <si>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</si>
  <si>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</si>
  <si>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</si>
  <si>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</si>
  <si>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</si>
  <si>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</si>
  <si>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</si>
  <si>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</si>
  <si>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</si>
  <si>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</si>
  <si>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</si>
  <si>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</si>
  <si>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</si>
  <si>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</si>
  <si>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</si>
  <si>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</si>
  <si>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</si>
  <si>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</si>
  <si>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</si>
  <si>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</si>
  <si>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</si>
  <si>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</si>
  <si>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</si>
  <si>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</si>
  <si>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</si>
  <si>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</si>
  <si>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</si>
  <si>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</si>
  <si>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</si>
  <si>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</si>
  <si>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</si>
  <si>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</si>
  <si>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</si>
  <si>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</si>
  <si>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</si>
  <si>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</si>
  <si>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</si>
  <si>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</si>
  <si>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</si>
  <si>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</si>
  <si>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</si>
  <si>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</si>
  <si>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</si>
  <si>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</si>
  <si>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</si>
  <si>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</si>
  <si>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</si>
  <si>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</si>
  <si>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</si>
  <si>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</si>
  <si>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</si>
  <si>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</si>
  <si>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</si>
  <si>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</si>
  <si>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</si>
  <si>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</si>
  <si>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</si>
  <si>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</si>
  <si>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</si>
  <si>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</si>
  <si>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</si>
  <si>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</si>
  <si>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</si>
  <si>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</si>
  <si>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</si>
  <si>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</si>
  <si>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</si>
  <si>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</si>
  <si>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</si>
  <si>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</si>
  <si>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</si>
  <si>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</si>
  <si>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</si>
  <si>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</si>
  <si>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</si>
  <si>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</si>
  <si>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</si>
  <si>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</si>
  <si>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</si>
  <si>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</si>
  <si>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</si>
  <si>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</si>
  <si>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</si>
  <si>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</si>
  <si>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</si>
  <si>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</si>
  <si>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</si>
  <si>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</si>
  <si>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</si>
  <si>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</si>
  <si>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</si>
  <si>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</si>
  <si>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</si>
  <si>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</si>
  <si>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</si>
  <si>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</si>
  <si>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</si>
  <si>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</si>
  <si>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</si>
  <si>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</si>
  <si>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</si>
  <si>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</si>
  <si>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</si>
  <si>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</si>
  <si>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</si>
  <si>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</si>
  <si>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</si>
  <si>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</si>
  <si>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</si>
  <si>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</si>
  <si>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</si>
  <si>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</si>
  <si>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</si>
  <si>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</si>
  <si>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</si>
  <si>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</si>
  <si>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</si>
  <si>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</si>
  <si>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</si>
  <si>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</si>
  <si>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</si>
  <si>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</si>
  <si>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</si>
  <si>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</si>
  <si>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</si>
  <si>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</si>
  <si>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</si>
  <si>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</si>
  <si>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</si>
  <si>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</si>
  <si>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</si>
  <si>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</si>
  <si>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</si>
  <si>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</si>
  <si>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</si>
  <si>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</si>
  <si>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</si>
  <si>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</si>
  <si>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</si>
  <si>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</si>
  <si>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</si>
  <si>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</si>
  <si>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</si>
  <si>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</si>
  <si>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</si>
  <si>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</si>
  <si>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</si>
  <si>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</si>
  <si>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</si>
  <si>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</si>
  <si>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</si>
  <si>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</si>
  <si>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</si>
  <si>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</si>
  <si>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</si>
  <si>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</si>
  <si>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</si>
  <si>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</si>
  <si>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</si>
  <si>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</si>
  <si>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</si>
  <si>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</si>
  <si>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</si>
  <si>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</si>
  <si>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</si>
  <si>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</si>
  <si>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</si>
  <si>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</si>
  <si>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</si>
  <si>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</si>
  <si>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</si>
  <si>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</si>
  <si>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</si>
  <si>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</si>
  <si>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</si>
  <si>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</si>
  <si>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</si>
  <si>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</si>
  <si>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</si>
  <si>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</si>
  <si>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</si>
  <si>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</si>
  <si>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</si>
  <si>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</si>
  <si>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</si>
  <si>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</si>
  <si>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</si>
  <si>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</si>
  <si>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</si>
  <si>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</si>
  <si>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</si>
  <si>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</si>
  <si>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</si>
  <si>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</si>
  <si>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</si>
  <si>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</si>
  <si>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</si>
  <si>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</si>
  <si>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</si>
  <si>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</si>
  <si>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</si>
  <si>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</si>
  <si>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</si>
  <si>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</si>
  <si>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</si>
  <si>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</si>
  <si>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</si>
  <si>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</si>
  <si>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</si>
  <si>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v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</si>
  <si>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</si>
  <si>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</si>
  <si>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</si>
  <si>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</si>
  <si>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</si>
  <si>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</si>
  <si>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</si>
  <si>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</si>
  <si>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</si>
  <si>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</si>
  <si>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</si>
  <si>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</si>
  <si>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</si>
  <si>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</si>
  <si>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</si>
  <si>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</si>
  <si>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</si>
  <si>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</si>
  <si>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</si>
  <si>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</si>
  <si>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</si>
  <si>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</si>
  <si>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</si>
  <si>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</si>
  <si>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</si>
  <si>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</si>
  <si>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</si>
  <si>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</si>
  <si>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</si>
  <si>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</si>
  <si>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</si>
  <si>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</si>
  <si>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</si>
  <si>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</si>
  <si>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</si>
  <si>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</si>
  <si>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</si>
  <si>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</si>
  <si>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</si>
  <si>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</si>
  <si>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</si>
  <si>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</si>
  <si>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</si>
  <si>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</si>
  <si>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</si>
  <si>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</si>
  <si>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</si>
  <si>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</si>
  <si>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</si>
  <si>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</si>
  <si>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</si>
  <si>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</si>
  <si>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</si>
  <si>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</si>
  <si>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</si>
  <si>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</si>
  <si>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</si>
  <si>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</si>
  <si>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</si>
  <si>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</si>
  <si>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</si>
  <si>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</si>
  <si>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</si>
  <si>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</si>
  <si>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</si>
  <si>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</si>
  <si>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</si>
  <si>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</si>
  <si>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</si>
  <si>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</si>
  <si>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</si>
  <si>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</si>
  <si>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</si>
  <si>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</si>
  <si>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</si>
  <si>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</si>
  <si>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</si>
  <si>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</si>
  <si>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</si>
  <si>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</si>
  <si>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</si>
  <si>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</si>
  <si>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</si>
  <si>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</si>
  <si>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</si>
  <si>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</si>
  <si>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</si>
  <si>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</si>
  <si>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</si>
  <si>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</si>
  <si>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</si>
  <si>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</si>
  <si>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</si>
  <si>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</si>
  <si>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</si>
  <si>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</si>
  <si>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</si>
  <si>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</si>
  <si>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</si>
  <si>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</si>
  <si>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</si>
  <si>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</si>
  <si>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</si>
  <si>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</si>
  <si>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</si>
  <si>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</si>
  <si>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</si>
  <si>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</si>
  <si>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</si>
  <si>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</si>
  <si>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</si>
  <si>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</si>
  <si>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</si>
  <si>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</si>
  <si>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</si>
  <si>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</si>
  <si>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</si>
  <si>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</si>
  <si>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</si>
  <si>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</si>
  <si>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</si>
  <si>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</si>
  <si>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</si>
  <si>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</si>
  <si>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</si>
  <si>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</si>
  <si>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</si>
  <si>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</si>
  <si>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</si>
  <si>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</si>
  <si>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</si>
  <si>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</si>
  <si>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</si>
  <si>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</si>
  <si>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</si>
  <si>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</si>
  <si>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</si>
  <si>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</si>
  <si>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</si>
  <si>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</si>
  <si>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</si>
  <si>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</si>
  <si>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</si>
  <si>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</si>
  <si>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</si>
  <si>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</si>
  <si>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</si>
  <si>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</si>
  <si>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</si>
  <si>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</si>
  <si>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</si>
  <si>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</si>
  <si>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</si>
  <si>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</si>
  <si>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</si>
  <si>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</si>
  <si>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</si>
  <si>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</si>
  <si>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</si>
  <si>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</si>
  <si>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</si>
  <si>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</si>
  <si>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</si>
  <si>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</si>
  <si>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</si>
  <si>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</si>
  <si>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</si>
  <si>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</si>
  <si>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</si>
  <si>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</si>
  <si>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</si>
  <si>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</si>
  <si>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</si>
  <si>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</si>
  <si>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</si>
  <si>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</si>
  <si>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</si>
  <si>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</si>
  <si>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</si>
  <si>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</si>
  <si>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</si>
  <si>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</si>
  <si>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</si>
  <si>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</si>
  <si>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</si>
  <si>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</si>
  <si>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</si>
  <si>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</si>
  <si>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</si>
  <si>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</si>
  <si>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</si>
  <si>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</si>
  <si>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</si>
  <si>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</si>
  <si>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</si>
  <si>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</si>
  <si>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</si>
  <si>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</si>
  <si>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</si>
  <si>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</si>
  <si>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</si>
  <si>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</si>
  <si>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</si>
  <si>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</si>
  <si>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</si>
  <si>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</si>
  <si>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</si>
  <si>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</si>
  <si>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</si>
  <si>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</si>
  <si>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</si>
  <si>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</si>
  <si>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</si>
  <si>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</si>
  <si>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</si>
  <si>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</si>
  <si>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</si>
  <si>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</si>
  <si>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</si>
  <si>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</si>
  <si>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</si>
  <si>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</si>
  <si>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</si>
  <si>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</si>
  <si>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</si>
  <si>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</si>
  <si>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</si>
  <si>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</si>
  <si>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</si>
  <si>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</si>
  <si>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</si>
  <si>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</si>
  <si>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</si>
  <si>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</si>
  <si>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</si>
  <si>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</si>
  <si>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</si>
  <si>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</si>
  <si>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</si>
  <si>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</si>
  <si>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</si>
  <si>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</si>
  <si>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</si>
  <si>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</si>
  <si>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</si>
  <si>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</si>
  <si>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</si>
  <si>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</si>
  <si>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</si>
  <si>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</si>
  <si>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</si>
  <si>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</si>
  <si>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</si>
  <si>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</si>
  <si>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</si>
  <si>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</si>
  <si>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</si>
  <si>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</si>
  <si>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</si>
  <si>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</si>
  <si>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</si>
  <si>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</si>
  <si>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</si>
  <si>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</si>
  <si>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</si>
  <si>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</si>
  <si>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</si>
  <si>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</si>
  <si>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</si>
  <si>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</si>
  <si>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</si>
  <si>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</si>
  <si>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</si>
  <si>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</si>
  <si>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</si>
  <si>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</si>
  <si>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</si>
  <si>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</si>
  <si>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</si>
  <si>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</si>
  <si>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</si>
  <si>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</si>
  <si>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</si>
  <si>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</si>
  <si>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</si>
  <si>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</si>
  <si>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</si>
  <si>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</si>
  <si>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</si>
  <si>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</si>
  <si>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</si>
  <si>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</si>
  <si>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</si>
  <si>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</si>
  <si>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</si>
  <si>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</si>
  <si>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</si>
  <si>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</si>
  <si>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</si>
  <si>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</si>
  <si>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</si>
  <si>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</si>
  <si>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</si>
  <si>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</si>
  <si>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</si>
  <si>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</si>
  <si>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</si>
  <si>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</si>
  <si>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</si>
  <si>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</si>
  <si>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</si>
  <si>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</si>
  <si>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</si>
  <si>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</si>
  <si>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</si>
  <si>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</si>
  <si>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</si>
  <si>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</si>
  <si>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</si>
  <si>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</si>
  <si>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</si>
  <si>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</si>
  <si>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</si>
  <si>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</si>
  <si>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</si>
  <si>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</si>
  <si>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</si>
  <si>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</si>
  <si>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</si>
  <si>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</si>
  <si>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</si>
  <si>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</si>
  <si>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</si>
  <si>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</si>
  <si>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</si>
  <si>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</si>
  <si>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</si>
  <si>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</si>
  <si>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</si>
  <si>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</si>
  <si>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</si>
  <si>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</si>
  <si>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</si>
  <si>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</si>
  <si>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</si>
  <si>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</si>
  <si>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</si>
  <si>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</si>
  <si>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</si>
  <si>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</si>
  <si>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</si>
  <si>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</si>
  <si>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</si>
  <si>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</si>
  <si>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</si>
  <si>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</si>
  <si>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</si>
  <si>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</si>
  <si>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</si>
  <si>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</si>
  <si>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</si>
  <si>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</si>
  <si>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</si>
  <si>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</si>
  <si>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</si>
  <si>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</si>
  <si>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</si>
  <si>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</si>
  <si>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</si>
  <si>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</si>
  <si>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</si>
  <si>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</si>
  <si>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</si>
  <si>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</si>
  <si>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</si>
  <si>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</si>
  <si>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</si>
  <si>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</si>
  <si>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</si>
  <si>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</si>
  <si>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</si>
  <si>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</si>
  <si>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</si>
  <si>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</si>
  <si>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</si>
  <si>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</si>
  <si>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</si>
  <si>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</si>
  <si>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</si>
  <si>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</si>
  <si>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</si>
  <si>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</si>
  <si>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</si>
  <si>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</si>
  <si>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</si>
  <si>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</si>
  <si>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</si>
  <si>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</si>
  <si>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</si>
  <si>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</si>
  <si>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</si>
  <si>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</si>
  <si>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</si>
  <si>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</si>
  <si>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</si>
  <si>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</si>
  <si>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</si>
  <si>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</si>
  <si>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</si>
  <si>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</si>
  <si>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</si>
  <si>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</si>
  <si>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</si>
  <si>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</si>
  <si>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</si>
  <si>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</si>
  <si>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</si>
  <si>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</si>
  <si>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</si>
  <si>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</si>
  <si>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</si>
  <si>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</si>
  <si>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</si>
  <si>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</si>
  <si>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</si>
  <si>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</si>
  <si>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</si>
  <si>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</si>
  <si>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</si>
  <si>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</si>
  <si>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</si>
  <si>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</si>
  <si>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</si>
  <si>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</si>
  <si>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</si>
  <si>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</si>
  <si>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</si>
  <si>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</si>
  <si>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</si>
  <si>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</si>
  <si>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</si>
  <si>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</si>
  <si>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</si>
  <si>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</si>
  <si>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</si>
  <si>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</si>
  <si>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</si>
  <si>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</si>
  <si>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</si>
  <si>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</si>
  <si>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</si>
  <si>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</si>
  <si>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</si>
  <si>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</si>
  <si>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</si>
  <si>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</si>
  <si>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</si>
  <si>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</si>
  <si>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</si>
  <si>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</si>
  <si>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</si>
  <si>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</si>
  <si>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</si>
  <si>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</si>
  <si>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</si>
  <si>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</si>
  <si>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</si>
  <si>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</si>
  <si>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</si>
  <si>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</si>
  <si>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</si>
  <si>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</si>
  <si>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</si>
  <si>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</si>
  <si>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</si>
  <si>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</si>
  <si>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</si>
  <si>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</si>
  <si>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</si>
  <si>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</si>
  <si>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</si>
  <si>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</si>
  <si>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</si>
  <si>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</si>
  <si>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</si>
  <si>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</si>
  <si>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</si>
  <si>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</si>
  <si>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</si>
  <si>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</si>
  <si>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</si>
  <si>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</si>
  <si>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</si>
  <si>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</si>
  <si>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</si>
  <si>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</si>
  <si>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</si>
  <si>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</si>
  <si>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</si>
  <si>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</si>
  <si>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</si>
  <si>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</si>
  <si>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</si>
  <si>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</si>
  <si>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</si>
  <si>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</si>
  <si>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</si>
  <si>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</si>
  <si>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</si>
  <si>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</si>
  <si>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</si>
  <si>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</si>
  <si>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</si>
  <si>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</si>
  <si>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</si>
  <si>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</si>
  <si>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</si>
  <si>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</si>
  <si>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</si>
  <si>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</si>
  <si>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</si>
  <si>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</si>
  <si>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</si>
  <si>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</si>
  <si>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</si>
  <si>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</si>
  <si>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</si>
  <si>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</si>
  <si>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</si>
  <si>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</si>
  <si>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</si>
  <si>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</si>
  <si>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</si>
  <si>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</si>
  <si>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</si>
  <si>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</si>
  <si>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</si>
  <si>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</si>
  <si>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</si>
  <si>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</si>
  <si>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</si>
  <si>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</si>
  <si>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</si>
  <si>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</si>
  <si>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</si>
  <si>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</si>
  <si>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</si>
  <si>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</si>
  <si>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</si>
  <si>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</si>
  <si>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</si>
  <si>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</si>
  <si>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</si>
  <si>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</si>
  <si>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</si>
  <si>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</si>
  <si>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</si>
  <si>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</si>
  <si>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</si>
  <si>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</si>
  <si>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</si>
  <si>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</si>
  <si>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</si>
  <si>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</si>
  <si>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</si>
  <si>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</si>
  <si>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</si>
  <si>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</si>
  <si>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</si>
  <si>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</si>
  <si>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</si>
  <si>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</si>
  <si>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</si>
  <si>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</si>
  <si>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</si>
  <si>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</si>
  <si>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</si>
  <si>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</si>
  <si>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</si>
  <si>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</si>
  <si>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</si>
  <si>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</si>
  <si>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</si>
  <si>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</si>
  <si>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</si>
  <si>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</si>
  <si>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</si>
  <si>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</si>
  <si>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</si>
  <si>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</si>
  <si>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</si>
  <si>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</si>
  <si>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</si>
  <si>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</si>
  <si>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</si>
  <si>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</si>
  <si>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</si>
  <si>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</si>
  <si>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</si>
  <si>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</si>
  <si>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</si>
  <si>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</si>
  <si>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</si>
  <si>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</si>
  <si>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</si>
  <si>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</si>
  <si>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</si>
  <si>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</si>
  <si>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</si>
  <si>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</si>
  <si>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</si>
  <si>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</si>
  <si>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</si>
  <si>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</si>
  <si>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</si>
  <si>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</si>
  <si>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</si>
  <si>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</si>
  <si>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</si>
  <si>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</si>
  <si>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</si>
  <si>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</si>
  <si>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</si>
  <si>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</si>
  <si>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</si>
  <si>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</si>
  <si>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</si>
  <si>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</si>
  <si>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</si>
  <si>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</si>
  <si>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</si>
  <si>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</si>
  <si>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</si>
  <si>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</si>
  <si>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</si>
  <si>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</si>
  <si>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</si>
  <si>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</si>
  <si>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</si>
  <si>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</si>
  <si>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</si>
  <si>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</si>
  <si>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</si>
  <si>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</si>
  <si>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</si>
  <si>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</si>
  <si>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</si>
  <si>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</si>
  <si>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</si>
  <si>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</si>
  <si>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</si>
  <si>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</si>
  <si>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</si>
  <si>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</si>
  <si>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</si>
  <si>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</si>
  <si>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</si>
  <si>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</si>
  <si>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</si>
  <si>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</si>
  <si>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</si>
  <si>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</si>
  <si>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</si>
  <si>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</si>
  <si>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</si>
  <si>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</si>
  <si>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</si>
  <si>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</si>
  <si>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</si>
  <si>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</si>
  <si>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</si>
  <si>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</si>
  <si>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</si>
  <si>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</si>
  <si>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</si>
  <si>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</si>
  <si>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</si>
  <si>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</si>
  <si>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</si>
  <si>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</si>
  <si>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</si>
  <si>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</si>
  <si>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</si>
  <si>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</si>
  <si>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</si>
  <si>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</si>
  <si>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</si>
  <si>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</si>
  <si>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</si>
  <si>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</si>
  <si>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</si>
  <si>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</si>
  <si>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</si>
  <si>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</si>
  <si>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</si>
  <si>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</si>
  <si>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</si>
  <si>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</si>
  <si>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</si>
  <si>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</si>
  <si>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</si>
  <si>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</si>
  <si>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</si>
  <si>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</si>
  <si>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</si>
  <si>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</si>
  <si>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</si>
  <si>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</si>
  <si>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</si>
  <si>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</si>
  <si>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</si>
  <si>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</si>
  <si>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</si>
  <si>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</si>
  <si>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</si>
  <si>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</si>
  <si>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</si>
  <si>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</si>
  <si>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</si>
  <si>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</si>
  <si>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</si>
  <si>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</si>
  <si>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</si>
  <si>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</si>
  <si>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</si>
  <si>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</si>
  <si>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</si>
  <si>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</si>
  <si>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</si>
  <si>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</si>
  <si>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</si>
  <si>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</si>
  <si>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</si>
  <si>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</si>
  <si>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</si>
  <si>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</si>
  <si>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</si>
  <si>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</si>
  <si>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</si>
  <si>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</si>
  <si>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</si>
  <si>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</si>
  <si>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</si>
  <si>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</si>
  <si>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</si>
  <si>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</si>
  <si>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</si>
  <si>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</si>
  <si>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</si>
  <si>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</si>
  <si>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</si>
  <si>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</si>
  <si>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</si>
  <si>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</si>
  <si>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</si>
  <si>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</si>
  <si>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</si>
  <si>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</si>
  <si>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</si>
  <si>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</si>
  <si>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</si>
  <si>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</si>
  <si>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</si>
  <si>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</si>
  <si>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</si>
  <si>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</si>
  <si>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</si>
  <si>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</si>
  <si>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</si>
  <si>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</si>
  <si>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</si>
  <si>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</si>
  <si>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</si>
  <si>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</si>
  <si>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</si>
  <si>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</si>
  <si>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</si>
  <si>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</si>
  <si>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</si>
  <si>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</si>
  <si>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</si>
  <si>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</si>
  <si>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</si>
  <si>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</si>
  <si>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</si>
  <si>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</si>
  <si>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</si>
  <si>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</si>
  <si>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</si>
  <si>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</si>
  <si>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</si>
  <si>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</si>
  <si>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</si>
  <si>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</si>
  <si>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</si>
  <si>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</si>
  <si>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</si>
  <si>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</si>
  <si>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</si>
  <si>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</si>
  <si>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</si>
  <si>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</si>
  <si>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</si>
  <si>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</si>
  <si>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</si>
  <si>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</si>
  <si>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</si>
  <si>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</si>
  <si>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</si>
  <si>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</si>
  <si>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</si>
  <si>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</si>
  <si>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</si>
  <si>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</si>
  <si>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</si>
  <si>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</si>
  <si>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</si>
  <si>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</si>
  <si>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</si>
  <si>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</si>
  <si>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</si>
  <si>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</si>
  <si>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</si>
  <si>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</si>
  <si>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</si>
  <si>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</si>
  <si>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</si>
  <si>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</si>
  <si>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</si>
  <si>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</si>
  <si>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</si>
  <si>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</si>
  <si>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</si>
  <si>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</si>
  <si>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</si>
  <si>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</si>
  <si>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</si>
  <si>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</si>
  <si>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</si>
  <si>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</si>
  <si>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</si>
  <si>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</si>
  <si>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</si>
  <si>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</si>
  <si>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</si>
  <si>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</si>
  <si>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</si>
  <si>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</si>
  <si>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</si>
  <si>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</si>
  <si>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</si>
  <si>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</si>
  <si>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</si>
  <si>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</si>
  <si>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</si>
  <si>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</si>
  <si>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</si>
  <si>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</si>
  <si>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</si>
  <si>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</si>
  <si>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</si>
  <si>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</si>
  <si>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</si>
  <si>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</si>
  <si>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</si>
  <si>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</si>
  <si>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</si>
  <si>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</si>
  <si>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</si>
  <si>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</si>
  <si>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</si>
  <si>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</si>
  <si>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</si>
  <si>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</si>
  <si>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</si>
  <si>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</si>
  <si>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</si>
  <si>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</si>
  <si>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</si>
  <si>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</si>
  <si>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</si>
  <si>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</si>
  <si>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</si>
  <si>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</si>
  <si>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</si>
  <si>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</si>
  <si>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</si>
  <si>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</si>
  <si>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</si>
  <si>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</si>
  <si>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</si>
  <si>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</si>
  <si>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</si>
  <si>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</si>
  <si>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</si>
  <si>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</si>
  <si>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</si>
  <si>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</si>
  <si>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</si>
  <si>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</si>
  <si>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</si>
  <si>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</si>
  <si>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</si>
  <si>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</si>
  <si>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</si>
  <si>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</si>
  <si>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</si>
  <si>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</si>
  <si>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</si>
  <si>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</si>
  <si>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</si>
  <si>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</si>
  <si>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</si>
  <si>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</si>
  <si>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</si>
  <si>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</si>
  <si>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</si>
  <si>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</si>
  <si>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</si>
  <si>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</si>
  <si>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</si>
  <si>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</si>
  <si>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</si>
  <si>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</si>
  <si>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</si>
  <si>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</si>
  <si>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</si>
  <si>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</si>
  <si>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</si>
  <si>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</si>
  <si>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</si>
  <si>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</si>
  <si>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</si>
  <si>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</si>
  <si>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</si>
  <si>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</si>
  <si>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</si>
  <si>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</si>
  <si>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</si>
  <si>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</si>
  <si>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</si>
  <si>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</si>
  <si>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</si>
  <si>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</si>
  <si>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</si>
  <si>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</si>
  <si>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</si>
  <si>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</si>
  <si>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</si>
  <si>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</si>
  <si>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</si>
  <si>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</si>
  <si>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</si>
  <si>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</si>
  <si>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</si>
  <si>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</si>
  <si>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</si>
  <si>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</si>
  <si>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</si>
  <si>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</si>
  <si>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</si>
  <si>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</si>
  <si>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</si>
  <si>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</si>
  <si>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</si>
  <si>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</si>
  <si>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</si>
  <si>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</si>
  <si>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</si>
  <si>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</si>
  <si>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</si>
  <si>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</si>
  <si>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</si>
  <si>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</si>
  <si>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</si>
  <si>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</si>
  <si>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</si>
  <si>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</si>
  <si>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</si>
  <si>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</si>
  <si>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</si>
  <si>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</si>
  <si>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</si>
  <si>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</si>
  <si>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</si>
  <si>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</si>
  <si>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</si>
  <si>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</si>
  <si>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</si>
  <si>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</si>
  <si>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</si>
  <si>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</si>
  <si>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</si>
  <si>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</si>
  <si>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</si>
  <si>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</si>
  <si>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</si>
  <si>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</si>
  <si>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</si>
  <si>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</si>
  <si>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</si>
  <si>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</si>
  <si>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</si>
  <si>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</si>
  <si>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</si>
  <si>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</si>
  <si>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</si>
  <si>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</si>
  <si>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</si>
  <si>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</si>
  <si>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</si>
  <si>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</si>
  <si>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</si>
  <si>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</si>
  <si>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</si>
  <si>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</si>
  <si>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</si>
  <si>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</si>
  <si>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</si>
  <si>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</si>
  <si>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</si>
  <si>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</si>
  <si>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</si>
  <si>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</si>
  <si>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</si>
  <si>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</si>
  <si>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</si>
  <si>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</si>
  <si>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</si>
  <si>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</si>
  <si>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</si>
  <si>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</si>
  <si>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</si>
  <si>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</si>
  <si>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</si>
  <si>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</si>
  <si>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</si>
  <si>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</si>
  <si>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</si>
  <si>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</si>
  <si>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</si>
  <si>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</si>
  <si>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</si>
  <si>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</si>
  <si>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</si>
  <si>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</si>
  <si>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</si>
  <si>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</si>
  <si>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</si>
  <si>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</si>
  <si>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</si>
  <si>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</si>
  <si>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</si>
  <si>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</si>
  <si>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</si>
  <si>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</si>
  <si>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</si>
  <si>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</si>
  <si>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</si>
  <si>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</si>
  <si>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</si>
  <si>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</si>
  <si>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</si>
  <si>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</si>
  <si>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</si>
  <si>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</si>
  <si>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</si>
  <si>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</si>
  <si>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</si>
  <si>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</si>
  <si>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</si>
  <si>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</si>
  <si>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</si>
  <si>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</si>
  <si>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</si>
  <si>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</si>
  <si>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</si>
  <si>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</si>
  <si>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</si>
  <si>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</si>
  <si>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</si>
  <si>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</si>
  <si>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</si>
  <si>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</si>
  <si>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</si>
  <si>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</si>
  <si>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</si>
  <si>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</si>
  <si>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</si>
  <si>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</si>
  <si>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</si>
  <si>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</si>
  <si>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</si>
  <si>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</si>
  <si>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</si>
  <si>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</si>
  <si>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</si>
  <si>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</si>
  <si>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</si>
  <si>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</si>
  <si>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</si>
  <si>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</si>
  <si>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</si>
  <si>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</si>
  <si>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</si>
  <si>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</si>
  <si>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</si>
  <si>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</si>
  <si>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</si>
  <si>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</si>
  <si>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</si>
  <si>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</si>
  <si>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</si>
  <si>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</si>
  <si>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</si>
  <si>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</si>
  <si>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</si>
  <si>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</si>
  <si>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</si>
  <si>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</si>
  <si>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</si>
  <si>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</si>
  <si>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</si>
  <si>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</si>
  <si>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</si>
  <si>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</si>
  <si>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</si>
  <si>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</si>
  <si>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</si>
  <si>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</si>
  <si>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</si>
  <si>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</si>
  <si>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</si>
  <si>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</si>
  <si>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</si>
  <si>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</si>
  <si>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</si>
  <si>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</si>
  <si>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</si>
  <si>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</si>
  <si>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</si>
  <si>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</si>
  <si>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</si>
  <si>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</si>
  <si>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</si>
  <si>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</si>
  <si>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</si>
  <si>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</si>
  <si>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</si>
  <si>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</si>
  <si>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</si>
  <si>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</si>
  <si>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</si>
  <si>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</si>
  <si>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</si>
  <si>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</si>
  <si>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</si>
  <si>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</si>
  <si>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</si>
  <si>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</si>
  <si>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</si>
  <si>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</si>
  <si>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</si>
  <si>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</si>
  <si>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</si>
  <si>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</si>
  <si>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</si>
  <si>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</si>
  <si>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</si>
  <si>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</si>
  <si>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</si>
  <si>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</si>
  <si>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</si>
  <si>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</si>
  <si>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</si>
  <si>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</si>
  <si>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</si>
  <si>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</si>
  <si>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</si>
  <si>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</si>
  <si>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</si>
  <si>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</si>
  <si>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</si>
  <si>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</si>
  <si>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</si>
  <si>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</si>
  <si>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</si>
  <si>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</si>
  <si>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</si>
  <si>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</si>
  <si>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</si>
  <si>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</si>
  <si>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</si>
  <si>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</si>
  <si>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</si>
  <si>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</si>
  <si>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</si>
  <si>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</si>
  <si>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</si>
  <si>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</si>
  <si>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</si>
  <si>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</si>
  <si>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</si>
  <si>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</si>
  <si>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</si>
  <si>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</si>
  <si>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</si>
  <si>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</si>
  <si>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</si>
  <si>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</si>
  <si>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</si>
  <si>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</si>
  <si>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</si>
  <si>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</si>
  <si>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</si>
  <si>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</si>
  <si>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</si>
  <si>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</si>
  <si>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</si>
  <si>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</si>
  <si>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</si>
  <si>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</si>
  <si>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</si>
  <si>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</si>
  <si>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</si>
  <si>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</si>
  <si>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</si>
  <si>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</si>
  <si>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</si>
  <si>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</si>
  <si>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</si>
  <si>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</si>
  <si>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</si>
  <si>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</si>
  <si>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</si>
  <si>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</si>
  <si>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</si>
  <si>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</si>
  <si>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</si>
  <si>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</si>
  <si>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</si>
  <si>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</si>
  <si>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</si>
  <si>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</si>
  <si>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</si>
  <si>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</si>
  <si>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</si>
  <si>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</si>
  <si>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</si>
  <si>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</si>
  <si>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</si>
  <si>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</si>
  <si>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</si>
  <si>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</si>
  <si>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</si>
  <si>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</si>
  <si>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</si>
  <si>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</si>
  <si>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</si>
  <si>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</si>
  <si>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</si>
  <si>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</si>
  <si>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</si>
  <si>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</si>
  <si>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</si>
  <si>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</si>
  <si>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</si>
  <si>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</si>
  <si>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</si>
  <si>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</si>
  <si>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</si>
  <si>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</si>
  <si>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</si>
  <si>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</si>
  <si>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</si>
  <si>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</si>
  <si>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</si>
  <si>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</si>
  <si>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</si>
  <si>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</si>
  <si>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</si>
  <si>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</si>
  <si>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</si>
  <si>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</si>
  <si>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</si>
  <si>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</si>
  <si>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</si>
  <si>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</si>
  <si>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</si>
  <si>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</si>
  <si>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</si>
  <si>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</si>
  <si>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</si>
  <si>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</si>
  <si>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</si>
  <si>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</si>
  <si>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</si>
  <si>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</si>
  <si>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</si>
  <si>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</si>
  <si>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</si>
  <si>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</si>
  <si>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</si>
  <si>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</si>
  <si>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</si>
  <si>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</si>
  <si>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</si>
  <si>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</si>
  <si>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</si>
  <si>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</si>
  <si>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</si>
  <si>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</si>
  <si>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</si>
  <si>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</si>
  <si>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</si>
  <si>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</si>
  <si>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</si>
  <si>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</si>
  <si>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</si>
  <si>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</si>
  <si>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</si>
  <si>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</si>
  <si>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</si>
  <si>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</si>
  <si>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</si>
  <si>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</si>
  <si>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</si>
  <si>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</si>
  <si>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</si>
  <si>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</si>
  <si>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</si>
  <si>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</si>
  <si>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</si>
  <si>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</si>
  <si>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</si>
  <si>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</si>
  <si>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</si>
  <si>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</si>
  <si>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</si>
  <si>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</si>
  <si>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</si>
  <si>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</si>
  <si>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</si>
  <si>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</si>
  <si>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</si>
  <si>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</si>
  <si>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</si>
  <si>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</si>
  <si>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</si>
  <si>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</si>
  <si>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</si>
  <si>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</si>
  <si>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</si>
  <si>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</si>
  <si>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</si>
  <si>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</si>
  <si>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</si>
  <si>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</si>
  <si>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</si>
  <si>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</si>
  <si>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</si>
  <si>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</si>
  <si>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</si>
  <si>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</si>
  <si>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</si>
  <si>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</si>
  <si>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</si>
  <si>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</si>
  <si>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</si>
  <si>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</si>
  <si>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</si>
  <si>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</si>
  <si>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</si>
  <si>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</si>
  <si>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</si>
  <si>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</si>
  <si>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</si>
  <si>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</si>
  <si>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</si>
  <si>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</si>
  <si>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</si>
  <si>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</si>
  <si>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</si>
  <si>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</si>
  <si>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</si>
  <si>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</si>
  <si>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</si>
  <si>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</si>
  <si>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</si>
  <si>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</si>
  <si>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</si>
  <si>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</si>
  <si>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</si>
  <si>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</si>
  <si>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</si>
  <si>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</si>
  <si>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</si>
  <si>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</si>
  <si>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</si>
  <si>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</si>
  <si>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</si>
  <si>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</si>
  <si>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</si>
  <si>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</si>
  <si>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</si>
  <si>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</si>
  <si>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</si>
  <si>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</si>
  <si>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</si>
  <si>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</si>
  <si>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</si>
  <si>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</si>
  <si>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</si>
  <si>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</si>
  <si>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</si>
  <si>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</si>
  <si>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</si>
  <si>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</si>
  <si>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</si>
  <si>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</si>
  <si>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</si>
  <si>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</si>
  <si>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</si>
  <si>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</si>
  <si>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</si>
  <si>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</si>
  <si>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</si>
  <si>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</si>
  <si>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</si>
  <si>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</si>
  <si>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</si>
  <si>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</si>
  <si>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</si>
  <si>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</si>
  <si>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</si>
  <si>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</si>
  <si>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</si>
  <si>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</si>
  <si>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</si>
  <si>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</si>
  <si>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</si>
  <si>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</si>
  <si>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</si>
  <si>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</si>
  <si>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</si>
  <si>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</si>
  <si>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</si>
  <si>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</si>
  <si>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</si>
  <si>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</si>
  <si>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</si>
  <si>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</si>
  <si>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</si>
  <si>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</si>
  <si>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</si>
  <si>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</si>
  <si>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</si>
  <si>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</si>
  <si>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</si>
  <si>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</si>
  <si>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</si>
  <si>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</si>
  <si>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</si>
  <si>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</si>
  <si>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</si>
  <si>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</si>
  <si>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</si>
  <si>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</si>
  <si>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</si>
  <si>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</si>
  <si>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</si>
  <si>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</si>
  <si>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</si>
  <si>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</si>
  <si>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</si>
  <si>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</si>
  <si>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</si>
  <si>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</si>
  <si>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</si>
  <si>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</si>
  <si>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</si>
  <si>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</si>
  <si>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</si>
  <si>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</si>
  <si>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</si>
  <si>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</si>
  <si>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</si>
  <si>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</si>
  <si>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</si>
  <si>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</si>
  <si>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</si>
  <si>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</si>
  <si>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</si>
  <si>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</si>
  <si>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</si>
  <si>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</si>
  <si>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</si>
  <si>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</si>
  <si>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</si>
  <si>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</si>
  <si>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</si>
  <si>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</si>
  <si>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</si>
  <si>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</si>
  <si>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</si>
  <si>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</si>
  <si>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</si>
  <si>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</si>
  <si>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</si>
  <si>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</si>
  <si>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</si>
  <si>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</si>
  <si>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</si>
  <si>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</si>
  <si>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</si>
  <si>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</si>
  <si>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</si>
  <si>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</si>
  <si>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</si>
  <si>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</si>
  <si>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</si>
  <si>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</si>
  <si>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</si>
  <si>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</si>
  <si>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</si>
  <si>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</si>
  <si>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</si>
  <si>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</si>
  <si>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</si>
  <si>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</si>
  <si>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</si>
  <si>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</si>
  <si>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</si>
  <si>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</si>
  <si>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</si>
  <si>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</si>
  <si>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</si>
  <si>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</si>
  <si>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</si>
  <si>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</si>
  <si>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</si>
  <si>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</si>
  <si>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</si>
  <si>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</si>
  <si>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</si>
  <si>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</si>
  <si>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</si>
  <si>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</si>
  <si>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</si>
  <si>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</si>
  <si>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</si>
  <si>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</si>
  <si>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</si>
  <si>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</si>
  <si>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</si>
  <si>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</si>
  <si>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</si>
  <si>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</si>
  <si>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</si>
  <si>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</si>
  <si>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</si>
  <si>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</si>
  <si>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</si>
  <si>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</si>
  <si>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</si>
  <si>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</si>
  <si>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</si>
  <si>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</si>
  <si>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</si>
  <si>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</si>
  <si>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</si>
  <si>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</si>
  <si>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</si>
  <si>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</si>
  <si>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</si>
  <si>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</si>
  <si>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</si>
  <si>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</si>
  <si>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</si>
  <si>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</si>
  <si>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</si>
  <si>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</si>
  <si>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</si>
  <si>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</si>
  <si>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</si>
  <si>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</si>
  <si>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</si>
  <si>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</si>
  <si>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</si>
  <si>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</si>
  <si>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</si>
  <si>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</si>
  <si>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</si>
  <si>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</si>
  <si>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</si>
  <si>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</si>
  <si>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</si>
  <si>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</si>
  <si>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</si>
  <si>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</si>
  <si>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</si>
  <si>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</si>
  <si>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</si>
  <si>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</si>
  <si>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</si>
  <si>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</si>
  <si>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</si>
  <si>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</si>
  <si>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</si>
  <si>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</si>
  <si>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</si>
  <si>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</si>
  <si>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</si>
  <si>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</si>
  <si>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</si>
  <si>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</si>
  <si>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</si>
  <si>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</si>
  <si>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</si>
  <si>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</si>
  <si>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</si>
  <si>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</si>
  <si>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</si>
  <si>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</si>
  <si>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</si>
  <si>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</si>
  <si>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</si>
  <si>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</si>
  <si>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</si>
  <si>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</si>
  <si>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</si>
  <si>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</si>
  <si>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</si>
  <si>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</si>
  <si>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</si>
  <si>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</si>
  <si>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</si>
  <si>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</si>
  <si>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</si>
  <si>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</si>
  <si>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</si>
  <si>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</si>
  <si>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</si>
  <si>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</si>
  <si>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</si>
  <si>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</si>
  <si>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</si>
  <si>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</si>
  <si>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</si>
  <si>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</si>
  <si>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</si>
  <si>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</si>
  <si>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</si>
  <si>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</si>
  <si>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</si>
  <si>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</si>
  <si>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</si>
  <si>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</si>
  <si>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</si>
  <si>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</si>
  <si>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</si>
  <si>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</si>
  <si>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</si>
  <si>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</si>
  <si>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</si>
  <si>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</si>
  <si>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</si>
  <si>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</si>
  <si>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</si>
  <si>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</si>
  <si>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</si>
  <si>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</si>
  <si>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</si>
  <si>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</si>
  <si>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</si>
  <si>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</si>
  <si>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</si>
  <si>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</si>
  <si>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</si>
  <si>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</si>
  <si>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</si>
  <si>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</si>
  <si>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</si>
  <si>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</si>
  <si>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</si>
  <si>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</si>
  <si>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</si>
  <si>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</si>
  <si>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</si>
  <si>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</si>
  <si>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</si>
  <si>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</si>
  <si>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</si>
  <si>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</si>
  <si>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</si>
  <si>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</si>
  <si>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</si>
  <si>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</si>
  <si>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</si>
  <si>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</si>
  <si>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</si>
  <si>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</si>
  <si>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</si>
  <si>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</si>
  <si>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</si>
  <si>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</si>
  <si>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</si>
  <si>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</si>
  <si>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</si>
  <si>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</si>
  <si>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</si>
  <si>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</si>
  <si>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</si>
  <si>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</si>
  <si>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</si>
  <si>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</si>
  <si>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</si>
  <si>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</si>
  <si>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</si>
  <si>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</si>
  <si>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</si>
  <si>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</si>
  <si>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</si>
  <si>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</si>
  <si>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</si>
  <si>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</si>
  <si>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</si>
  <si>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</si>
  <si>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</si>
  <si>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</si>
  <si>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</si>
  <si>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</si>
  <si>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</si>
  <si>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</si>
  <si>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</si>
  <si>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</si>
  <si>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</si>
  <si>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</si>
  <si>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</si>
  <si>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</si>
  <si>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</si>
  <si>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</si>
  <si>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</si>
  <si>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</si>
  <si>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</si>
  <si>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</si>
  <si>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</si>
  <si>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</si>
  <si>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</si>
  <si>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</si>
  <si>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</si>
  <si>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</si>
  <si>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</si>
  <si>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</si>
  <si>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</si>
  <si>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</si>
  <si>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</si>
  <si>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</si>
  <si>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</si>
  <si>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</si>
  <si>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</si>
  <si>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</si>
  <si>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</si>
  <si>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</si>
  <si>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</si>
  <si>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</si>
  <si>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</si>
  <si>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</si>
  <si>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</si>
  <si>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</si>
  <si>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</si>
  <si>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</si>
  <si>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</si>
  <si>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</si>
  <si>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</si>
  <si>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</si>
  <si>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</si>
  <si>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</si>
  <si>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</si>
  <si>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</si>
  <si>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</si>
  <si>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</si>
  <si>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</si>
  <si>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</si>
  <si>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</si>
  <si>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</si>
  <si>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</si>
  <si>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</si>
  <si>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</si>
  <si>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</si>
  <si>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</si>
  <si>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</si>
  <si>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</si>
  <si>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</si>
  <si>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</si>
  <si>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</si>
  <si>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</si>
  <si>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</si>
  <si>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</si>
  <si>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</si>
  <si>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</si>
  <si>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</si>
  <si>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</si>
  <si>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</si>
  <si>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</si>
  <si>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</si>
  <si>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</si>
  <si>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</si>
  <si>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</si>
  <si>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</si>
  <si>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</si>
  <si>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</si>
  <si>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</si>
  <si>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</si>
  <si>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</si>
  <si>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</si>
  <si>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</si>
  <si>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</si>
  <si>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</si>
  <si>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</si>
  <si>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</si>
  <si>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</si>
  <si>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</si>
  <si>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</si>
  <si>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</si>
  <si>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</si>
  <si>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</si>
  <si>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</si>
  <si>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</si>
  <si>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</si>
  <si>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</si>
  <si>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</si>
  <si>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</si>
  <si>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</si>
  <si>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</si>
  <si>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</si>
  <si>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</si>
  <si>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</si>
  <si>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</si>
  <si>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</si>
  <si>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</si>
  <si>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</si>
  <si>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</si>
  <si>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</si>
  <si>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</si>
  <si>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</si>
  <si>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</si>
  <si>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</si>
  <si>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</si>
  <si>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</si>
  <si>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</si>
  <si>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</si>
  <si>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</si>
  <si>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</si>
  <si>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</si>
  <si>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</si>
  <si>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</si>
  <si>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</si>
  <si>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</si>
  <si>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</si>
  <si>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</si>
  <si>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</si>
  <si>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</si>
  <si>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</si>
  <si>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</si>
  <si>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</si>
  <si>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</si>
  <si>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</si>
  <si>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</si>
  <si>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</si>
  <si>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</si>
  <si>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</si>
  <si>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</si>
  <si>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</si>
  <si>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</si>
  <si>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</si>
  <si>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</si>
  <si>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</si>
  <si>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</si>
  <si>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</si>
  <si>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</si>
  <si>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</si>
  <si>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</si>
  <si>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</si>
  <si>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</si>
  <si>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</si>
  <si>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</si>
  <si>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</si>
  <si>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</si>
  <si>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</si>
  <si>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</si>
  <si>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</si>
  <si>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</si>
  <si>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</si>
  <si>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</si>
  <si>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</si>
  <si>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</si>
  <si>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</si>
  <si>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</si>
  <si>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</si>
  <si>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</si>
  <si>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</si>
  <si>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</si>
  <si>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</si>
  <si>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</si>
  <si>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</si>
  <si>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</si>
  <si>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</si>
  <si>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</si>
  <si>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</si>
  <si>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</si>
  <si>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</si>
  <si>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</si>
  <si>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</si>
  <si>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</si>
  <si>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</si>
  <si>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</si>
  <si>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</si>
  <si>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</si>
  <si>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</si>
  <si>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</si>
  <si>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</si>
  <si>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</si>
  <si>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</si>
  <si>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</si>
  <si>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</si>
  <si>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</si>
  <si>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</si>
  <si>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</si>
  <si>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</si>
  <si>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</si>
  <si>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</si>
  <si>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</si>
  <si>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</si>
  <si>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</si>
  <si>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</si>
  <si>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</si>
  <si>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</si>
  <si>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</si>
  <si>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</si>
  <si>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</si>
  <si>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</si>
  <si>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</si>
  <si>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</si>
  <si>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</si>
  <si>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</si>
  <si>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</si>
  <si>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</si>
  <si>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</si>
  <si>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</si>
  <si>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</si>
  <si>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</si>
  <si>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</si>
  <si>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</si>
  <si>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</si>
  <si>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</si>
  <si>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</si>
  <si>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</si>
  <si>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</si>
  <si>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</si>
  <si>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</si>
  <si>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</si>
  <si>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</si>
  <si>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</si>
  <si>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</si>
  <si>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</si>
  <si>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</si>
  <si>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</si>
  <si>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</si>
  <si>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</si>
  <si>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</si>
  <si>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</si>
  <si>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</si>
  <si>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</si>
  <si>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</si>
  <si>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</si>
  <si>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</si>
  <si>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</si>
  <si>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</si>
  <si>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</si>
  <si>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</si>
  <si>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</si>
  <si>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</si>
  <si>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</si>
  <si>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</si>
  <si>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</si>
  <si>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</si>
  <si>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</si>
  <si>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</si>
  <si>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</si>
  <si>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</si>
  <si>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</si>
  <si>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</si>
  <si>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</si>
  <si>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</si>
  <si>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</si>
  <si>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</si>
  <si>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</si>
  <si>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</si>
  <si>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</si>
  <si>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</si>
  <si>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</si>
  <si>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</si>
  <si>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</si>
  <si>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</si>
  <si>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</si>
  <si>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</si>
  <si>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</si>
  <si>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</si>
  <si>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</si>
  <si>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</si>
  <si>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</si>
  <si>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</si>
  <si>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</si>
  <si>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</si>
  <si>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</si>
  <si>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</si>
  <si>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</si>
  <si>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</si>
  <si>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</si>
  <si>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</si>
  <si>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</si>
  <si>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</si>
  <si>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</si>
  <si>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</si>
  <si>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</si>
  <si>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</si>
  <si>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</si>
  <si>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</si>
  <si>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</si>
  <si>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</si>
  <si>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</si>
  <si>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</si>
  <si>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</si>
  <si>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</si>
  <si>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</si>
  <si>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</si>
  <si>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</si>
  <si>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</si>
  <si>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</si>
  <si>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</si>
  <si>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</si>
  <si>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</si>
  <si>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</si>
  <si>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</si>
  <si>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</si>
  <si>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</si>
  <si>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</si>
  <si>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</si>
  <si>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</si>
  <si>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</si>
  <si>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</si>
  <si>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</si>
  <si>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</si>
  <si>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</si>
  <si>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</si>
  <si>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</si>
  <si>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</si>
  <si>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</si>
  <si>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</si>
  <si>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</si>
  <si>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</si>
  <si>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</si>
  <si>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</si>
  <si>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</si>
  <si>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</si>
  <si>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</si>
  <si>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</si>
  <si>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</si>
  <si>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</si>
  <si>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</si>
  <si>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</si>
  <si>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</si>
  <si>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</si>
  <si>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</si>
  <si>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</si>
  <si>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</si>
  <si>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</si>
  <si>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</si>
  <si>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</si>
  <si>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</si>
  <si>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</si>
  <si>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</si>
  <si>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</si>
  <si>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</si>
  <si>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</si>
  <si>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</si>
  <si>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</si>
  <si>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</si>
  <si>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</si>
  <si>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</si>
  <si>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</si>
  <si>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</si>
  <si>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</si>
  <si>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</si>
  <si>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</si>
  <si>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</si>
  <si>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</si>
  <si>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</si>
  <si>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</si>
  <si>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</si>
  <si>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</si>
  <si>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</si>
  <si>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</si>
  <si>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</si>
  <si>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</si>
  <si>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</si>
  <si>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</si>
  <si>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</si>
  <si>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</si>
  <si>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</si>
  <si>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</si>
  <si>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</si>
  <si>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</si>
  <si>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</si>
  <si>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</si>
  <si>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</si>
  <si>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</si>
  <si>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</si>
  <si>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</si>
  <si>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</si>
  <si>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</si>
  <si>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</si>
  <si>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</si>
  <si>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</si>
  <si>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</si>
  <si>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</si>
  <si>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</si>
  <si>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</si>
  <si>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</si>
  <si>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</si>
  <si>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</si>
  <si>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</si>
  <si>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</si>
  <si>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</si>
  <si>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</si>
  <si>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</si>
  <si>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</si>
  <si>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</si>
  <si>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</si>
  <si>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</si>
  <si>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</si>
  <si>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</si>
  <si>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</si>
  <si>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</si>
  <si>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</si>
  <si>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</si>
  <si>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</si>
  <si>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</si>
  <si>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</si>
  <si>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</si>
  <si>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</si>
  <si>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</si>
  <si>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</si>
  <si>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</si>
  <si>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</si>
  <si>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</si>
  <si>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</si>
  <si>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</si>
  <si>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</si>
  <si>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</si>
  <si>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</si>
  <si>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</si>
  <si>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</si>
  <si>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</si>
  <si>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</si>
  <si>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</si>
  <si>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</si>
  <si>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</si>
  <si>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</si>
  <si>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</si>
  <si>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</si>
  <si>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</si>
  <si>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</si>
  <si>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</si>
  <si>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</si>
  <si>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</si>
  <si>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</si>
  <si>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</si>
  <si>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</si>
  <si>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</si>
  <si>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</si>
  <si>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</si>
  <si>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</si>
  <si>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</si>
  <si>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</si>
  <si>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</si>
  <si>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</si>
  <si>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</si>
  <si>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</si>
  <si>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</si>
  <si>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</si>
  <si>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</si>
  <si>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</si>
  <si>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</si>
  <si>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</si>
  <si>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</si>
  <si>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</si>
  <si>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</si>
  <si>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</si>
  <si>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</si>
  <si>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</si>
  <si>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</si>
  <si>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</si>
  <si>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</si>
  <si>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</si>
  <si>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</si>
  <si>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</si>
  <si>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</si>
  <si>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</si>
  <si>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</si>
  <si>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</si>
  <si>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</si>
  <si>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</si>
  <si>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</si>
  <si>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</si>
  <si>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</si>
  <si>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</si>
  <si>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</si>
  <si>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</si>
  <si>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</si>
  <si>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</si>
  <si>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</si>
  <si>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</si>
  <si>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</si>
  <si>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</si>
  <si>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</si>
  <si>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</si>
  <si>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</si>
  <si>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</si>
  <si>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</si>
  <si>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</si>
  <si>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</si>
  <si>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</si>
  <si>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</si>
  <si>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</si>
  <si>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</si>
  <si>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</si>
  <si>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</si>
  <si>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</si>
  <si>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</si>
  <si>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</si>
  <si>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</si>
  <si>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</si>
  <si>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</si>
  <si>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</si>
  <si>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</si>
  <si>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</si>
  <si>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</si>
  <si>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</si>
  <si>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</si>
  <si>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</si>
  <si>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</si>
  <si>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</si>
  <si>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</si>
  <si>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</si>
  <si>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</si>
  <si>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</si>
  <si>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</si>
  <si>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</si>
  <si>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</si>
  <si>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</si>
  <si>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</si>
  <si>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</si>
  <si>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</si>
  <si>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</si>
  <si>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</si>
  <si>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</si>
  <si>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</si>
  <si>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</si>
  <si>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</si>
  <si>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</si>
  <si>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</si>
  <si>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</si>
  <si>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</si>
  <si>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</si>
  <si>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</si>
  <si>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</si>
  <si>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</si>
  <si>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</si>
  <si>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</si>
  <si>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</si>
  <si>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</si>
  <si>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</si>
  <si>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</si>
  <si>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</si>
  <si>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</si>
  <si>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</si>
  <si>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</si>
  <si>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</si>
  <si>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</si>
  <si>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</si>
  <si>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</si>
  <si>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</si>
  <si>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</si>
  <si>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</si>
  <si>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</si>
  <si>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</si>
  <si>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</si>
  <si>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</si>
  <si>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</si>
  <si>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</si>
  <si>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</si>
  <si>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</si>
  <si>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</si>
  <si>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</si>
  <si>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</si>
  <si>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</si>
  <si>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</si>
  <si>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</si>
  <si>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</si>
  <si>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</si>
  <si>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</si>
  <si>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</si>
  <si>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</si>
  <si>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</si>
  <si>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</si>
  <si>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</si>
  <si>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</si>
  <si>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</si>
  <si>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</si>
  <si>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</si>
  <si>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</si>
  <si>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</si>
  <si>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</si>
  <si>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</si>
  <si>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</si>
  <si>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</si>
  <si>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</si>
  <si>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</si>
  <si>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</si>
  <si>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</si>
  <si>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</si>
  <si>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</si>
  <si>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</si>
  <si>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</si>
  <si>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</si>
  <si>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</si>
  <si>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</si>
  <si>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</si>
  <si>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</si>
  <si>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</si>
  <si>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</si>
  <si>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</si>
  <si>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</si>
  <si>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</si>
  <si>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</si>
  <si>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</si>
  <si>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</si>
  <si>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</si>
  <si>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</si>
  <si>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</si>
  <si>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</si>
  <si>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</si>
  <si>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</si>
  <si>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</si>
  <si>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</si>
  <si>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</si>
  <si>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</si>
  <si>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</si>
  <si>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</si>
  <si>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</si>
  <si>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</si>
  <si>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</si>
  <si>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</si>
  <si>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</si>
  <si>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</si>
  <si>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</si>
  <si>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</si>
  <si>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</si>
  <si>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</si>
  <si>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</si>
  <si>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</si>
  <si>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</si>
  <si>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</si>
  <si>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</si>
  <si>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</si>
  <si>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</si>
  <si>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</si>
  <si>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</si>
  <si>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</si>
  <si>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</si>
  <si>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</si>
  <si>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</si>
  <si>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</si>
  <si>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</si>
  <si>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</si>
  <si>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</si>
  <si>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</si>
  <si>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</si>
  <si>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</si>
  <si>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</si>
  <si>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</si>
  <si>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</si>
  <si>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</si>
  <si>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</si>
  <si>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</si>
  <si>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</si>
  <si>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</si>
  <si>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</si>
  <si>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</si>
  <si>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</si>
  <si>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</si>
  <si>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</si>
  <si>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</si>
  <si>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</si>
  <si>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</si>
  <si>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</si>
  <si>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</si>
  <si>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</si>
  <si>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</si>
  <si>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</si>
  <si>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</si>
  <si>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</si>
  <si>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</si>
  <si>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</si>
  <si>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</si>
  <si>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</si>
  <si>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</si>
  <si>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</si>
  <si>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</si>
  <si>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</si>
  <si>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</si>
  <si>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</si>
  <si>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</si>
  <si>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</si>
  <si>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</si>
  <si>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</si>
  <si>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</si>
  <si>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</si>
  <si>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</si>
  <si>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</si>
  <si>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</si>
  <si>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</si>
  <si>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</si>
  <si>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</si>
  <si>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</si>
  <si>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</si>
  <si>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</si>
  <si>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</si>
  <si>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</si>
  <si>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</si>
  <si>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</si>
  <si>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</si>
  <si>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</si>
  <si>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</si>
  <si>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</si>
  <si>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</si>
  <si>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</si>
  <si>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</si>
  <si>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</si>
  <si>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</si>
  <si>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</si>
  <si>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</si>
  <si>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</si>
  <si>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</si>
  <si>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</si>
  <si>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</si>
  <si>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</si>
  <si>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</si>
  <si>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</si>
  <si>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</si>
  <si>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</si>
  <si>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</si>
  <si>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</si>
  <si>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</si>
  <si>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</si>
  <si>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</si>
  <si>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</si>
  <si>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</si>
  <si>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</si>
  <si>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</si>
  <si>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</si>
  <si>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</si>
  <si>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</si>
  <si>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</si>
  <si>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</si>
  <si>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</si>
  <si>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</si>
  <si>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</si>
  <si>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</si>
  <si>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</si>
  <si>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</si>
  <si>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</si>
  <si>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</si>
  <si>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</si>
  <si>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</si>
  <si>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</si>
  <si>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</si>
  <si>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</si>
  <si>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</si>
  <si>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</si>
  <si>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</si>
  <si>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</si>
  <si>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</si>
  <si>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</si>
  <si>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</si>
  <si>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</si>
  <si>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</si>
  <si>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</si>
  <si>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</si>
  <si>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</si>
  <si>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</si>
  <si>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</si>
  <si>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</si>
  <si>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</si>
  <si>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</si>
  <si>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</si>
  <si>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</si>
  <si>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</si>
  <si>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</si>
  <si>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</si>
  <si>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</si>
  <si>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</si>
  <si>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</si>
  <si>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</si>
  <si>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</si>
  <si>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</si>
  <si>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</si>
  <si>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</si>
  <si>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</si>
  <si>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</si>
  <si>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</si>
  <si>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</si>
  <si>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</si>
  <si>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</si>
  <si>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</si>
  <si>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</si>
  <si>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</si>
  <si>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</si>
  <si>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</si>
  <si>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</si>
  <si>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</si>
  <si>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</si>
  <si>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</si>
  <si>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</si>
  <si>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</si>
  <si>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</si>
  <si>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</si>
  <si>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</si>
  <si>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</si>
  <si>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</si>
  <si>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</si>
  <si>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</si>
  <si>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</si>
  <si>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</si>
  <si>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</si>
  <si>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</si>
  <si>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</si>
  <si>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</si>
  <si>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</si>
  <si>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</si>
  <si>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</si>
  <si>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</si>
  <si>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</si>
  <si>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</si>
  <si>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</si>
  <si>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</si>
  <si>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</si>
  <si>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</si>
  <si>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</si>
  <si>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</si>
  <si>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</si>
  <si>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</si>
  <si>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</si>
  <si>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</si>
  <si>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</si>
  <si>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</si>
  <si>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</si>
  <si>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</si>
  <si>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</si>
  <si>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</si>
  <si>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</si>
  <si>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</si>
  <si>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</si>
  <si>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</si>
  <si>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</si>
  <si>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</si>
  <si>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</si>
  <si>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</si>
  <si>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</si>
  <si>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</si>
  <si>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</si>
  <si>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</si>
  <si>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</si>
  <si>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</si>
  <si>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</si>
  <si>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</si>
  <si>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</si>
  <si>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</si>
  <si>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</si>
  <si>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</si>
  <si>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</si>
  <si>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</si>
  <si>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</si>
  <si>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</si>
  <si>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</si>
  <si>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</si>
  <si>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</si>
  <si>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</si>
  <si>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</si>
  <si>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</si>
  <si>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</si>
  <si>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</si>
  <si>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</si>
  <si>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</si>
  <si>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</si>
  <si>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</si>
  <si>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</si>
  <si>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</si>
  <si>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</si>
  <si>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</si>
  <si>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</si>
  <si>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</si>
  <si>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</si>
  <si>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</si>
  <si>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</si>
  <si>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</si>
  <si>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</si>
  <si>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</si>
  <si>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</si>
  <si>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</si>
  <si>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</si>
  <si>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</si>
  <si>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</si>
  <si>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</si>
  <si>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</si>
  <si>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</si>
  <si>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</si>
  <si>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</si>
  <si>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</si>
  <si>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</si>
  <si>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</si>
  <si>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</si>
  <si>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</si>
  <si>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</si>
  <si>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</si>
  <si>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</si>
  <si>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</si>
  <si>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</si>
  <si>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</si>
  <si>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</si>
  <si>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</si>
  <si>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</si>
  <si>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</si>
  <si>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</si>
  <si>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</si>
  <si>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</si>
  <si>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</si>
  <si>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</si>
  <si>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</si>
  <si>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</si>
  <si>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</si>
  <si>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</si>
  <si>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</si>
  <si>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</si>
  <si>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</si>
  <si>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</si>
  <si>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</si>
  <si>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</si>
  <si>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</si>
  <si>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</si>
  <si>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</si>
  <si>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</si>
  <si>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</si>
  <si>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</si>
  <si>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</si>
  <si>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</si>
  <si>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</si>
  <si>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</si>
  <si>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</si>
  <si>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</si>
  <si>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</si>
  <si>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</si>
  <si>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</si>
  <si>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</si>
  <si>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</si>
  <si>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</si>
  <si>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</si>
  <si>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</si>
  <si>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</si>
  <si>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</si>
  <si>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</si>
  <si>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</si>
  <si>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</si>
  <si>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</si>
  <si>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</si>
  <si>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</si>
  <si>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</si>
  <si>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</si>
  <si>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</si>
  <si>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</si>
  <si>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</si>
  <si>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</si>
  <si>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</si>
  <si>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</si>
  <si>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</si>
  <si>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</si>
  <si>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</si>
  <si>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</si>
  <si>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</si>
  <si>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</si>
  <si>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</si>
  <si>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</si>
  <si>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</si>
  <si>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</si>
  <si>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</si>
  <si>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</si>
  <si>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</si>
  <si>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</si>
  <si>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</si>
  <si>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</si>
  <si>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</si>
  <si>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</si>
  <si>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</si>
  <si>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</si>
  <si>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</si>
  <si>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</si>
  <si>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</si>
  <si>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</si>
  <si>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</si>
  <si>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</si>
  <si>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</si>
  <si>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</si>
  <si>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</si>
  <si>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</si>
  <si>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</si>
  <si>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</si>
  <si>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</si>
  <si>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</si>
  <si>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</si>
  <si>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</si>
  <si>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</si>
  <si>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</si>
  <si>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</si>
  <si>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</si>
  <si>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</si>
  <si>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</si>
  <si>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</si>
  <si>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</si>
  <si>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</si>
  <si>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</si>
  <si>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</si>
  <si>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</si>
  <si>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</si>
  <si>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</si>
  <si>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</si>
  <si>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</si>
  <si>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</si>
  <si>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</si>
  <si>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</si>
  <si>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</si>
  <si>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</si>
  <si>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</si>
  <si>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</si>
  <si>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</si>
  <si>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</si>
  <si>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</si>
  <si>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</si>
  <si>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</si>
  <si>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</si>
  <si>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</si>
  <si>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</si>
  <si>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</si>
  <si>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</si>
  <si>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</si>
  <si>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</si>
  <si>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</si>
  <si>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</si>
  <si>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</si>
  <si>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</si>
  <si>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</si>
  <si>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</si>
  <si>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</si>
  <si>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</si>
  <si>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</si>
  <si>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</si>
  <si>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</si>
  <si>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</si>
  <si>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</si>
  <si>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</si>
  <si>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</si>
  <si>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</si>
  <si>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</si>
  <si>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</si>
  <si>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</si>
  <si>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</si>
  <si>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</si>
  <si>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</si>
  <si>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</si>
  <si>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</si>
  <si>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</si>
  <si>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</si>
  <si>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</si>
  <si>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</si>
  <si>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</si>
  <si>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</si>
  <si>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</si>
  <si>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</si>
  <si>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</si>
  <si>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</si>
  <si>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</si>
  <si>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</si>
  <si>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</si>
  <si>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</si>
  <si>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</si>
  <si>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</si>
  <si>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</si>
  <si>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</si>
  <si>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</si>
  <si>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</si>
  <si>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</si>
  <si>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</si>
  <si>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</si>
  <si>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</si>
  <si>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</si>
  <si>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</si>
  <si>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</si>
  <si>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</si>
  <si>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</si>
  <si>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</si>
  <si>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</si>
  <si>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</si>
  <si>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</si>
  <si>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</si>
  <si>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</si>
  <si>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</si>
  <si>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</si>
  <si>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</si>
  <si>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</si>
  <si>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</si>
  <si>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</si>
  <si>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</si>
  <si>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</si>
  <si>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</si>
  <si>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</si>
  <si>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</si>
  <si>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</si>
  <si>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</si>
  <si>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</si>
  <si>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</si>
  <si>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</si>
  <si>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</si>
  <si>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</si>
  <si>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</si>
  <si>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</si>
  <si>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</si>
  <si>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</si>
  <si>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</si>
  <si>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</si>
  <si>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</si>
  <si>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</si>
  <si>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</si>
  <si>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</si>
  <si>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</si>
  <si>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</si>
  <si>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</si>
  <si>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</si>
  <si>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</si>
  <si>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</si>
  <si>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</si>
  <si>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</si>
  <si>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</si>
  <si>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</si>
  <si>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</si>
  <si>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</si>
  <si>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</si>
  <si>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</si>
  <si>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</si>
  <si>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</si>
  <si>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</si>
  <si>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</si>
  <si>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</si>
  <si>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</si>
  <si>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</si>
  <si>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</si>
  <si>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</si>
  <si>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</si>
  <si>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</si>
  <si>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</si>
  <si>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</si>
  <si>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</si>
  <si>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</si>
  <si>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</si>
  <si>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</si>
  <si>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</si>
  <si>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</si>
  <si>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</si>
  <si>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</si>
  <si>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</si>
  <si>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</si>
  <si>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</si>
  <si>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</si>
  <si>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</si>
  <si>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</si>
  <si>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</si>
  <si>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</si>
  <si>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</si>
  <si>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</si>
  <si>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</si>
  <si>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</si>
  <si>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</si>
  <si>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</si>
  <si>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</si>
  <si>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</si>
  <si>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</si>
  <si>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</si>
  <si>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</si>
  <si>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</si>
  <si>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</si>
  <si>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</si>
  <si>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</si>
  <si>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</si>
  <si>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</si>
  <si>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</si>
  <si>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</si>
  <si>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</si>
  <si>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</si>
  <si>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</si>
  <si>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</si>
  <si>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</si>
  <si>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</si>
  <si>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</si>
  <si>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</si>
  <si>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</si>
  <si>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</si>
  <si>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</si>
  <si>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</si>
  <si>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</si>
  <si>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</si>
  <si>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</si>
  <si>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</si>
  <si>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</si>
  <si>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</si>
  <si>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</si>
  <si>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</si>
  <si>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</si>
  <si>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</si>
  <si>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</si>
  <si>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</si>
  <si>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</si>
  <si>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</si>
  <si>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</si>
  <si>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</si>
  <si>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</si>
  <si>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</si>
  <si>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</si>
  <si>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</si>
  <si>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</si>
  <si>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</si>
  <si>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</si>
  <si>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</si>
  <si>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</si>
  <si>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</si>
  <si>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</si>
  <si>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</si>
  <si>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</si>
  <si>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</si>
  <si>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</si>
  <si>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</si>
  <si>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</si>
  <si>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</si>
  <si>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</si>
  <si>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</si>
  <si>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</si>
  <si>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</si>
  <si>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</si>
  <si>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</si>
  <si>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</si>
  <si>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</si>
  <si>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</si>
  <si>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</si>
  <si>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</si>
  <si>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</si>
  <si>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</si>
  <si>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</si>
  <si>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</si>
  <si>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</si>
  <si>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</si>
  <si>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</si>
  <si>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</si>
  <si>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</si>
  <si>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</si>
  <si>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</si>
  <si>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</si>
  <si>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</si>
  <si>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</si>
  <si>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</si>
  <si>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</si>
  <si>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</si>
  <si>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</si>
  <si>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</si>
  <si>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</si>
  <si>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</si>
  <si>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</si>
  <si>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</si>
  <si>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</si>
  <si>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</si>
  <si>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</si>
  <si>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</si>
  <si>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</si>
  <si>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</si>
  <si>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</si>
  <si>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</si>
  <si>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</si>
  <si>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</si>
  <si>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</si>
  <si>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</si>
  <si>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</si>
  <si>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</si>
  <si>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</si>
  <si>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</si>
  <si>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</si>
  <si>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</si>
  <si>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</si>
  <si>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</si>
  <si>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</si>
  <si>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</si>
  <si>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</si>
  <si>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</si>
  <si>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</si>
  <si>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</si>
  <si>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</si>
  <si>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</si>
  <si>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</si>
  <si>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</si>
  <si>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</si>
  <si>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</si>
  <si>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</si>
  <si>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</si>
  <si>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</si>
  <si>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</si>
  <si>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</si>
  <si>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</si>
  <si>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</si>
  <si>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</si>
  <si>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</si>
  <si>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</si>
  <si>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</si>
  <si>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</si>
  <si>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</si>
  <si>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</si>
  <si>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</si>
  <si>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</si>
  <si>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</si>
  <si>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</si>
  <si>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</si>
  <si>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</si>
  <si>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</si>
  <si>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</si>
  <si>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</si>
  <si>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</si>
  <si>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</si>
  <si>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</si>
  <si>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</si>
  <si>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</si>
  <si>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</si>
  <si>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</si>
  <si>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</si>
  <si>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</si>
  <si>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</si>
  <si>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</si>
  <si>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</si>
  <si>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</si>
  <si>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</si>
  <si>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</si>
  <si>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</si>
  <si>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</si>
  <si>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</si>
  <si>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</si>
  <si>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</si>
  <si>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</si>
  <si>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</si>
  <si>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</si>
  <si>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</si>
  <si>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</si>
  <si>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</si>
  <si>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</si>
  <si>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</si>
  <si>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</si>
  <si>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</si>
  <si>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</si>
  <si>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</si>
  <si>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</si>
  <si>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</si>
  <si>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</si>
  <si>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</si>
  <si>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</si>
  <si>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</si>
  <si>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</si>
  <si>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</si>
  <si>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</si>
  <si>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</si>
  <si>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</si>
  <si>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</si>
  <si>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</si>
  <si>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</si>
  <si>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</si>
  <si>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</si>
  <si>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</si>
  <si>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</si>
  <si>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</si>
  <si>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</si>
  <si>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</si>
  <si>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</si>
  <si>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</si>
  <si>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</si>
  <si>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</si>
  <si>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</si>
  <si>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</si>
  <si>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</si>
  <si>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</si>
  <si>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</si>
  <si>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</si>
  <si>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</si>
  <si>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</si>
  <si>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</si>
  <si>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</si>
  <si>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</si>
  <si>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</si>
  <si>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</si>
  <si>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</si>
  <si>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</si>
  <si>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</si>
  <si>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</si>
  <si>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</si>
  <si>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</si>
  <si>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</si>
  <si>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</si>
  <si>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</si>
  <si>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</si>
  <si>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</si>
  <si>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</si>
  <si>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</si>
  <si>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</si>
  <si>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</si>
  <si>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</si>
  <si>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</si>
  <si>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</si>
  <si>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</si>
  <si>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</si>
  <si>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</si>
  <si>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</si>
  <si>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</si>
  <si>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</si>
  <si>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</si>
  <si>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</si>
  <si>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</si>
  <si>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</si>
  <si>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</si>
  <si>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</si>
  <si>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</si>
  <si>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</si>
  <si>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</si>
  <si>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</si>
  <si>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</si>
  <si>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</si>
  <si>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</si>
  <si>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</si>
  <si>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</si>
  <si>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</si>
  <si>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</si>
  <si>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</si>
  <si>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</si>
  <si>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</si>
  <si>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</si>
  <si>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</si>
  <si>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</si>
  <si>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</si>
  <si>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</si>
  <si>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</si>
  <si>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</si>
  <si>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</si>
  <si>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</si>
  <si>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</si>
  <si>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</si>
  <si>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</si>
  <si>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</si>
  <si>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</si>
  <si>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</si>
  <si>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</si>
  <si>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</si>
  <si>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</si>
  <si>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</si>
  <si>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</si>
  <si>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</si>
  <si>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</si>
  <si>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</si>
  <si>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</si>
  <si>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</si>
  <si>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</si>
  <si>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</si>
  <si>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</si>
  <si>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</si>
  <si>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</si>
  <si>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</si>
  <si>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</si>
  <si>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</si>
  <si>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</si>
  <si>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</si>
  <si>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</si>
  <si>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</si>
  <si>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</si>
  <si>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</si>
  <si>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</si>
  <si>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</si>
  <si>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</si>
  <si>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</si>
  <si>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</si>
  <si>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</si>
  <si>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</si>
  <si>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</si>
  <si>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</si>
  <si>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</si>
  <si>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</si>
  <si>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</si>
  <si>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</si>
  <si>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</si>
  <si>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</si>
  <si>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</si>
  <si>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</si>
  <si>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</si>
  <si>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</si>
  <si>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</si>
  <si>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</si>
  <si>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</si>
  <si>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</si>
  <si>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</si>
  <si>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</si>
  <si>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</si>
  <si>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</si>
  <si>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</si>
  <si>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</si>
  <si>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</si>
  <si>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</si>
  <si>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</si>
  <si>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</si>
  <si>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</si>
  <si>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</si>
  <si>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</si>
  <si>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</si>
  <si>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</si>
  <si>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</si>
  <si>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</si>
  <si>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</si>
  <si>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</si>
  <si>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</si>
  <si>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</si>
  <si>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</si>
  <si>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</si>
  <si>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</si>
  <si>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</si>
  <si>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</si>
  <si>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</si>
  <si>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</si>
  <si>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</si>
  <si>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</si>
  <si>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</si>
  <si>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</si>
  <si>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</si>
  <si>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</si>
  <si>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</si>
  <si>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</si>
  <si>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</si>
  <si>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</si>
  <si>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</si>
  <si>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</si>
  <si>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</si>
  <si>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</si>
  <si>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</si>
  <si>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</si>
  <si>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</si>
  <si>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</si>
  <si>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</si>
  <si>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</si>
  <si>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</si>
  <si>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</si>
  <si>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</si>
  <si>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</si>
  <si>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</si>
  <si>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</si>
  <si>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</si>
  <si>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</si>
  <si>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</si>
  <si>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</si>
  <si>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</si>
  <si>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</si>
  <si>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</si>
  <si>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</si>
  <si>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</si>
  <si>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</si>
  <si>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</si>
  <si>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</si>
  <si>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</si>
  <si>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</si>
  <si>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</si>
  <si>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</si>
  <si>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</si>
  <si>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</si>
  <si>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</si>
  <si>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</si>
  <si>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</si>
  <si>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</si>
  <si>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</si>
  <si>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</si>
  <si>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</si>
  <si>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</si>
  <si>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</si>
  <si>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</si>
  <si>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</si>
  <si>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</si>
  <si>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</si>
  <si>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</si>
  <si>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</si>
  <si>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</si>
  <si>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</si>
  <si>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</si>
  <si>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</si>
  <si>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</si>
  <si>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</si>
  <si>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</si>
  <si>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</si>
  <si>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</si>
  <si>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</si>
  <si>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</si>
  <si>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</si>
  <si>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</si>
  <si>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</si>
  <si>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</si>
  <si>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</si>
  <si>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</si>
  <si>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</si>
  <si>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</si>
  <si>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</si>
  <si>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</si>
  <si>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</si>
  <si>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</si>
  <si>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</si>
  <si>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</si>
  <si>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</si>
  <si>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</si>
  <si>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</si>
  <si>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</si>
  <si>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</si>
  <si>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</si>
  <si>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</si>
  <si>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</si>
  <si>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</si>
  <si>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</si>
  <si>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</si>
  <si>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</si>
  <si>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</si>
  <si>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</si>
  <si>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</si>
  <si>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</si>
  <si>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</si>
  <si>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</si>
  <si>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</si>
  <si>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</si>
  <si>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</si>
  <si>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</si>
  <si>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</si>
  <si>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</si>
  <si>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</si>
  <si>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</si>
  <si>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</si>
  <si>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</si>
  <si>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</si>
  <si>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</si>
  <si>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</si>
  <si>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</si>
  <si>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</si>
  <si>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</si>
  <si>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</si>
  <si>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</si>
  <si>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</si>
  <si>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</si>
  <si>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</si>
  <si>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</si>
  <si>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</si>
  <si>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</si>
  <si>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</si>
  <si>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</si>
  <si>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</si>
  <si>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</si>
  <si>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</si>
  <si>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</si>
  <si>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</si>
  <si>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</si>
  <si>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</si>
  <si>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</si>
  <si>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</si>
  <si>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</si>
  <si>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</si>
  <si>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</si>
  <si>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</si>
  <si>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</si>
  <si>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</si>
  <si>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</si>
  <si>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</si>
  <si>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</si>
  <si>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</si>
  <si>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</si>
  <si>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</si>
  <si>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</si>
  <si>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</si>
  <si>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</si>
  <si>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</si>
  <si>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</si>
  <si>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</si>
  <si>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</si>
  <si>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</si>
  <si>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</si>
  <si>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</si>
  <si>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</si>
  <si>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</si>
  <si>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</si>
  <si>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</si>
  <si>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</si>
  <si>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</si>
  <si>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</si>
  <si>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</si>
  <si>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</si>
  <si>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</si>
  <si>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</si>
  <si>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</si>
  <si>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</si>
  <si>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</si>
  <si>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</si>
  <si>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</si>
  <si>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</si>
  <si>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</si>
  <si>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</si>
  <si>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</si>
  <si>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</si>
  <si>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</si>
  <si>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</si>
  <si>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</si>
  <si>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</si>
  <si>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</si>
  <si>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</si>
  <si>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</si>
  <si>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</si>
  <si>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</si>
  <si>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</si>
  <si>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</si>
  <si>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</si>
  <si>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</si>
  <si>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</si>
  <si>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</si>
  <si>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</si>
  <si>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</si>
  <si>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</si>
  <si>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</si>
  <si>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</si>
  <si>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</si>
  <si>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</si>
  <si>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</si>
  <si>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</si>
  <si>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</si>
  <si>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</si>
  <si>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</si>
  <si>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</si>
  <si>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</si>
  <si>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</si>
  <si>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</si>
  <si>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</si>
  <si>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</si>
  <si>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</si>
  <si>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</si>
  <si>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</si>
  <si>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</si>
  <si>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</si>
  <si>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</si>
  <si>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</si>
  <si>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</si>
  <si>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</si>
  <si>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</si>
  <si>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</si>
  <si>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</si>
  <si>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</si>
  <si>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</si>
  <si>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</si>
  <si>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</si>
  <si>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</si>
  <si>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</si>
  <si>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</si>
  <si>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</si>
  <si>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</si>
  <si>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</si>
  <si>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</si>
  <si>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</si>
  <si>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</si>
  <si>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</si>
  <si>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</si>
  <si>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</si>
  <si>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</si>
  <si>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</si>
  <si>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</si>
  <si>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</si>
  <si>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</si>
  <si>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</si>
  <si>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</si>
  <si>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</si>
  <si>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</si>
  <si>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</si>
  <si>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</si>
  <si>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</si>
  <si>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</si>
  <si>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</si>
  <si>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</si>
  <si>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</si>
  <si>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</si>
  <si>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</si>
  <si>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</si>
  <si>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</si>
  <si>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</si>
  <si>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</si>
  <si>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</si>
  <si>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</si>
  <si>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</si>
  <si>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</si>
  <si>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</si>
  <si>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</si>
  <si>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</si>
  <si>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</si>
  <si>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</si>
  <si>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</si>
  <si>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</si>
  <si>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</si>
  <si>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</si>
  <si>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</si>
  <si>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</si>
  <si>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</si>
  <si>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</si>
  <si>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</si>
  <si>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</si>
  <si>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</si>
  <si>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</si>
  <si>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</si>
  <si>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</si>
  <si>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</si>
  <si>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</si>
  <si>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</si>
  <si>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</si>
  <si>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</si>
  <si>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</si>
  <si>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</si>
  <si>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</si>
  <si>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</si>
  <si>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</si>
  <si>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</si>
  <si>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</si>
  <si>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</si>
  <si>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</si>
  <si>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</si>
  <si>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</si>
  <si>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</si>
  <si>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</si>
  <si>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</si>
  <si>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</si>
  <si>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</si>
  <si>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</si>
  <si>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</si>
  <si>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</si>
  <si>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</si>
  <si>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</si>
  <si>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</si>
  <si>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</si>
  <si>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</si>
  <si>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</si>
  <si>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</si>
  <si>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</si>
  <si>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</si>
  <si>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</si>
  <si>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</si>
  <si>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</si>
  <si>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</si>
  <si>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</si>
  <si>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</si>
  <si>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</si>
  <si>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</si>
  <si>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</si>
  <si>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</si>
  <si>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</si>
  <si>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</si>
  <si>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</si>
  <si>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</si>
  <si>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</si>
  <si>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</si>
  <si>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</si>
  <si>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</si>
  <si>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</si>
  <si>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</si>
  <si>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</si>
  <si>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</si>
  <si>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</si>
  <si>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</si>
  <si>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</si>
  <si>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</si>
  <si>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</si>
  <si>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</si>
  <si>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</si>
  <si>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</si>
  <si>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</si>
  <si>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</si>
  <si>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</si>
  <si>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</si>
  <si>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</si>
  <si>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</si>
  <si>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</si>
  <si>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</si>
  <si>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</si>
  <si>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</si>
  <si>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</si>
  <si>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</si>
  <si>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</si>
  <si>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</si>
  <si>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</si>
  <si>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</si>
  <si>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</si>
  <si>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</si>
  <si>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</si>
  <si>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</si>
  <si>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</si>
  <si>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</si>
  <si>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</si>
  <si>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</si>
  <si>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</si>
  <si>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</si>
  <si>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</si>
  <si>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</si>
  <si>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</si>
  <si>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</si>
  <si>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</si>
  <si>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</si>
  <si>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</si>
  <si>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</si>
  <si>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</si>
  <si>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</si>
  <si>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</si>
  <si>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</si>
  <si>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</si>
  <si>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</si>
  <si>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</si>
  <si>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</si>
  <si>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</si>
  <si>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</si>
  <si>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</si>
  <si>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</si>
  <si>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</si>
  <si>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</si>
  <si>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</si>
  <si>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</si>
  <si>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</si>
  <si>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</si>
  <si>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</si>
  <si>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</si>
  <si>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</si>
  <si>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</si>
  <si>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</si>
  <si>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</si>
  <si>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</si>
  <si>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</si>
  <si>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</si>
  <si>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</si>
  <si>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</si>
  <si>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</si>
  <si>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</si>
  <si>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</si>
  <si>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</si>
  <si>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</si>
  <si>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</si>
  <si>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</si>
  <si>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</si>
  <si>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</si>
  <si>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</si>
  <si>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</si>
  <si>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</si>
  <si>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</si>
  <si>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</si>
  <si>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</si>
  <si>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</si>
  <si>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</si>
  <si>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</si>
  <si>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</si>
  <si>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</si>
  <si>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</si>
  <si>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</si>
  <si>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</si>
  <si>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</si>
  <si>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</si>
  <si>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</si>
  <si>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</si>
  <si>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</si>
  <si>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</si>
  <si>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</si>
  <si>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</si>
  <si>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</si>
  <si>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</si>
  <si>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</si>
  <si>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</si>
  <si>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</si>
  <si>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</si>
  <si>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</si>
  <si>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</si>
  <si>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</si>
  <si>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</si>
  <si>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</si>
  <si>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err in Sugar; int 4 changed to 0, char c deleted</t>
  </si>
  <si>
    <t>err in Sugar; int 0 arbitrarily changed to 2; blank char changed to bl</t>
  </si>
  <si>
    <t>bl</t>
  </si>
  <si>
    <t>err in Sugar; int 5 changed to 0; char c deleted</t>
  </si>
  <si>
    <t>err in Sugar; int 20 changed to 0; dup class deleted</t>
  </si>
  <si>
    <t>err in Sugar; char changed to *r</t>
  </si>
  <si>
    <t>err in Sugar; class corrected</t>
  </si>
  <si>
    <t>Err in Sugar; class revised</t>
  </si>
  <si>
    <t>typo in Sugar wn</t>
  </si>
  <si>
    <t>err in Sugar; int 10 assigned arbitrarily, to enable the classification; char set to bl.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</si>
  <si>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</si>
  <si>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</si>
  <si>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</si>
  <si>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</si>
  <si>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</si>
  <si>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</si>
  <si>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</si>
  <si>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</si>
  <si>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</si>
  <si>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</si>
  <si>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</si>
  <si>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</si>
  <si>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</si>
  <si>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</si>
  <si>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</si>
  <si>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</si>
  <si>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</si>
  <si>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</si>
  <si>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</si>
  <si>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-1483.55350315249; 1.21140561313533;-4.05798616949048E-04; 7.14242895971496E-08;-6.98566317376785E-12; 3.60813381323066E-16;-7.70454890069428E-21;</t>
  </si>
  <si>
    <t>-183.606383654495; .158215550018788;-4.43357547773887E-05; 4.02230453814411E-09;</t>
  </si>
  <si>
    <t xml:space="preserve"> 812.314557131779;-.984057545611877; 3.98561803440614E-04;-5.38835143691999E-08;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</si>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</sst>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1'!$AM$2:$AM$4332</c:f>
              <c:numCache>
                <c:formatCode>General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1'!$AR$2:$AR$4332</c:f>
              <c:numCache>
                <c:formatCode>General</c:formatCode>
                <c:ptCount val="4331"/>
                <c:pt idx="8" formatCode="0.00">
                  <c:v>-5.7406573505608796</c:v>
                </c:pt>
                <c:pt idx="11" formatCode="0.00">
                  <c:v>-2.6140785468710614</c:v>
                </c:pt>
                <c:pt idx="12" formatCode="0.00">
                  <c:v>-5.4121822248273128</c:v>
                </c:pt>
                <c:pt idx="16" formatCode="0.00">
                  <c:v>-4.4544648339276609</c:v>
                </c:pt>
                <c:pt idx="20" formatCode="0.00">
                  <c:v>-3.9952631163453036</c:v>
                </c:pt>
                <c:pt idx="25" formatCode="0.00">
                  <c:v>-3.674095799764511</c:v>
                </c:pt>
                <c:pt idx="29" formatCode="0.00">
                  <c:v>-3.5764755223639844</c:v>
                </c:pt>
                <c:pt idx="30" formatCode="0.00">
                  <c:v>-3.8035260496088998</c:v>
                </c:pt>
                <c:pt idx="32" formatCode="0.00">
                  <c:v>-4.4154493364685923</c:v>
                </c:pt>
                <c:pt idx="46" formatCode="0.00">
                  <c:v>-3.6636933202403141</c:v>
                </c:pt>
                <c:pt idx="50" formatCode="0.00">
                  <c:v>-4.3085861152752507</c:v>
                </c:pt>
                <c:pt idx="53" formatCode="0.00">
                  <c:v>-5.3744819094759197</c:v>
                </c:pt>
                <c:pt idx="54" formatCode="0.00">
                  <c:v>-4.6934794214118662</c:v>
                </c:pt>
                <c:pt idx="56" formatCode="0.00">
                  <c:v>-5.0952004176948735</c:v>
                </c:pt>
                <c:pt idx="58" formatCode="0.00">
                  <c:v>-4.1445778598558096</c:v>
                </c:pt>
                <c:pt idx="68" formatCode="0.00">
                  <c:v>-5.317390950060517</c:v>
                </c:pt>
                <c:pt idx="75" formatCode="0.00">
                  <c:v>-6.5090210361500898</c:v>
                </c:pt>
                <c:pt idx="77" formatCode="0.00">
                  <c:v>-5.7948662768724715</c:v>
                </c:pt>
                <c:pt idx="81" formatCode="0.00">
                  <c:v>-4.2491387920131247</c:v>
                </c:pt>
                <c:pt idx="85" formatCode="0.00">
                  <c:v>-4.7669536288835745</c:v>
                </c:pt>
                <c:pt idx="95" formatCode="0.00">
                  <c:v>-6.0504149375113396</c:v>
                </c:pt>
                <c:pt idx="106" formatCode="0.00">
                  <c:v>-4.3076906807669761</c:v>
                </c:pt>
                <c:pt idx="112" formatCode="0.00">
                  <c:v>-5.5216062594866768</c:v>
                </c:pt>
                <c:pt idx="143" formatCode="0.00">
                  <c:v>-4.9052986368746554</c:v>
                </c:pt>
                <c:pt idx="151" formatCode="0.00">
                  <c:v>-4.6829621489248634</c:v>
                </c:pt>
                <c:pt idx="161" formatCode="0.00">
                  <c:v>-4.822055353493325</c:v>
                </c:pt>
                <c:pt idx="163" formatCode="0.00">
                  <c:v>-3.9280788264499402</c:v>
                </c:pt>
                <c:pt idx="164" formatCode="0.00">
                  <c:v>-5.2240577188638948</c:v>
                </c:pt>
                <c:pt idx="182" formatCode="0.00">
                  <c:v>-3.6566244725460533</c:v>
                </c:pt>
                <c:pt idx="187" formatCode="0.00">
                  <c:v>-3.1765419814349931</c:v>
                </c:pt>
                <c:pt idx="189" formatCode="0.00">
                  <c:v>-4.0160918252687132</c:v>
                </c:pt>
                <c:pt idx="204" formatCode="0.00">
                  <c:v>-2.2107433111985197</c:v>
                </c:pt>
                <c:pt idx="208" formatCode="0.00">
                  <c:v>-2.7219708740534032</c:v>
                </c:pt>
                <c:pt idx="215" formatCode="0.00">
                  <c:v>-3.8151792080620708</c:v>
                </c:pt>
                <c:pt idx="248" formatCode="0.00">
                  <c:v>-2.8311695051397039</c:v>
                </c:pt>
                <c:pt idx="259" formatCode="0.00">
                  <c:v>-5.4089865701421331</c:v>
                </c:pt>
                <c:pt idx="284" formatCode="0.00">
                  <c:v>-4.261477265446449</c:v>
                </c:pt>
                <c:pt idx="288" formatCode="0.00">
                  <c:v>-4.9787662162901833</c:v>
                </c:pt>
                <c:pt idx="289" formatCode="0.00">
                  <c:v>-2.9762525036619478</c:v>
                </c:pt>
                <c:pt idx="312" formatCode="0.00">
                  <c:v>-5.5996634514481336</c:v>
                </c:pt>
                <c:pt idx="316" formatCode="0.00">
                  <c:v>-4.8109746065514294</c:v>
                </c:pt>
                <c:pt idx="317" formatCode="0.00">
                  <c:v>-3.4255445089518637</c:v>
                </c:pt>
                <c:pt idx="319" formatCode="0.00">
                  <c:v>-4.8957258661925627</c:v>
                </c:pt>
                <c:pt idx="328" formatCode="0.00">
                  <c:v>-3.0150499826889572</c:v>
                </c:pt>
                <c:pt idx="339" formatCode="0.00">
                  <c:v>-4.1086282241581751</c:v>
                </c:pt>
                <c:pt idx="343" formatCode="0.00">
                  <c:v>-4.4787744663673337</c:v>
                </c:pt>
                <c:pt idx="345" formatCode="0.00">
                  <c:v>-4.0131712198404879</c:v>
                </c:pt>
                <c:pt idx="351" formatCode="0.00">
                  <c:v>-4.6772498127000439</c:v>
                </c:pt>
                <c:pt idx="353" formatCode="0.00">
                  <c:v>-4.8795088519599981</c:v>
                </c:pt>
                <c:pt idx="364" formatCode="0.00">
                  <c:v>-3.1876060104623227</c:v>
                </c:pt>
                <c:pt idx="369" formatCode="0.00">
                  <c:v>-3.2443626248250719</c:v>
                </c:pt>
                <c:pt idx="370" formatCode="0.00">
                  <c:v>-4.5815168733255209</c:v>
                </c:pt>
                <c:pt idx="377" formatCode="0.00">
                  <c:v>-3.6866347171817031</c:v>
                </c:pt>
                <c:pt idx="383" formatCode="0.00">
                  <c:v>-5.2504667996909893</c:v>
                </c:pt>
                <c:pt idx="384" formatCode="0.00">
                  <c:v>-6.1742506519439395</c:v>
                </c:pt>
                <c:pt idx="389" formatCode="0.00">
                  <c:v>-5.37743234395864</c:v>
                </c:pt>
                <c:pt idx="392" formatCode="0.00">
                  <c:v>-3.602194615134672</c:v>
                </c:pt>
                <c:pt idx="395" formatCode="0.00">
                  <c:v>-4.611925838636342</c:v>
                </c:pt>
                <c:pt idx="400" formatCode="0.00">
                  <c:v>-4.2972968438430401</c:v>
                </c:pt>
                <c:pt idx="404" formatCode="0.00">
                  <c:v>-4.3436010850274256</c:v>
                </c:pt>
                <c:pt idx="405" formatCode="0.00">
                  <c:v>-6.5638203893800355</c:v>
                </c:pt>
                <c:pt idx="410" formatCode="0.00">
                  <c:v>-6.614116479118004</c:v>
                </c:pt>
                <c:pt idx="412" formatCode="0.00">
                  <c:v>-3.9396077242848948</c:v>
                </c:pt>
                <c:pt idx="415" formatCode="0.00">
                  <c:v>-5.2310087953603261</c:v>
                </c:pt>
                <c:pt idx="418" formatCode="0.00">
                  <c:v>-3.8696294021097697</c:v>
                </c:pt>
                <c:pt idx="432" formatCode="0.00">
                  <c:v>-5.4690515574653036</c:v>
                </c:pt>
                <c:pt idx="437" formatCode="0.00">
                  <c:v>-4.5531244556483959</c:v>
                </c:pt>
                <c:pt idx="444" formatCode="0.00">
                  <c:v>-4.0046191452366475</c:v>
                </c:pt>
                <c:pt idx="445" formatCode="0.00">
                  <c:v>-5.1395899577117756</c:v>
                </c:pt>
                <c:pt idx="446" formatCode="0.00">
                  <c:v>-5.0254847845338251</c:v>
                </c:pt>
                <c:pt idx="451" formatCode="0.00">
                  <c:v>-5.9522136198633513</c:v>
                </c:pt>
                <c:pt idx="456" formatCode="0.00">
                  <c:v>-6.1834209869985077</c:v>
                </c:pt>
                <c:pt idx="457" formatCode="0.00">
                  <c:v>-4.2340775325524938</c:v>
                </c:pt>
                <c:pt idx="458" formatCode="0.00">
                  <c:v>-5.5270565419477728</c:v>
                </c:pt>
                <c:pt idx="464" formatCode="0.00">
                  <c:v>-4.6088118444341601</c:v>
                </c:pt>
                <c:pt idx="471" formatCode="0.00">
                  <c:v>-4.8322772903815681</c:v>
                </c:pt>
                <c:pt idx="488" formatCode="0.00">
                  <c:v>-4.598562571372165</c:v>
                </c:pt>
                <c:pt idx="503" formatCode="0.00">
                  <c:v>-3.9038226824209046</c:v>
                </c:pt>
                <c:pt idx="512" formatCode="0.00">
                  <c:v>-3.9842339872948713</c:v>
                </c:pt>
                <c:pt idx="513" formatCode="0.00">
                  <c:v>-3.105960036590572</c:v>
                </c:pt>
                <c:pt idx="520" formatCode="0.00">
                  <c:v>-4.4389710173883801</c:v>
                </c:pt>
                <c:pt idx="525" formatCode="0.00">
                  <c:v>-6.1992923518697394</c:v>
                </c:pt>
                <c:pt idx="528" formatCode="0.00">
                  <c:v>-2.829630686844895</c:v>
                </c:pt>
                <c:pt idx="533" formatCode="0.00">
                  <c:v>-1.5617153349893298</c:v>
                </c:pt>
                <c:pt idx="536" formatCode="0.00">
                  <c:v>-2.2625734559283361</c:v>
                </c:pt>
                <c:pt idx="544" formatCode="0.00">
                  <c:v>-2.8277668455368161</c:v>
                </c:pt>
                <c:pt idx="559" formatCode="0.00">
                  <c:v>-3.256842415174531</c:v>
                </c:pt>
                <c:pt idx="564" formatCode="0.00">
                  <c:v>-2.8686285870669148</c:v>
                </c:pt>
                <c:pt idx="568" formatCode="0.00">
                  <c:v>-3.6037458872124613</c:v>
                </c:pt>
                <c:pt idx="574" formatCode="0.00">
                  <c:v>-5.6129405314964043</c:v>
                </c:pt>
                <c:pt idx="600" formatCode="0.00">
                  <c:v>-4.3765991633616173</c:v>
                </c:pt>
                <c:pt idx="619" formatCode="0.00">
                  <c:v>-4.6196867382998255</c:v>
                </c:pt>
                <c:pt idx="638" formatCode="0.00">
                  <c:v>-3.9440653937030672</c:v>
                </c:pt>
                <c:pt idx="641" formatCode="0.00">
                  <c:v>-5.6697198358116827</c:v>
                </c:pt>
                <c:pt idx="648" formatCode="0.00">
                  <c:v>-4.8798757187913644</c:v>
                </c:pt>
                <c:pt idx="656" formatCode="0.00">
                  <c:v>-3.8928790724788955</c:v>
                </c:pt>
                <c:pt idx="665" formatCode="0.00">
                  <c:v>-3.559068813075621</c:v>
                </c:pt>
                <c:pt idx="676" formatCode="0.00">
                  <c:v>-3.390557439567325</c:v>
                </c:pt>
                <c:pt idx="686" formatCode="0.00">
                  <c:v>-4.8601809152902948</c:v>
                </c:pt>
                <c:pt idx="687" formatCode="0.00">
                  <c:v>-3.4798489872472049</c:v>
                </c:pt>
                <c:pt idx="688" formatCode="0.00">
                  <c:v>-7.038615308989395</c:v>
                </c:pt>
                <c:pt idx="691" formatCode="0.00">
                  <c:v>-4.2867414269411483</c:v>
                </c:pt>
                <c:pt idx="693" formatCode="0.00">
                  <c:v>-5.0428542241935492</c:v>
                </c:pt>
                <c:pt idx="707" formatCode="0.00">
                  <c:v>-4.4557005290722413</c:v>
                </c:pt>
                <c:pt idx="711" formatCode="0.00">
                  <c:v>-4.621904006666985</c:v>
                </c:pt>
                <c:pt idx="715" formatCode="0.00">
                  <c:v>-4.4751715932116198</c:v>
                </c:pt>
                <c:pt idx="719" formatCode="0.00">
                  <c:v>-4.7082758754246932</c:v>
                </c:pt>
                <c:pt idx="726" formatCode="0.00">
                  <c:v>-5.484124710085756</c:v>
                </c:pt>
                <c:pt idx="731" formatCode="0.00">
                  <c:v>-4.6767125819809197</c:v>
                </c:pt>
                <c:pt idx="733" formatCode="0.00">
                  <c:v>-5.6949873893805387</c:v>
                </c:pt>
                <c:pt idx="736" formatCode="0.00">
                  <c:v>-5.4440632403259031</c:v>
                </c:pt>
                <c:pt idx="746" formatCode="0.00">
                  <c:v>-4.0803469180836265</c:v>
                </c:pt>
                <c:pt idx="747" formatCode="0.00">
                  <c:v>-4.6128643045637023</c:v>
                </c:pt>
                <c:pt idx="750" formatCode="0.00">
                  <c:v>-4.4915391864967562</c:v>
                </c:pt>
                <c:pt idx="751" formatCode="0.00">
                  <c:v>-4.7694938163422904</c:v>
                </c:pt>
                <c:pt idx="756" formatCode="0.00">
                  <c:v>-4.2497353141961511</c:v>
                </c:pt>
                <c:pt idx="759" formatCode="0.00">
                  <c:v>-5.6554882473914772</c:v>
                </c:pt>
                <c:pt idx="760" formatCode="0.00">
                  <c:v>-7.3310148734676144</c:v>
                </c:pt>
                <c:pt idx="764" formatCode="0.00">
                  <c:v>-4.558316387229171</c:v>
                </c:pt>
                <c:pt idx="776" formatCode="0.00">
                  <c:v>-4.6466333656692234</c:v>
                </c:pt>
                <c:pt idx="778" formatCode="0.00">
                  <c:v>-4.1325037681468819</c:v>
                </c:pt>
                <c:pt idx="792" formatCode="0.00">
                  <c:v>-7.9496983325502786</c:v>
                </c:pt>
                <c:pt idx="802" formatCode="0.00">
                  <c:v>-5.121636027763107</c:v>
                </c:pt>
                <c:pt idx="807" formatCode="0.00">
                  <c:v>-4.440471049622003</c:v>
                </c:pt>
                <c:pt idx="810" formatCode="0.00">
                  <c:v>-6.3711496881167013</c:v>
                </c:pt>
                <c:pt idx="814" formatCode="0.00">
                  <c:v>-7.1628618364802454</c:v>
                </c:pt>
                <c:pt idx="825" formatCode="0.00">
                  <c:v>-6.1213549710346866</c:v>
                </c:pt>
                <c:pt idx="826" formatCode="0.00">
                  <c:v>-5.4260224849109813</c:v>
                </c:pt>
                <c:pt idx="830" formatCode="0.00">
                  <c:v>-4.3159336832963717</c:v>
                </c:pt>
                <c:pt idx="831" formatCode="0.00">
                  <c:v>-4.0025809188795893</c:v>
                </c:pt>
                <c:pt idx="835" formatCode="0.00">
                  <c:v>-5.8556945966961313</c:v>
                </c:pt>
                <c:pt idx="837" formatCode="0.00">
                  <c:v>-5.3426392323900505</c:v>
                </c:pt>
                <c:pt idx="840" formatCode="0.00">
                  <c:v>-6.5516062548956571</c:v>
                </c:pt>
                <c:pt idx="844" formatCode="0.00">
                  <c:v>-3.843541580999942</c:v>
                </c:pt>
                <c:pt idx="865" formatCode="0.00">
                  <c:v>-7.2454621470307838</c:v>
                </c:pt>
                <c:pt idx="875" formatCode="0.00">
                  <c:v>-6.5365070130503309</c:v>
                </c:pt>
                <c:pt idx="884" formatCode="0.00">
                  <c:v>-4.5538270617940411</c:v>
                </c:pt>
                <c:pt idx="888" formatCode="0.00">
                  <c:v>-7.9141766216098883</c:v>
                </c:pt>
                <c:pt idx="896" formatCode="0.00">
                  <c:v>-5.7293707949365809</c:v>
                </c:pt>
                <c:pt idx="900" formatCode="0.00">
                  <c:v>-4.9140083959560776</c:v>
                </c:pt>
                <c:pt idx="917" formatCode="0.00">
                  <c:v>-6.9133610335455096</c:v>
                </c:pt>
                <c:pt idx="941" formatCode="0.00">
                  <c:v>-5.2249447017450903</c:v>
                </c:pt>
                <c:pt idx="942" formatCode="0.00">
                  <c:v>-5.6550086127605752</c:v>
                </c:pt>
                <c:pt idx="943" formatCode="0.00">
                  <c:v>-5.2214304219851231</c:v>
                </c:pt>
                <c:pt idx="944" formatCode="0.00">
                  <c:v>-5.5865763800228434</c:v>
                </c:pt>
                <c:pt idx="949" formatCode="0.00">
                  <c:v>-6.2374603148848546</c:v>
                </c:pt>
                <c:pt idx="998" formatCode="0.00">
                  <c:v>-8.0217797790835874</c:v>
                </c:pt>
                <c:pt idx="1021" formatCode="0.00">
                  <c:v>-7.4173400728608563</c:v>
                </c:pt>
                <c:pt idx="1023" formatCode="0.00">
                  <c:v>-6.8216244262311667</c:v>
                </c:pt>
                <c:pt idx="1031" formatCode="0.00">
                  <c:v>-7.6339906384264884</c:v>
                </c:pt>
                <c:pt idx="1041" formatCode="0.00">
                  <c:v>-5.3598690475793198</c:v>
                </c:pt>
                <c:pt idx="1068" formatCode="0.00">
                  <c:v>-7.3190003944002058</c:v>
                </c:pt>
                <c:pt idx="1079" formatCode="0.00">
                  <c:v>-7.3622544285162945</c:v>
                </c:pt>
                <c:pt idx="1083" formatCode="0.00">
                  <c:v>-6.8288241364008435</c:v>
                </c:pt>
                <c:pt idx="1110" formatCode="0.00">
                  <c:v>-7.8334397875749131</c:v>
                </c:pt>
                <c:pt idx="1111" formatCode="0.00">
                  <c:v>-6.7333565665975845</c:v>
                </c:pt>
                <c:pt idx="1123" formatCode="0.00">
                  <c:v>-5.6736762480631109</c:v>
                </c:pt>
                <c:pt idx="1132" formatCode="0.00">
                  <c:v>-6.9681194650487397</c:v>
                </c:pt>
                <c:pt idx="1158" formatCode="0.00">
                  <c:v>-5.9007411755445878</c:v>
                </c:pt>
                <c:pt idx="1162" formatCode="0.00">
                  <c:v>-7.5505718188335269</c:v>
                </c:pt>
                <c:pt idx="1208" formatCode="0.00">
                  <c:v>-5.998106317384055</c:v>
                </c:pt>
                <c:pt idx="1210" formatCode="0.00">
                  <c:v>-5.7869243084168724</c:v>
                </c:pt>
                <c:pt idx="1214" formatCode="0.00">
                  <c:v>-7.0873837826330757</c:v>
                </c:pt>
                <c:pt idx="1230" formatCode="0.00">
                  <c:v>-7.4538733378855948</c:v>
                </c:pt>
                <c:pt idx="1235" formatCode="0.00">
                  <c:v>-6.8377295513852294</c:v>
                </c:pt>
                <c:pt idx="1250" formatCode="0.00">
                  <c:v>-6.2173639759379418</c:v>
                </c:pt>
                <c:pt idx="1256" formatCode="0.00">
                  <c:v>-7.1987107007535354</c:v>
                </c:pt>
                <c:pt idx="1267" formatCode="0.00">
                  <c:v>-7.3473215051648761</c:v>
                </c:pt>
                <c:pt idx="1273" formatCode="0.00">
                  <c:v>-8.6407329955747745</c:v>
                </c:pt>
                <c:pt idx="1278" formatCode="0.00">
                  <c:v>-6.3036654216413295</c:v>
                </c:pt>
                <c:pt idx="1310" formatCode="0.00">
                  <c:v>-7.8404525005108603</c:v>
                </c:pt>
                <c:pt idx="1312" formatCode="0.00">
                  <c:v>-7.6924161090165804</c:v>
                </c:pt>
                <c:pt idx="1324" formatCode="0.00">
                  <c:v>-6.4673408753174533</c:v>
                </c:pt>
                <c:pt idx="1330" formatCode="0.00">
                  <c:v>-6.7259729633378162</c:v>
                </c:pt>
                <c:pt idx="1332" formatCode="0.00">
                  <c:v>-6.6276009101903037</c:v>
                </c:pt>
                <c:pt idx="1335" formatCode="0.00">
                  <c:v>-6.6707021351331672</c:v>
                </c:pt>
                <c:pt idx="1339" formatCode="0.00">
                  <c:v>-7.5551871410930298</c:v>
                </c:pt>
                <c:pt idx="1345" formatCode="0.00">
                  <c:v>-7.8557601590147463</c:v>
                </c:pt>
                <c:pt idx="1348" formatCode="0.00">
                  <c:v>-5.4605588040584099</c:v>
                </c:pt>
                <c:pt idx="1349" formatCode="0.00">
                  <c:v>-7.1704973919390715</c:v>
                </c:pt>
                <c:pt idx="1352" formatCode="0.00">
                  <c:v>-8.0091824261533091</c:v>
                </c:pt>
                <c:pt idx="1373" formatCode="0.00">
                  <c:v>-4.2545300822831997</c:v>
                </c:pt>
                <c:pt idx="1376" formatCode="0.00">
                  <c:v>-4.8755840267469166</c:v>
                </c:pt>
                <c:pt idx="1386" formatCode="0.00">
                  <c:v>-7.1992044417750671</c:v>
                </c:pt>
                <c:pt idx="1396" formatCode="0.00">
                  <c:v>-6.4619071907705434</c:v>
                </c:pt>
                <c:pt idx="1398" formatCode="0.00">
                  <c:v>-6.5091832208092999</c:v>
                </c:pt>
                <c:pt idx="1399" formatCode="0.00">
                  <c:v>-6.4274993485695155</c:v>
                </c:pt>
                <c:pt idx="1404" formatCode="0.00">
                  <c:v>-6.1111440431581547</c:v>
                </c:pt>
                <c:pt idx="1405" formatCode="0.00">
                  <c:v>-7.0085510672581863</c:v>
                </c:pt>
                <c:pt idx="1409" formatCode="0.00">
                  <c:v>-7.6796721810838813</c:v>
                </c:pt>
                <c:pt idx="1412" formatCode="0.00">
                  <c:v>-7.9164896962619045</c:v>
                </c:pt>
                <c:pt idx="1419" formatCode="0.00">
                  <c:v>-6.4903818188435425</c:v>
                </c:pt>
                <c:pt idx="1424" formatCode="0.00">
                  <c:v>-8.4660163682696989</c:v>
                </c:pt>
                <c:pt idx="1435" formatCode="0.00">
                  <c:v>-8.3753935083736106</c:v>
                </c:pt>
                <c:pt idx="1449" formatCode="0.00">
                  <c:v>-7.5393894698783086</c:v>
                </c:pt>
                <c:pt idx="1450" formatCode="0.00">
                  <c:v>-7.3655722836634867</c:v>
                </c:pt>
                <c:pt idx="1460" formatCode="0.00">
                  <c:v>-7.0311299723517742</c:v>
                </c:pt>
                <c:pt idx="1461" formatCode="0.00">
                  <c:v>-7.2323810837991411</c:v>
                </c:pt>
                <c:pt idx="1462" formatCode="0.00">
                  <c:v>-5.8093361523191378</c:v>
                </c:pt>
                <c:pt idx="1463" formatCode="0.00">
                  <c:v>-6.3129289173245979</c:v>
                </c:pt>
                <c:pt idx="1465" formatCode="0.00">
                  <c:v>-7.5361262402796694</c:v>
                </c:pt>
                <c:pt idx="1470" formatCode="0.00">
                  <c:v>-7.6175788949356855</c:v>
                </c:pt>
                <c:pt idx="1476" formatCode="0.00">
                  <c:v>-6.9973256094458511</c:v>
                </c:pt>
                <c:pt idx="1479" formatCode="0.00">
                  <c:v>-7.3756397896312951</c:v>
                </c:pt>
                <c:pt idx="1495" formatCode="0.00">
                  <c:v>-6.8484436252511003</c:v>
                </c:pt>
                <c:pt idx="1497" formatCode="0.00">
                  <c:v>-8.2630435662985775</c:v>
                </c:pt>
                <c:pt idx="1501" formatCode="0.00">
                  <c:v>-6.9225934829570859</c:v>
                </c:pt>
                <c:pt idx="1510" formatCode="0.00">
                  <c:v>-7.1056296640410492</c:v>
                </c:pt>
                <c:pt idx="1517" formatCode="0.00">
                  <c:v>-6.4652907789108331</c:v>
                </c:pt>
                <c:pt idx="1522" formatCode="0.00">
                  <c:v>-6.6125875318114549</c:v>
                </c:pt>
                <c:pt idx="1526" formatCode="0.00">
                  <c:v>-6.9208498105145946</c:v>
                </c:pt>
                <c:pt idx="1532" formatCode="0.00">
                  <c:v>-6.4290268715274355</c:v>
                </c:pt>
                <c:pt idx="1537" formatCode="0.00">
                  <c:v>-5.9209423723865049</c:v>
                </c:pt>
                <c:pt idx="1542" formatCode="0.00">
                  <c:v>-6.4625292928425457</c:v>
                </c:pt>
                <c:pt idx="1547" formatCode="0.00">
                  <c:v>-7.1034402338769569</c:v>
                </c:pt>
                <c:pt idx="1552" formatCode="0.00">
                  <c:v>-6.4954535163887615</c:v>
                </c:pt>
                <c:pt idx="1557" formatCode="0.00">
                  <c:v>-5.7586232679680167</c:v>
                </c:pt>
                <c:pt idx="1561" formatCode="0.00">
                  <c:v>-5.7425356593887447</c:v>
                </c:pt>
                <c:pt idx="1567" formatCode="0.00">
                  <c:v>-7.2247222238805966</c:v>
                </c:pt>
                <c:pt idx="1570" formatCode="0.00">
                  <c:v>-6.6401633757370604</c:v>
                </c:pt>
                <c:pt idx="1572" formatCode="0.00">
                  <c:v>-5.5519846695562718</c:v>
                </c:pt>
                <c:pt idx="1579" formatCode="0.00">
                  <c:v>-8.2839560680941116</c:v>
                </c:pt>
                <c:pt idx="1587" formatCode="0.00">
                  <c:v>-8.3147583630531265</c:v>
                </c:pt>
                <c:pt idx="1589" formatCode="0.00">
                  <c:v>-6.5527758074139149</c:v>
                </c:pt>
                <c:pt idx="1593" formatCode="0.00">
                  <c:v>-7.0041382319615417</c:v>
                </c:pt>
                <c:pt idx="1594" formatCode="0.00">
                  <c:v>-7.973760191910336</c:v>
                </c:pt>
                <c:pt idx="1595" formatCode="0.00">
                  <c:v>-5.2803857726459009</c:v>
                </c:pt>
                <c:pt idx="1596" formatCode="0.00">
                  <c:v>-7.3444529651553525</c:v>
                </c:pt>
                <c:pt idx="1599" formatCode="0.00">
                  <c:v>-7.7216818316114759</c:v>
                </c:pt>
                <c:pt idx="1601" formatCode="0.00">
                  <c:v>-6.9651479900900215</c:v>
                </c:pt>
                <c:pt idx="1607" formatCode="0.00">
                  <c:v>-7.821367626057957</c:v>
                </c:pt>
                <c:pt idx="1608" formatCode="0.00">
                  <c:v>-8.222012412982437</c:v>
                </c:pt>
                <c:pt idx="1614" formatCode="0.00">
                  <c:v>-8.5714324164217697</c:v>
                </c:pt>
                <c:pt idx="1615" formatCode="0.00">
                  <c:v>-7.308186662092977</c:v>
                </c:pt>
                <c:pt idx="1617" formatCode="0.00">
                  <c:v>-8.2711730380103052</c:v>
                </c:pt>
                <c:pt idx="1620" formatCode="0.00">
                  <c:v>-6.8643942529007846</c:v>
                </c:pt>
                <c:pt idx="1622" formatCode="0.00">
                  <c:v>-7.705723003561487</c:v>
                </c:pt>
                <c:pt idx="1623" formatCode="0.00">
                  <c:v>-7.9180903219869574</c:v>
                </c:pt>
                <c:pt idx="1625" formatCode="0.00">
                  <c:v>-6.0368433114310243</c:v>
                </c:pt>
                <c:pt idx="1628" formatCode="0.00">
                  <c:v>-8.4040700412209386</c:v>
                </c:pt>
                <c:pt idx="1634" formatCode="0.00">
                  <c:v>-8.8017005013715988</c:v>
                </c:pt>
                <c:pt idx="1637" formatCode="0.00">
                  <c:v>-5.8577957040276614</c:v>
                </c:pt>
                <c:pt idx="1641" formatCode="0.00">
                  <c:v>-7.9340163776198613</c:v>
                </c:pt>
                <c:pt idx="1644" formatCode="0.00">
                  <c:v>-8.6911830864424502</c:v>
                </c:pt>
                <c:pt idx="1647" formatCode="0.00">
                  <c:v>-9.3456781873529486</c:v>
                </c:pt>
                <c:pt idx="1648" formatCode="0.00">
                  <c:v>-7.5534678055133737</c:v>
                </c:pt>
                <c:pt idx="1650" formatCode="0.00">
                  <c:v>-9.3946816080204272</c:v>
                </c:pt>
                <c:pt idx="1657" formatCode="0.00">
                  <c:v>-9.1561675331574257</c:v>
                </c:pt>
                <c:pt idx="1660" formatCode="0.00">
                  <c:v>-5.8621122929042819</c:v>
                </c:pt>
                <c:pt idx="1662" formatCode="0.00">
                  <c:v>-7.9162790441683715</c:v>
                </c:pt>
                <c:pt idx="1665" formatCode="0.00">
                  <c:v>-8.2745131420743903</c:v>
                </c:pt>
                <c:pt idx="1673" formatCode="0.00">
                  <c:v>-7.351500025260413</c:v>
                </c:pt>
                <c:pt idx="1674" formatCode="0.00">
                  <c:v>-8.1354607307639526</c:v>
                </c:pt>
                <c:pt idx="1682" formatCode="0.00">
                  <c:v>-8.6570195246103463</c:v>
                </c:pt>
                <c:pt idx="1683" formatCode="0.00">
                  <c:v>-9.6010969068119429</c:v>
                </c:pt>
                <c:pt idx="1684" formatCode="0.00">
                  <c:v>-9.5005637016132898</c:v>
                </c:pt>
                <c:pt idx="1685" formatCode="0.00">
                  <c:v>-6.8685821647544127</c:v>
                </c:pt>
                <c:pt idx="1689" formatCode="0.00">
                  <c:v>-7.5304632892740946</c:v>
                </c:pt>
                <c:pt idx="1691" formatCode="0.00">
                  <c:v>-6.8861411451442329</c:v>
                </c:pt>
                <c:pt idx="1694" formatCode="0.00">
                  <c:v>-7.5683151651984515</c:v>
                </c:pt>
                <c:pt idx="1696" formatCode="0.00">
                  <c:v>-6.5083627862229161</c:v>
                </c:pt>
                <c:pt idx="1697" formatCode="0.00">
                  <c:v>-8.0631534578898467</c:v>
                </c:pt>
                <c:pt idx="1699" formatCode="0.00">
                  <c:v>-9.5403794042519756</c:v>
                </c:pt>
                <c:pt idx="1701" formatCode="0.00">
                  <c:v>-6.0048182857415782</c:v>
                </c:pt>
                <c:pt idx="1702" formatCode="0.00">
                  <c:v>-6.9618204582589716</c:v>
                </c:pt>
                <c:pt idx="1707" formatCode="0.00">
                  <c:v>-6.933370289101692</c:v>
                </c:pt>
                <c:pt idx="1708" formatCode="0.00">
                  <c:v>-7.2471623986770242</c:v>
                </c:pt>
                <c:pt idx="1715" formatCode="0.00">
                  <c:v>-6.2625373473426542</c:v>
                </c:pt>
                <c:pt idx="1716" formatCode="0.00">
                  <c:v>-4.994534883311661</c:v>
                </c:pt>
                <c:pt idx="1717" formatCode="0.00">
                  <c:v>-6.2329414608975968</c:v>
                </c:pt>
                <c:pt idx="1720" formatCode="0.00">
                  <c:v>-6.1729722204077939</c:v>
                </c:pt>
                <c:pt idx="1722" formatCode="0.00">
                  <c:v>-6.076775042000568</c:v>
                </c:pt>
                <c:pt idx="1724" formatCode="0.00">
                  <c:v>-9.1138842144158794</c:v>
                </c:pt>
                <c:pt idx="1727" formatCode="0.00">
                  <c:v>-8.0533377664748595</c:v>
                </c:pt>
                <c:pt idx="1729" formatCode="0.00">
                  <c:v>-7.5896016426056896</c:v>
                </c:pt>
                <c:pt idx="1730" formatCode="0.00">
                  <c:v>-7.4079806790975296</c:v>
                </c:pt>
                <c:pt idx="1731" formatCode="0.00">
                  <c:v>-6.870896688209875</c:v>
                </c:pt>
                <c:pt idx="1735" formatCode="0.00">
                  <c:v>-6.8454160888961448</c:v>
                </c:pt>
                <c:pt idx="1736" formatCode="0.00">
                  <c:v>-6.7371834783648756</c:v>
                </c:pt>
                <c:pt idx="1741" formatCode="0.00">
                  <c:v>-4.9511276485252944</c:v>
                </c:pt>
                <c:pt idx="1743" formatCode="0.00">
                  <c:v>-4.6638607343338441</c:v>
                </c:pt>
                <c:pt idx="1744" formatCode="0.00">
                  <c:v>-7.343858594706969</c:v>
                </c:pt>
                <c:pt idx="1749" formatCode="0.00">
                  <c:v>-9.3742177369442814</c:v>
                </c:pt>
                <c:pt idx="1756" formatCode="0.00">
                  <c:v>-6.3951928753405243</c:v>
                </c:pt>
                <c:pt idx="1760" formatCode="0.00">
                  <c:v>-8.2387935290938206</c:v>
                </c:pt>
                <c:pt idx="1761" formatCode="0.00">
                  <c:v>-7.1901969130112189</c:v>
                </c:pt>
                <c:pt idx="1765" formatCode="0.00">
                  <c:v>-6.8205110630688965</c:v>
                </c:pt>
                <c:pt idx="1768" formatCode="0.00">
                  <c:v>-8.2724008302194711</c:v>
                </c:pt>
                <c:pt idx="1774" formatCode="0.00">
                  <c:v>-7.3821228969140158</c:v>
                </c:pt>
                <c:pt idx="1775" formatCode="0.00">
                  <c:v>-7.6062593537833765</c:v>
                </c:pt>
                <c:pt idx="1785" formatCode="0.00">
                  <c:v>-7.52534958442339</c:v>
                </c:pt>
                <c:pt idx="1786" formatCode="0.00">
                  <c:v>-8.4974482973726762</c:v>
                </c:pt>
                <c:pt idx="1787" formatCode="0.00">
                  <c:v>-6.5241862364117793</c:v>
                </c:pt>
                <c:pt idx="1788" formatCode="0.00">
                  <c:v>-6.4776563353797316</c:v>
                </c:pt>
                <c:pt idx="1790" formatCode="0.00">
                  <c:v>-7.0365288437588376</c:v>
                </c:pt>
                <c:pt idx="1793" formatCode="0.00">
                  <c:v>-8.5468102423136543</c:v>
                </c:pt>
                <c:pt idx="1803" formatCode="0.00">
                  <c:v>-8.0497734521254216</c:v>
                </c:pt>
                <c:pt idx="1806" formatCode="0.00">
                  <c:v>-9.2619439474652001</c:v>
                </c:pt>
                <c:pt idx="1814" formatCode="0.00">
                  <c:v>-8.854259873387095</c:v>
                </c:pt>
                <c:pt idx="1817" formatCode="0.00">
                  <c:v>-5.9959711009401602</c:v>
                </c:pt>
                <c:pt idx="1820" formatCode="0.00">
                  <c:v>-8.7512341174801076</c:v>
                </c:pt>
                <c:pt idx="1823" formatCode="0.00">
                  <c:v>-8.2041818103839894</c:v>
                </c:pt>
                <c:pt idx="1827" formatCode="0.00">
                  <c:v>-6.3410318424665979</c:v>
                </c:pt>
                <c:pt idx="1828" formatCode="0.00">
                  <c:v>-7.7981583534357934</c:v>
                </c:pt>
                <c:pt idx="1829" formatCode="0.00">
                  <c:v>-6.8199929917383484</c:v>
                </c:pt>
                <c:pt idx="1833" formatCode="0.00">
                  <c:v>-7.5792285035876068</c:v>
                </c:pt>
                <c:pt idx="1843" formatCode="0.00">
                  <c:v>-6.1235770344958196</c:v>
                </c:pt>
                <c:pt idx="1844" formatCode="0.00">
                  <c:v>-6.3379627304148896</c:v>
                </c:pt>
                <c:pt idx="1853" formatCode="0.00">
                  <c:v>-7.4404871902956353</c:v>
                </c:pt>
                <c:pt idx="1854" formatCode="0.00">
                  <c:v>-7.5111892309776769</c:v>
                </c:pt>
                <c:pt idx="1855" formatCode="0.00">
                  <c:v>-7.2552081225136877</c:v>
                </c:pt>
                <c:pt idx="1859" formatCode="0.00">
                  <c:v>-6.8503498452462033</c:v>
                </c:pt>
                <c:pt idx="1862" formatCode="0.00">
                  <c:v>-7.3412826328160286</c:v>
                </c:pt>
                <c:pt idx="1867" formatCode="0.00">
                  <c:v>-9.8132139779648853</c:v>
                </c:pt>
                <c:pt idx="1870" formatCode="0.00">
                  <c:v>-7.2026394651958148</c:v>
                </c:pt>
                <c:pt idx="1871" formatCode="0.00">
                  <c:v>-6.6867069794702489</c:v>
                </c:pt>
                <c:pt idx="1873" formatCode="0.00">
                  <c:v>-6.9674832861240885</c:v>
                </c:pt>
                <c:pt idx="1876" formatCode="0.00">
                  <c:v>-8.4018220721458707</c:v>
                </c:pt>
                <c:pt idx="1879" formatCode="0.00">
                  <c:v>-8.4341576806105785</c:v>
                </c:pt>
                <c:pt idx="1882" formatCode="0.00">
                  <c:v>-6.8488563096454405</c:v>
                </c:pt>
                <c:pt idx="1883" formatCode="0.00">
                  <c:v>-8.0365250425876695</c:v>
                </c:pt>
                <c:pt idx="1891" formatCode="0.00">
                  <c:v>-9.9711889819999762</c:v>
                </c:pt>
                <c:pt idx="1893" formatCode="0.00">
                  <c:v>-7.7543552949453307</c:v>
                </c:pt>
                <c:pt idx="1894" formatCode="0.00">
                  <c:v>-8.1704641095321904</c:v>
                </c:pt>
                <c:pt idx="1899" formatCode="0.00">
                  <c:v>-7.8890531252463276</c:v>
                </c:pt>
                <c:pt idx="1903" formatCode="0.00">
                  <c:v>-7.28556201761082</c:v>
                </c:pt>
                <c:pt idx="1906" formatCode="0.00">
                  <c:v>-7.1924383006758887</c:v>
                </c:pt>
                <c:pt idx="1910" formatCode="0.00">
                  <c:v>-6.8545122348780225</c:v>
                </c:pt>
                <c:pt idx="1911" formatCode="0.00">
                  <c:v>-6.5760134360867619</c:v>
                </c:pt>
                <c:pt idx="1912" formatCode="0.00">
                  <c:v>-8.3643248689568122</c:v>
                </c:pt>
                <c:pt idx="1921" formatCode="0.00">
                  <c:v>-10.354902201967608</c:v>
                </c:pt>
                <c:pt idx="1926" formatCode="0.00">
                  <c:v>-8.0307295220586834</c:v>
                </c:pt>
                <c:pt idx="1927" formatCode="0.00">
                  <c:v>-7.7476039982287439</c:v>
                </c:pt>
                <c:pt idx="1933" formatCode="0.00">
                  <c:v>-6.241903529101819</c:v>
                </c:pt>
                <c:pt idx="1935" formatCode="0.00">
                  <c:v>-7.5290606810355625</c:v>
                </c:pt>
                <c:pt idx="1939" formatCode="0.00">
                  <c:v>-8.9531635398073757</c:v>
                </c:pt>
                <c:pt idx="1940" formatCode="0.00">
                  <c:v>-8.5484355991278527</c:v>
                </c:pt>
                <c:pt idx="1941" formatCode="0.00">
                  <c:v>-6.7487386464026455</c:v>
                </c:pt>
                <c:pt idx="1946" formatCode="0.00">
                  <c:v>-7.4485236467718323</c:v>
                </c:pt>
                <c:pt idx="1954" formatCode="0.00">
                  <c:v>-7.4033553541414188</c:v>
                </c:pt>
                <c:pt idx="1957" formatCode="0.00">
                  <c:v>-8.1793635200057224</c:v>
                </c:pt>
                <c:pt idx="1960" formatCode="0.00">
                  <c:v>-8.4925439721767582</c:v>
                </c:pt>
                <c:pt idx="1965" formatCode="0.00">
                  <c:v>-8.8064642943342566</c:v>
                </c:pt>
                <c:pt idx="1971" formatCode="0.00">
                  <c:v>-8.5693610696724392</c:v>
                </c:pt>
                <c:pt idx="1974" formatCode="0.00">
                  <c:v>-7.3748203601417828</c:v>
                </c:pt>
                <c:pt idx="1975" formatCode="0.00">
                  <c:v>-8.8865571599616295</c:v>
                </c:pt>
                <c:pt idx="1981" formatCode="0.00">
                  <c:v>-8.2916950636945721</c:v>
                </c:pt>
                <c:pt idx="1982" formatCode="0.00">
                  <c:v>-5.557081459631096</c:v>
                </c:pt>
                <c:pt idx="1983" formatCode="0.00">
                  <c:v>-6.5338262966638343</c:v>
                </c:pt>
                <c:pt idx="1987" formatCode="0.00">
                  <c:v>-7.1740485188760621</c:v>
                </c:pt>
                <c:pt idx="1989" formatCode="0.00">
                  <c:v>-7.5358775290572275</c:v>
                </c:pt>
                <c:pt idx="1990" formatCode="0.00">
                  <c:v>-8.8328931352061684</c:v>
                </c:pt>
                <c:pt idx="1994" formatCode="0.00">
                  <c:v>-4.6920870471946285</c:v>
                </c:pt>
                <c:pt idx="1995" formatCode="0.00">
                  <c:v>-8.1949500644597872</c:v>
                </c:pt>
                <c:pt idx="2001" formatCode="0.00">
                  <c:v>-6.5256492338551304</c:v>
                </c:pt>
                <c:pt idx="2002" formatCode="0.00">
                  <c:v>-7.7429318653607702</c:v>
                </c:pt>
                <c:pt idx="2005" formatCode="0.00">
                  <c:v>-9.0521747651536213</c:v>
                </c:pt>
                <c:pt idx="2006" formatCode="0.00">
                  <c:v>-7.1265091174706896</c:v>
                </c:pt>
                <c:pt idx="2017" formatCode="0.00">
                  <c:v>-7.4428723845588802</c:v>
                </c:pt>
                <c:pt idx="2021" formatCode="0.00">
                  <c:v>-8.5664465313168421</c:v>
                </c:pt>
                <c:pt idx="2025" formatCode="0.00">
                  <c:v>-8.9543282022590791</c:v>
                </c:pt>
                <c:pt idx="2026" formatCode="0.00">
                  <c:v>-7.8497001101882864</c:v>
                </c:pt>
                <c:pt idx="2027" formatCode="0.00">
                  <c:v>-7.2889597729517446</c:v>
                </c:pt>
                <c:pt idx="2028" formatCode="0.00">
                  <c:v>-7.970620092744614</c:v>
                </c:pt>
                <c:pt idx="2029" formatCode="0.00">
                  <c:v>-7.5195092727089401</c:v>
                </c:pt>
                <c:pt idx="2030" formatCode="0.00">
                  <c:v>-8.3347827081405548</c:v>
                </c:pt>
                <c:pt idx="2035" formatCode="0.00">
                  <c:v>-7.525135998533707</c:v>
                </c:pt>
                <c:pt idx="2037" formatCode="0.00">
                  <c:v>-7.5030114682747397</c:v>
                </c:pt>
                <c:pt idx="2046" formatCode="0.00">
                  <c:v>-8.2174611968583449</c:v>
                </c:pt>
                <c:pt idx="2050" formatCode="0.00">
                  <c:v>-7.9718365906303292</c:v>
                </c:pt>
                <c:pt idx="2052" formatCode="0.00">
                  <c:v>-7.7782965409762532</c:v>
                </c:pt>
                <c:pt idx="2054" formatCode="0.00">
                  <c:v>-6.9326200492960162</c:v>
                </c:pt>
                <c:pt idx="2055" formatCode="0.00">
                  <c:v>-7.7423778330118402</c:v>
                </c:pt>
                <c:pt idx="2058" formatCode="0.00">
                  <c:v>-7.6877921498444168</c:v>
                </c:pt>
                <c:pt idx="2061" formatCode="0.00">
                  <c:v>-8.1141116728824141</c:v>
                </c:pt>
                <c:pt idx="2064" formatCode="0.00">
                  <c:v>-5.4056514171444245</c:v>
                </c:pt>
                <c:pt idx="2065" formatCode="0.00">
                  <c:v>-6.565784112019216</c:v>
                </c:pt>
                <c:pt idx="2066" formatCode="0.00">
                  <c:v>-7.6937693887697094</c:v>
                </c:pt>
                <c:pt idx="2070" formatCode="0.00">
                  <c:v>-6.9002985012674607</c:v>
                </c:pt>
                <c:pt idx="2073" formatCode="0.00">
                  <c:v>-7.5463377640182792</c:v>
                </c:pt>
                <c:pt idx="2074" formatCode="0.00">
                  <c:v>-6.3180898819708506</c:v>
                </c:pt>
                <c:pt idx="2079" formatCode="0.00">
                  <c:v>-7.4201669686883829</c:v>
                </c:pt>
                <c:pt idx="2080" formatCode="0.00">
                  <c:v>-8.1248078330998688</c:v>
                </c:pt>
                <c:pt idx="2084" formatCode="0.00">
                  <c:v>-5.6347741733368153</c:v>
                </c:pt>
                <c:pt idx="2085" formatCode="0.00">
                  <c:v>-6.8509969252660969</c:v>
                </c:pt>
                <c:pt idx="2087" formatCode="0.00">
                  <c:v>-6.8722078347998421</c:v>
                </c:pt>
                <c:pt idx="2089" formatCode="0.00">
                  <c:v>-6.9978895681212983</c:v>
                </c:pt>
                <c:pt idx="2090" formatCode="0.00">
                  <c:v>-7.533503746545879</c:v>
                </c:pt>
                <c:pt idx="2094" formatCode="0.00">
                  <c:v>-5.5684034706686623</c:v>
                </c:pt>
                <c:pt idx="2095" formatCode="0.00">
                  <c:v>-6.6674576140016564</c:v>
                </c:pt>
                <c:pt idx="2096" formatCode="0.00">
                  <c:v>-6.3316188150025159</c:v>
                </c:pt>
                <c:pt idx="2101" formatCode="0.00">
                  <c:v>-7.507529522030147</c:v>
                </c:pt>
                <c:pt idx="2103" formatCode="0.00">
                  <c:v>-8.2158163967994735</c:v>
                </c:pt>
                <c:pt idx="2106" formatCode="0.00">
                  <c:v>-8.0046846756038299</c:v>
                </c:pt>
                <c:pt idx="2113" formatCode="0.00">
                  <c:v>-6.0587292961449375</c:v>
                </c:pt>
                <c:pt idx="2114" formatCode="0.00">
                  <c:v>-4.9235785933667726</c:v>
                </c:pt>
                <c:pt idx="2119" formatCode="0.00">
                  <c:v>-6.015537019540524</c:v>
                </c:pt>
                <c:pt idx="2125" formatCode="0.00">
                  <c:v>-5.7237790171684422</c:v>
                </c:pt>
                <c:pt idx="2132" formatCode="0.00">
                  <c:v>-7.660296287052649</c:v>
                </c:pt>
                <c:pt idx="2134" formatCode="0.00">
                  <c:v>-9.0282871445131399</c:v>
                </c:pt>
                <c:pt idx="2135" formatCode="0.00">
                  <c:v>-7.1238966183271684</c:v>
                </c:pt>
                <c:pt idx="2138" formatCode="0.00">
                  <c:v>-5.5531237680095726</c:v>
                </c:pt>
                <c:pt idx="2142" formatCode="0.00">
                  <c:v>-7.8651730289494628</c:v>
                </c:pt>
                <c:pt idx="2145" formatCode="0.00">
                  <c:v>-5.9460725987637177</c:v>
                </c:pt>
                <c:pt idx="2153" formatCode="0.00">
                  <c:v>-8.0490360568786876</c:v>
                </c:pt>
                <c:pt idx="2156" formatCode="0.00">
                  <c:v>-6.8836953733537181</c:v>
                </c:pt>
                <c:pt idx="2157" formatCode="0.00">
                  <c:v>-6.1732762297757402</c:v>
                </c:pt>
                <c:pt idx="2159" formatCode="0.00">
                  <c:v>-9.626284353630286</c:v>
                </c:pt>
                <c:pt idx="2162" formatCode="0.00">
                  <c:v>-7.0449181664918452</c:v>
                </c:pt>
                <c:pt idx="2165" formatCode="0.00">
                  <c:v>-8.3536399175864187</c:v>
                </c:pt>
                <c:pt idx="2166" formatCode="0.00">
                  <c:v>-9.6774799548572208</c:v>
                </c:pt>
                <c:pt idx="2173" formatCode="0.00">
                  <c:v>-7.7491265603964452</c:v>
                </c:pt>
                <c:pt idx="2177" formatCode="0.00">
                  <c:v>-8.4865020147556205</c:v>
                </c:pt>
                <c:pt idx="2178" formatCode="0.00">
                  <c:v>-8.4293714035845486</c:v>
                </c:pt>
                <c:pt idx="2179" formatCode="0.00">
                  <c:v>-6.9925429304672884</c:v>
                </c:pt>
                <c:pt idx="2182" formatCode="0.00">
                  <c:v>-6.4472649412963943</c:v>
                </c:pt>
                <c:pt idx="2189" formatCode="0.00">
                  <c:v>-7.1913250430037907</c:v>
                </c:pt>
                <c:pt idx="2193" formatCode="0.00">
                  <c:v>-8.3036289421950737</c:v>
                </c:pt>
                <c:pt idx="2202" formatCode="0.00">
                  <c:v>-8.0892598469673285</c:v>
                </c:pt>
                <c:pt idx="2205" formatCode="0.00">
                  <c:v>-7.5323658439792416</c:v>
                </c:pt>
                <c:pt idx="2210" formatCode="0.00">
                  <c:v>-8.2892337898608783</c:v>
                </c:pt>
                <c:pt idx="2212" formatCode="0.00">
                  <c:v>-7.0276324327740074</c:v>
                </c:pt>
                <c:pt idx="2218" formatCode="0.00">
                  <c:v>-7.9619408380764849</c:v>
                </c:pt>
                <c:pt idx="2220" formatCode="0.00">
                  <c:v>-6.4675708040775302</c:v>
                </c:pt>
                <c:pt idx="2221" formatCode="0.00">
                  <c:v>-6.1328016192221613</c:v>
                </c:pt>
                <c:pt idx="2223" formatCode="0.00">
                  <c:v>-7.4200350804807425</c:v>
                </c:pt>
                <c:pt idx="2225" formatCode="0.00">
                  <c:v>-6.5371979721075153</c:v>
                </c:pt>
                <c:pt idx="2227" formatCode="0.00">
                  <c:v>-6.9277408478863194</c:v>
                </c:pt>
                <c:pt idx="2228" formatCode="0.00">
                  <c:v>-10.169145779060313</c:v>
                </c:pt>
                <c:pt idx="2233" formatCode="0.00">
                  <c:v>-7.2496252830852725</c:v>
                </c:pt>
                <c:pt idx="2236" formatCode="0.00">
                  <c:v>-10.26843035163555</c:v>
                </c:pt>
                <c:pt idx="2237" formatCode="0.00">
                  <c:v>-7.5259397485484536</c:v>
                </c:pt>
                <c:pt idx="2240" formatCode="0.00">
                  <c:v>-10.603018436879625</c:v>
                </c:pt>
                <c:pt idx="2243" formatCode="0.00">
                  <c:v>-7.3619977439819531</c:v>
                </c:pt>
                <c:pt idx="2244" formatCode="0.00">
                  <c:v>-5.7612064720232539</c:v>
                </c:pt>
                <c:pt idx="2245" formatCode="0.00">
                  <c:v>-8.385575685165513</c:v>
                </c:pt>
                <c:pt idx="2250" formatCode="0.00">
                  <c:v>-5.6942056193304094</c:v>
                </c:pt>
                <c:pt idx="2251" formatCode="0.00">
                  <c:v>-5.7981791810497487</c:v>
                </c:pt>
                <c:pt idx="2258" formatCode="0.00">
                  <c:v>-7.620175740685089</c:v>
                </c:pt>
                <c:pt idx="2263" formatCode="0.00">
                  <c:v>-9.6610714886602054</c:v>
                </c:pt>
                <c:pt idx="2265" formatCode="0.00">
                  <c:v>-8.3775941936947724</c:v>
                </c:pt>
                <c:pt idx="2266" formatCode="0.00">
                  <c:v>-6.591685385936608</c:v>
                </c:pt>
                <c:pt idx="2270" formatCode="0.00">
                  <c:v>-7.8644759017698629</c:v>
                </c:pt>
                <c:pt idx="2273" formatCode="0.00">
                  <c:v>-7.589007506385685</c:v>
                </c:pt>
                <c:pt idx="2274" formatCode="0.00">
                  <c:v>-9.7694903095169661</c:v>
                </c:pt>
                <c:pt idx="2277" formatCode="0.00">
                  <c:v>-7.9086024628434011</c:v>
                </c:pt>
                <c:pt idx="2281" formatCode="0.00">
                  <c:v>-7.0112929865076472</c:v>
                </c:pt>
                <c:pt idx="2283" formatCode="0.00">
                  <c:v>-7.5595235513477457</c:v>
                </c:pt>
                <c:pt idx="2287" formatCode="0.00">
                  <c:v>-8.1508226483880399</c:v>
                </c:pt>
                <c:pt idx="2288" formatCode="0.00">
                  <c:v>-7.6795738664297177</c:v>
                </c:pt>
                <c:pt idx="2292" formatCode="0.00">
                  <c:v>-9.1374591394510052</c:v>
                </c:pt>
                <c:pt idx="2293" formatCode="0.00">
                  <c:v>-7.4525984598902211</c:v>
                </c:pt>
                <c:pt idx="2296" formatCode="0.00">
                  <c:v>-9.0163570268941928</c:v>
                </c:pt>
                <c:pt idx="2299" formatCode="0.00">
                  <c:v>-7.1597633088517734</c:v>
                </c:pt>
                <c:pt idx="2300" formatCode="0.00">
                  <c:v>-7.857596995003866</c:v>
                </c:pt>
                <c:pt idx="2301" formatCode="0.00">
                  <c:v>-7.7642173951477806</c:v>
                </c:pt>
                <c:pt idx="2306" formatCode="0.00">
                  <c:v>-7.5660112708352631</c:v>
                </c:pt>
                <c:pt idx="2309" formatCode="0.00">
                  <c:v>-8.2715844884489922</c:v>
                </c:pt>
                <c:pt idx="2311" formatCode="0.00">
                  <c:v>-7.9578712521954804</c:v>
                </c:pt>
                <c:pt idx="2317" formatCode="0.00">
                  <c:v>-9.5575955519575206</c:v>
                </c:pt>
                <c:pt idx="2318" formatCode="0.00">
                  <c:v>-6.7884458243140413</c:v>
                </c:pt>
                <c:pt idx="2321" formatCode="0.00">
                  <c:v>-8.2059969505481938</c:v>
                </c:pt>
                <c:pt idx="2325" formatCode="0.00">
                  <c:v>-6.8994734839998477</c:v>
                </c:pt>
                <c:pt idx="2330" formatCode="0.00">
                  <c:v>-8.3983984533373253</c:v>
                </c:pt>
                <c:pt idx="2333" formatCode="0.00">
                  <c:v>-7.2746861989555027</c:v>
                </c:pt>
                <c:pt idx="2335" formatCode="0.00">
                  <c:v>-7.7338023042945672</c:v>
                </c:pt>
                <c:pt idx="2336" formatCode="0.00">
                  <c:v>-7.7542786902412972</c:v>
                </c:pt>
                <c:pt idx="2338" formatCode="0.00">
                  <c:v>-7.0153141181956382</c:v>
                </c:pt>
                <c:pt idx="2346" formatCode="0.00">
                  <c:v>-6.2129122102338306</c:v>
                </c:pt>
                <c:pt idx="2347" formatCode="0.00">
                  <c:v>-8.517484367735479</c:v>
                </c:pt>
                <c:pt idx="2351" formatCode="0.00">
                  <c:v>-6.2357956261230258</c:v>
                </c:pt>
                <c:pt idx="2352" formatCode="0.00">
                  <c:v>-7.4435038990674265</c:v>
                </c:pt>
                <c:pt idx="2356" formatCode="0.00">
                  <c:v>-5.8736242139051837</c:v>
                </c:pt>
                <c:pt idx="2358" formatCode="0.00">
                  <c:v>-7.6408656735427449</c:v>
                </c:pt>
                <c:pt idx="2359" formatCode="0.00">
                  <c:v>-7.0860279750861341</c:v>
                </c:pt>
                <c:pt idx="2369" formatCode="0.00">
                  <c:v>-8.3381497322086258</c:v>
                </c:pt>
                <c:pt idx="2373" formatCode="0.00">
                  <c:v>-7.6718623382591842</c:v>
                </c:pt>
                <c:pt idx="2375" formatCode="0.00">
                  <c:v>-7.6841721511269023</c:v>
                </c:pt>
                <c:pt idx="2379" formatCode="0.00">
                  <c:v>-6.7573138304197897</c:v>
                </c:pt>
                <c:pt idx="2381" formatCode="0.00">
                  <c:v>-9.5421967877416307</c:v>
                </c:pt>
                <c:pt idx="2382" formatCode="0.00">
                  <c:v>-7.2041739710377755</c:v>
                </c:pt>
                <c:pt idx="2383" formatCode="0.00">
                  <c:v>-9.1163504400550366</c:v>
                </c:pt>
                <c:pt idx="2388" formatCode="0.00">
                  <c:v>-9.3649826502134044</c:v>
                </c:pt>
                <c:pt idx="2389" formatCode="0.00">
                  <c:v>-7.4140968405359837</c:v>
                </c:pt>
                <c:pt idx="2395" formatCode="0.00">
                  <c:v>-9.4456957381835522</c:v>
                </c:pt>
                <c:pt idx="2398" formatCode="0.00">
                  <c:v>-7.5909166275697144</c:v>
                </c:pt>
                <c:pt idx="2400" formatCode="0.00">
                  <c:v>-7.713827239736804</c:v>
                </c:pt>
                <c:pt idx="2401" formatCode="0.00">
                  <c:v>-8.7226982311825711</c:v>
                </c:pt>
                <c:pt idx="2404" formatCode="0.00">
                  <c:v>-8.4502279911238158</c:v>
                </c:pt>
                <c:pt idx="2407" formatCode="0.00">
                  <c:v>-4.9865206264074118</c:v>
                </c:pt>
                <c:pt idx="2408" formatCode="0.00">
                  <c:v>-8.0088844282993055</c:v>
                </c:pt>
                <c:pt idx="2409" formatCode="0.00">
                  <c:v>-6.4947401351882661</c:v>
                </c:pt>
                <c:pt idx="2411" formatCode="0.00">
                  <c:v>-7.0469758985581397</c:v>
                </c:pt>
                <c:pt idx="2412" formatCode="0.00">
                  <c:v>-6.7281758017288293</c:v>
                </c:pt>
                <c:pt idx="2416" formatCode="0.00">
                  <c:v>-7.60162753853783</c:v>
                </c:pt>
                <c:pt idx="2417" formatCode="0.00">
                  <c:v>-6.8612586862148399</c:v>
                </c:pt>
                <c:pt idx="2420" formatCode="0.00">
                  <c:v>-6.9768177526228348</c:v>
                </c:pt>
                <c:pt idx="2423" formatCode="0.00">
                  <c:v>-9.0047753879394765</c:v>
                </c:pt>
                <c:pt idx="2424" formatCode="0.00">
                  <c:v>-7.7221131067430218</c:v>
                </c:pt>
                <c:pt idx="2429" formatCode="0.00">
                  <c:v>-8.0875356182489462</c:v>
                </c:pt>
                <c:pt idx="2431" formatCode="0.00">
                  <c:v>-6.5513775289870315</c:v>
                </c:pt>
                <c:pt idx="2433" formatCode="0.00">
                  <c:v>-7.1030173981848455</c:v>
                </c:pt>
                <c:pt idx="2434" formatCode="0.00">
                  <c:v>-9.4336800801662211</c:v>
                </c:pt>
                <c:pt idx="2435" formatCode="0.00">
                  <c:v>-5.7713005551523038</c:v>
                </c:pt>
                <c:pt idx="2437" formatCode="0.00">
                  <c:v>-7.334997052032608</c:v>
                </c:pt>
                <c:pt idx="2446" formatCode="0.00">
                  <c:v>-6.8475548824262908</c:v>
                </c:pt>
                <c:pt idx="2447" formatCode="0.00">
                  <c:v>-7.8356486936164007</c:v>
                </c:pt>
                <c:pt idx="2449" formatCode="0.00">
                  <c:v>-6.4863914266207834</c:v>
                </c:pt>
                <c:pt idx="2451" formatCode="0.00">
                  <c:v>-7.2839171560907712</c:v>
                </c:pt>
                <c:pt idx="2453" formatCode="0.00">
                  <c:v>-7.7647576683677055</c:v>
                </c:pt>
                <c:pt idx="2458" formatCode="0.00">
                  <c:v>-7.8707220175680925</c:v>
                </c:pt>
                <c:pt idx="2462" formatCode="0.00">
                  <c:v>-8.2616825973951116</c:v>
                </c:pt>
                <c:pt idx="2463" formatCode="0.00">
                  <c:v>-6.9138442436790681</c:v>
                </c:pt>
                <c:pt idx="2470" formatCode="0.00">
                  <c:v>-6.2476029943218681</c:v>
                </c:pt>
                <c:pt idx="2472" formatCode="0.00">
                  <c:v>-7.4400236113061853</c:v>
                </c:pt>
                <c:pt idx="2474" formatCode="0.00">
                  <c:v>-9.4620013498178785</c:v>
                </c:pt>
                <c:pt idx="2484" formatCode="0.00">
                  <c:v>-8.0201728957307559</c:v>
                </c:pt>
                <c:pt idx="2486" formatCode="0.00">
                  <c:v>-7.996575788441926</c:v>
                </c:pt>
                <c:pt idx="2493" formatCode="0.00">
                  <c:v>-7.8150492782180381</c:v>
                </c:pt>
                <c:pt idx="2498" formatCode="0.00">
                  <c:v>-7.7864342007418426</c:v>
                </c:pt>
                <c:pt idx="2502" formatCode="0.00">
                  <c:v>-7.103357054224265</c:v>
                </c:pt>
                <c:pt idx="2506" formatCode="0.00">
                  <c:v>-8.55614567887406</c:v>
                </c:pt>
                <c:pt idx="2511" formatCode="0.00">
                  <c:v>-8.5763844472637096</c:v>
                </c:pt>
                <c:pt idx="2516" formatCode="0.00">
                  <c:v>-5.9846331317724877</c:v>
                </c:pt>
                <c:pt idx="2518" formatCode="0.00">
                  <c:v>-6.2665606526648361</c:v>
                </c:pt>
                <c:pt idx="2519" formatCode="0.00">
                  <c:v>-5.7420770089118394</c:v>
                </c:pt>
                <c:pt idx="2522" formatCode="0.00">
                  <c:v>-7.5408181621226067</c:v>
                </c:pt>
                <c:pt idx="2526" formatCode="0.00">
                  <c:v>-6.0405443239328722</c:v>
                </c:pt>
                <c:pt idx="2527" formatCode="0.00">
                  <c:v>-9.9005247633229008</c:v>
                </c:pt>
                <c:pt idx="2536" formatCode="0.00">
                  <c:v>-7.6926799443244933</c:v>
                </c:pt>
                <c:pt idx="2547" formatCode="0.00">
                  <c:v>-6.8316777818639869</c:v>
                </c:pt>
                <c:pt idx="2548" formatCode="0.00">
                  <c:v>-8.3499104239072945</c:v>
                </c:pt>
                <c:pt idx="2553" formatCode="0.00">
                  <c:v>-7.3363526172486866</c:v>
                </c:pt>
                <c:pt idx="2554" formatCode="0.00">
                  <c:v>-6.9527900624475976</c:v>
                </c:pt>
                <c:pt idx="2564" formatCode="0.00">
                  <c:v>-8.8751086235450884</c:v>
                </c:pt>
                <c:pt idx="2569" formatCode="0.00">
                  <c:v>-8.5098543226040899</c:v>
                </c:pt>
                <c:pt idx="2572" formatCode="0.00">
                  <c:v>-6.3858292131405063</c:v>
                </c:pt>
                <c:pt idx="2577" formatCode="0.00">
                  <c:v>-5.0644922480588059</c:v>
                </c:pt>
                <c:pt idx="2579" formatCode="0.00">
                  <c:v>-7.8438576030454676</c:v>
                </c:pt>
                <c:pt idx="2583" formatCode="0.00">
                  <c:v>-6.812234984283922</c:v>
                </c:pt>
                <c:pt idx="2584" formatCode="0.00">
                  <c:v>-6.1104922501586012</c:v>
                </c:pt>
                <c:pt idx="2585" formatCode="0.00">
                  <c:v>-8.8366747516131063</c:v>
                </c:pt>
                <c:pt idx="2593" formatCode="0.00">
                  <c:v>-8.3313629254746111</c:v>
                </c:pt>
                <c:pt idx="2595" formatCode="0.00">
                  <c:v>-5.9380019292634136</c:v>
                </c:pt>
                <c:pt idx="2601" formatCode="0.00">
                  <c:v>-8.2461137419207517</c:v>
                </c:pt>
                <c:pt idx="2606" formatCode="0.00">
                  <c:v>-7.3584193247629619</c:v>
                </c:pt>
                <c:pt idx="2611" formatCode="0.00">
                  <c:v>-6.8885869487785802</c:v>
                </c:pt>
                <c:pt idx="2614" formatCode="0.00">
                  <c:v>-8.4119320978376919</c:v>
                </c:pt>
                <c:pt idx="2616" formatCode="0.00">
                  <c:v>-7.6552887610945</c:v>
                </c:pt>
                <c:pt idx="2618" formatCode="0.00">
                  <c:v>-6.9745935569213602</c:v>
                </c:pt>
                <c:pt idx="2621" formatCode="0.00">
                  <c:v>-6.9294230147356251</c:v>
                </c:pt>
                <c:pt idx="2622" formatCode="0.00">
                  <c:v>-7.2597249153661467</c:v>
                </c:pt>
                <c:pt idx="2627" formatCode="0.00">
                  <c:v>-7.6438820288646765</c:v>
                </c:pt>
                <c:pt idx="2633" formatCode="0.00">
                  <c:v>-8.4295208425890618</c:v>
                </c:pt>
                <c:pt idx="2635" formatCode="0.00">
                  <c:v>-8.257982312096626</c:v>
                </c:pt>
                <c:pt idx="2637" formatCode="0.00">
                  <c:v>-8.5622000656685895</c:v>
                </c:pt>
                <c:pt idx="2641" formatCode="0.00">
                  <c:v>-8.5111424893611325</c:v>
                </c:pt>
                <c:pt idx="2642" formatCode="0.00">
                  <c:v>-6.8907172252071405</c:v>
                </c:pt>
                <c:pt idx="2644" formatCode="0.00">
                  <c:v>-8.2804123493476407</c:v>
                </c:pt>
                <c:pt idx="2650" formatCode="0.00">
                  <c:v>-8.1752530052149552</c:v>
                </c:pt>
                <c:pt idx="2654" formatCode="0.00">
                  <c:v>-7.6246636883505952</c:v>
                </c:pt>
                <c:pt idx="2658" formatCode="0.00">
                  <c:v>-10.212676664180368</c:v>
                </c:pt>
                <c:pt idx="2663" formatCode="0.00">
                  <c:v>-7.8045263206485291</c:v>
                </c:pt>
                <c:pt idx="2664" formatCode="0.00">
                  <c:v>-7.6715515349007752</c:v>
                </c:pt>
                <c:pt idx="2674" formatCode="0.00">
                  <c:v>-8.3810422392084458</c:v>
                </c:pt>
                <c:pt idx="2679" formatCode="0.00">
                  <c:v>-7.8444923257919124</c:v>
                </c:pt>
                <c:pt idx="2680" formatCode="0.00">
                  <c:v>-7.5693926794921733</c:v>
                </c:pt>
                <c:pt idx="2682" formatCode="0.00">
                  <c:v>-8.2027570454360248</c:v>
                </c:pt>
                <c:pt idx="2685" formatCode="0.00">
                  <c:v>-8.5648628575009003</c:v>
                </c:pt>
                <c:pt idx="2692" formatCode="0.00">
                  <c:v>-6.1775740040244855</c:v>
                </c:pt>
                <c:pt idx="2693" formatCode="0.00">
                  <c:v>-6.6170539731933182</c:v>
                </c:pt>
                <c:pt idx="2694" formatCode="0.00">
                  <c:v>-6.4158223352446289</c:v>
                </c:pt>
                <c:pt idx="2697" formatCode="0.00">
                  <c:v>-8.6377250848565446</c:v>
                </c:pt>
                <c:pt idx="2699" formatCode="0.00">
                  <c:v>-8.2535763460609672</c:v>
                </c:pt>
                <c:pt idx="2703" formatCode="0.00">
                  <c:v>-8.7041509024960408</c:v>
                </c:pt>
                <c:pt idx="2706" formatCode="0.00">
                  <c:v>-7.5760999639772395</c:v>
                </c:pt>
                <c:pt idx="2709" formatCode="0.00">
                  <c:v>-7.094074645191581</c:v>
                </c:pt>
                <c:pt idx="2715" formatCode="0.00">
                  <c:v>-8.2235518823183344</c:v>
                </c:pt>
                <c:pt idx="2720" formatCode="0.00">
                  <c:v>-9.5338268036623752</c:v>
                </c:pt>
                <c:pt idx="2721" formatCode="0.00">
                  <c:v>-7.5224623992011868</c:v>
                </c:pt>
                <c:pt idx="2724" formatCode="0.00">
                  <c:v>-6.8822916353550783</c:v>
                </c:pt>
                <c:pt idx="2725" formatCode="0.00">
                  <c:v>-7.9719509155826653</c:v>
                </c:pt>
                <c:pt idx="2727" formatCode="0.00">
                  <c:v>-7.0577928348545376</c:v>
                </c:pt>
                <c:pt idx="2728" formatCode="0.00">
                  <c:v>-6.4368993314666048</c:v>
                </c:pt>
                <c:pt idx="2730" formatCode="0.00">
                  <c:v>-7.1339240515243159</c:v>
                </c:pt>
                <c:pt idx="2732" formatCode="0.00">
                  <c:v>-6.708482464522123</c:v>
                </c:pt>
                <c:pt idx="2734" formatCode="0.00">
                  <c:v>-7.8028062424465441</c:v>
                </c:pt>
                <c:pt idx="2740" formatCode="0.00">
                  <c:v>-7.5421985726316416</c:v>
                </c:pt>
                <c:pt idx="2741" formatCode="0.00">
                  <c:v>-8.0341985067470691</c:v>
                </c:pt>
                <c:pt idx="2743" formatCode="0.00">
                  <c:v>-8.4543090040763911</c:v>
                </c:pt>
                <c:pt idx="2747" formatCode="0.00">
                  <c:v>-9.8050267539003144</c:v>
                </c:pt>
                <c:pt idx="2754" formatCode="0.00">
                  <c:v>-7.4433297666357623</c:v>
                </c:pt>
                <c:pt idx="2756" formatCode="0.00">
                  <c:v>-7.4749083732100559</c:v>
                </c:pt>
                <c:pt idx="2757" formatCode="0.00">
                  <c:v>-7.6417135996734995</c:v>
                </c:pt>
                <c:pt idx="2758" formatCode="0.00">
                  <c:v>-8.5786137363794008</c:v>
                </c:pt>
                <c:pt idx="2759" formatCode="0.00">
                  <c:v>-7.063499287821756</c:v>
                </c:pt>
                <c:pt idx="2762" formatCode="0.00">
                  <c:v>-9.5722430191009913</c:v>
                </c:pt>
                <c:pt idx="2766" formatCode="0.00">
                  <c:v>-9.3172624947521854</c:v>
                </c:pt>
                <c:pt idx="2771" formatCode="0.00">
                  <c:v>-6.8739660903718924</c:v>
                </c:pt>
                <c:pt idx="2775" formatCode="0.00">
                  <c:v>-8.2186216393683544</c:v>
                </c:pt>
                <c:pt idx="2777" formatCode="0.00">
                  <c:v>-7.9819092342197644</c:v>
                </c:pt>
                <c:pt idx="2778" formatCode="0.00">
                  <c:v>-6.7357973803025217</c:v>
                </c:pt>
                <c:pt idx="2781" formatCode="0.00">
                  <c:v>-8.3523478290268187</c:v>
                </c:pt>
                <c:pt idx="2782" formatCode="0.00">
                  <c:v>-6.8436368355258423</c:v>
                </c:pt>
                <c:pt idx="2785" formatCode="0.00">
                  <c:v>-7.010614560199623</c:v>
                </c:pt>
                <c:pt idx="2787" formatCode="0.00">
                  <c:v>-9.1559544321758679</c:v>
                </c:pt>
                <c:pt idx="2788" formatCode="0.00">
                  <c:v>-6.9373580229662339</c:v>
                </c:pt>
                <c:pt idx="2790" formatCode="0.00">
                  <c:v>-10.86695222681281</c:v>
                </c:pt>
                <c:pt idx="2794" formatCode="0.00">
                  <c:v>-7.1354303840003652</c:v>
                </c:pt>
                <c:pt idx="2795" formatCode="0.00">
                  <c:v>-7.4653746086978554</c:v>
                </c:pt>
                <c:pt idx="2798" formatCode="0.00">
                  <c:v>-10.741678762990011</c:v>
                </c:pt>
                <c:pt idx="2799" formatCode="0.00">
                  <c:v>-9.6082537231196934</c:v>
                </c:pt>
                <c:pt idx="2802" formatCode="0.00">
                  <c:v>-7.8007931381151385</c:v>
                </c:pt>
                <c:pt idx="2804" formatCode="0.00">
                  <c:v>-7.1961993753585665</c:v>
                </c:pt>
                <c:pt idx="2805" formatCode="0.00">
                  <c:v>-7.8963940741318925</c:v>
                </c:pt>
                <c:pt idx="2808" formatCode="0.00">
                  <c:v>-7.2878949021236687</c:v>
                </c:pt>
                <c:pt idx="2809" formatCode="0.00">
                  <c:v>-7.0626239632496439</c:v>
                </c:pt>
                <c:pt idx="2810" formatCode="0.00">
                  <c:v>-7.0174718905274922</c:v>
                </c:pt>
                <c:pt idx="2811" formatCode="0.00">
                  <c:v>-8.1984698080340142</c:v>
                </c:pt>
                <c:pt idx="2815" formatCode="0.00">
                  <c:v>-8.3909545415879343</c:v>
                </c:pt>
                <c:pt idx="2817" formatCode="0.00">
                  <c:v>-10.255388301757533</c:v>
                </c:pt>
                <c:pt idx="2819" formatCode="0.00">
                  <c:v>-7.9365464275749957</c:v>
                </c:pt>
                <c:pt idx="2827" formatCode="0.00">
                  <c:v>-6.8615271280809997</c:v>
                </c:pt>
                <c:pt idx="2829" formatCode="0.00">
                  <c:v>-6.8742307442709576</c:v>
                </c:pt>
                <c:pt idx="2833" formatCode="0.00">
                  <c:v>-10.372524042740038</c:v>
                </c:pt>
                <c:pt idx="2836" formatCode="0.00">
                  <c:v>-7.2786465968454008</c:v>
                </c:pt>
                <c:pt idx="2843" formatCode="0.00">
                  <c:v>-5.9854063044258083</c:v>
                </c:pt>
                <c:pt idx="2850" formatCode="0.00">
                  <c:v>-9.8363798251214405</c:v>
                </c:pt>
                <c:pt idx="2851" formatCode="0.00">
                  <c:v>-8.1316057939170854</c:v>
                </c:pt>
                <c:pt idx="2853" formatCode="0.00">
                  <c:v>-8.4576313885273677</c:v>
                </c:pt>
                <c:pt idx="2854" formatCode="0.00">
                  <c:v>-6.3968488275883395</c:v>
                </c:pt>
                <c:pt idx="2855" formatCode="0.00">
                  <c:v>-6.8372210767011126</c:v>
                </c:pt>
                <c:pt idx="2856" formatCode="0.00">
                  <c:v>-9.9594847520590601</c:v>
                </c:pt>
                <c:pt idx="2857" formatCode="0.00">
                  <c:v>-8.1471948673721002</c:v>
                </c:pt>
                <c:pt idx="2861" formatCode="0.00">
                  <c:v>-7.972375217342492</c:v>
                </c:pt>
                <c:pt idx="2862" formatCode="0.00">
                  <c:v>-7.7221915186689927</c:v>
                </c:pt>
                <c:pt idx="2865" formatCode="0.00">
                  <c:v>-5.9613564877977092</c:v>
                </c:pt>
                <c:pt idx="2867" formatCode="0.00">
                  <c:v>-6.4827017214639131</c:v>
                </c:pt>
                <c:pt idx="2868" formatCode="0.00">
                  <c:v>-6.5518736790141974</c:v>
                </c:pt>
                <c:pt idx="2874" formatCode="0.00">
                  <c:v>-6.1901846730641035</c:v>
                </c:pt>
                <c:pt idx="2876" formatCode="0.00">
                  <c:v>-7.4153039965319731</c:v>
                </c:pt>
                <c:pt idx="2878" formatCode="0.00">
                  <c:v>-9.2645049370466541</c:v>
                </c:pt>
                <c:pt idx="2891" formatCode="0.00">
                  <c:v>-7.2523743791733803</c:v>
                </c:pt>
                <c:pt idx="2894" formatCode="0.00">
                  <c:v>-7.1117143937322265</c:v>
                </c:pt>
                <c:pt idx="2896" formatCode="0.00">
                  <c:v>-5.9586475935518335</c:v>
                </c:pt>
                <c:pt idx="2897" formatCode="0.00">
                  <c:v>-7.8976217467865109</c:v>
                </c:pt>
                <c:pt idx="2898" formatCode="0.00">
                  <c:v>-9.6597277866037654</c:v>
                </c:pt>
                <c:pt idx="2900" formatCode="0.00">
                  <c:v>-6.8755825483255641</c:v>
                </c:pt>
                <c:pt idx="2903" formatCode="0.00">
                  <c:v>-7.2547588247221197</c:v>
                </c:pt>
                <c:pt idx="2904" formatCode="0.00">
                  <c:v>-10.619621497834377</c:v>
                </c:pt>
                <c:pt idx="2908" formatCode="0.00">
                  <c:v>-11.116879839630743</c:v>
                </c:pt>
                <c:pt idx="2913" formatCode="0.00">
                  <c:v>-9.808549395883178</c:v>
                </c:pt>
                <c:pt idx="2919" formatCode="0.00">
                  <c:v>-10.474093270941726</c:v>
                </c:pt>
                <c:pt idx="2922" formatCode="0.00">
                  <c:v>-10.362337644059274</c:v>
                </c:pt>
                <c:pt idx="2924" formatCode="0.00">
                  <c:v>-6.5800165840892531</c:v>
                </c:pt>
                <c:pt idx="2927" formatCode="0.00">
                  <c:v>-7.8634736642495948</c:v>
                </c:pt>
                <c:pt idx="2928" formatCode="0.00">
                  <c:v>-10.568325035610917</c:v>
                </c:pt>
                <c:pt idx="2931" formatCode="0.00">
                  <c:v>-10.098673316153436</c:v>
                </c:pt>
                <c:pt idx="2932" formatCode="0.00">
                  <c:v>-11.215123113546117</c:v>
                </c:pt>
                <c:pt idx="2933" formatCode="0.00">
                  <c:v>-7.8302263239807015</c:v>
                </c:pt>
                <c:pt idx="2936" formatCode="0.00">
                  <c:v>-9.2278775160564503</c:v>
                </c:pt>
                <c:pt idx="2937" formatCode="0.00">
                  <c:v>-7.3894961502628433</c:v>
                </c:pt>
                <c:pt idx="2939" formatCode="0.00">
                  <c:v>-7.7675145735159994</c:v>
                </c:pt>
                <c:pt idx="2944" formatCode="0.00">
                  <c:v>-7.8476924917204567</c:v>
                </c:pt>
                <c:pt idx="2951" formatCode="0.00">
                  <c:v>-9.7419568081049697</c:v>
                </c:pt>
                <c:pt idx="2954" formatCode="0.00">
                  <c:v>-7.974682138116588</c:v>
                </c:pt>
                <c:pt idx="2957" formatCode="0.00">
                  <c:v>-10.588935630152818</c:v>
                </c:pt>
                <c:pt idx="2958" formatCode="0.00">
                  <c:v>-7.4081600563081187</c:v>
                </c:pt>
                <c:pt idx="2964" formatCode="0.00">
                  <c:v>-5.934001826061138</c:v>
                </c:pt>
                <c:pt idx="2965" formatCode="0.00">
                  <c:v>-10.409201648742609</c:v>
                </c:pt>
                <c:pt idx="2967" formatCode="0.00">
                  <c:v>-6.8913039519880241</c:v>
                </c:pt>
                <c:pt idx="2968" formatCode="0.00">
                  <c:v>-9.9610096326605611</c:v>
                </c:pt>
                <c:pt idx="2969" formatCode="0.00">
                  <c:v>-6.822340572768371</c:v>
                </c:pt>
                <c:pt idx="2970" formatCode="0.00">
                  <c:v>-10.609871618915227</c:v>
                </c:pt>
                <c:pt idx="2972" formatCode="0.00">
                  <c:v>-10.832903787605744</c:v>
                </c:pt>
                <c:pt idx="2973" formatCode="0.00">
                  <c:v>-10.498759927996705</c:v>
                </c:pt>
                <c:pt idx="2975" formatCode="0.00">
                  <c:v>-7.7946979062207076</c:v>
                </c:pt>
                <c:pt idx="2979" formatCode="0.00">
                  <c:v>-10.702493612010342</c:v>
                </c:pt>
                <c:pt idx="2982" formatCode="0.00">
                  <c:v>-10.225234240845303</c:v>
                </c:pt>
                <c:pt idx="2985" formatCode="0.00">
                  <c:v>-6.6443323532079557</c:v>
                </c:pt>
                <c:pt idx="2986" formatCode="0.00">
                  <c:v>-9.8612789956252698</c:v>
                </c:pt>
                <c:pt idx="2990" formatCode="0.00">
                  <c:v>-7.6828962793708371</c:v>
                </c:pt>
                <c:pt idx="2991" formatCode="0.00">
                  <c:v>-10.480791870785744</c:v>
                </c:pt>
                <c:pt idx="2992" formatCode="0.00">
                  <c:v>-10.566761559469784</c:v>
                </c:pt>
                <c:pt idx="2993" formatCode="0.00">
                  <c:v>-7.8514485819121465</c:v>
                </c:pt>
                <c:pt idx="2995" formatCode="0.00">
                  <c:v>-10.46976655193966</c:v>
                </c:pt>
                <c:pt idx="2996" formatCode="0.00">
                  <c:v>-9.0922043151983445</c:v>
                </c:pt>
                <c:pt idx="3001" formatCode="0.00">
                  <c:v>-6.5906202141733861</c:v>
                </c:pt>
                <c:pt idx="3003" formatCode="0.00">
                  <c:v>-10.946020940379142</c:v>
                </c:pt>
                <c:pt idx="3004" formatCode="0.00">
                  <c:v>-6.7399028006294417</c:v>
                </c:pt>
                <c:pt idx="3007" formatCode="0.00">
                  <c:v>-7.4548495216479553</c:v>
                </c:pt>
                <c:pt idx="3012" formatCode="0.00">
                  <c:v>-8.1138041374688648</c:v>
                </c:pt>
                <c:pt idx="3013" formatCode="0.00">
                  <c:v>-7.2708446508676872</c:v>
                </c:pt>
                <c:pt idx="3014" formatCode="0.00">
                  <c:v>-9.8128760120450913</c:v>
                </c:pt>
                <c:pt idx="3015" formatCode="0.00">
                  <c:v>-6.667196036454186</c:v>
                </c:pt>
                <c:pt idx="3019" formatCode="0.00">
                  <c:v>-6.3215426531219867</c:v>
                </c:pt>
                <c:pt idx="3020" formatCode="0.00">
                  <c:v>-7.4132949368545802</c:v>
                </c:pt>
                <c:pt idx="3022" formatCode="0.00">
                  <c:v>-10.199348612237156</c:v>
                </c:pt>
                <c:pt idx="3023" formatCode="0.00">
                  <c:v>-8.4280806966221906</c:v>
                </c:pt>
                <c:pt idx="3027" formatCode="0.00">
                  <c:v>-10.98764724669018</c:v>
                </c:pt>
                <c:pt idx="3029" formatCode="0.00">
                  <c:v>-10.543673149050043</c:v>
                </c:pt>
                <c:pt idx="3031" formatCode="0.00">
                  <c:v>-9.559181769251559</c:v>
                </c:pt>
                <c:pt idx="3035" formatCode="0.00">
                  <c:v>-10.915287059787101</c:v>
                </c:pt>
                <c:pt idx="3036" formatCode="0.00">
                  <c:v>-8.0421922708521194</c:v>
                </c:pt>
                <c:pt idx="3039" formatCode="0.00">
                  <c:v>-7.3380258127295823</c:v>
                </c:pt>
                <c:pt idx="3042" formatCode="0.00">
                  <c:v>-10.765093975060761</c:v>
                </c:pt>
                <c:pt idx="3043" formatCode="0.00">
                  <c:v>-9.6180607614846565</c:v>
                </c:pt>
                <c:pt idx="3046" formatCode="0.00">
                  <c:v>-7.7195547219657961</c:v>
                </c:pt>
                <c:pt idx="3047" formatCode="0.00">
                  <c:v>-9.3715087651971611</c:v>
                </c:pt>
                <c:pt idx="3050" formatCode="0.00">
                  <c:v>-10.273894009174366</c:v>
                </c:pt>
                <c:pt idx="3051" formatCode="0.00">
                  <c:v>-8.7590926863255252</c:v>
                </c:pt>
                <c:pt idx="3052" formatCode="0.00">
                  <c:v>-10.215215683943619</c:v>
                </c:pt>
                <c:pt idx="3055" formatCode="0.00">
                  <c:v>-10.615834233981102</c:v>
                </c:pt>
                <c:pt idx="3056" formatCode="0.00">
                  <c:v>-7.1709181879035571</c:v>
                </c:pt>
                <c:pt idx="3057" formatCode="0.00">
                  <c:v>-8.0594429047584235</c:v>
                </c:pt>
                <c:pt idx="3058" formatCode="0.00">
                  <c:v>-10.791493133503595</c:v>
                </c:pt>
                <c:pt idx="3065" formatCode="0.00">
                  <c:v>-6.3984817993813481</c:v>
                </c:pt>
                <c:pt idx="3066" formatCode="0.00">
                  <c:v>-10.086491238837883</c:v>
                </c:pt>
                <c:pt idx="3067" formatCode="0.00">
                  <c:v>-10.349203583734186</c:v>
                </c:pt>
                <c:pt idx="3069" formatCode="0.00">
                  <c:v>-8.090589997058677</c:v>
                </c:pt>
                <c:pt idx="3070" formatCode="0.00">
                  <c:v>-7.9728046621530648</c:v>
                </c:pt>
                <c:pt idx="3072" formatCode="0.00">
                  <c:v>-10.083456745805872</c:v>
                </c:pt>
                <c:pt idx="3074" formatCode="0.00">
                  <c:v>-9.7012364444574679</c:v>
                </c:pt>
                <c:pt idx="3076" formatCode="0.00">
                  <c:v>-7.1545330062698298</c:v>
                </c:pt>
                <c:pt idx="3078" formatCode="0.00">
                  <c:v>-7.1314775352083792</c:v>
                </c:pt>
                <c:pt idx="3082" formatCode="0.00">
                  <c:v>-8.8227021710459415</c:v>
                </c:pt>
                <c:pt idx="3084" formatCode="0.00">
                  <c:v>-10.774776148463094</c:v>
                </c:pt>
                <c:pt idx="3085" formatCode="0.00">
                  <c:v>-6.3863134387016611</c:v>
                </c:pt>
                <c:pt idx="3087" formatCode="0.00">
                  <c:v>-10.830933968838675</c:v>
                </c:pt>
                <c:pt idx="3088" formatCode="0.00">
                  <c:v>-10.555638153486059</c:v>
                </c:pt>
                <c:pt idx="3089" formatCode="0.00">
                  <c:v>-7.3815692820105765</c:v>
                </c:pt>
                <c:pt idx="3091" formatCode="0.00">
                  <c:v>-9.2750301289923875</c:v>
                </c:pt>
                <c:pt idx="3097" formatCode="0.00">
                  <c:v>-10.110895315292742</c:v>
                </c:pt>
                <c:pt idx="3101" formatCode="0.00">
                  <c:v>-11.13864125299731</c:v>
                </c:pt>
                <c:pt idx="3102" formatCode="0.00">
                  <c:v>-10.163269323591868</c:v>
                </c:pt>
                <c:pt idx="3103" formatCode="0.00">
                  <c:v>-6.6059423914331399</c:v>
                </c:pt>
                <c:pt idx="3106" formatCode="0.00">
                  <c:v>-6.7705977481639206</c:v>
                </c:pt>
                <c:pt idx="3107" formatCode="0.00">
                  <c:v>-9.2986528772511345</c:v>
                </c:pt>
                <c:pt idx="3109" formatCode="0.00">
                  <c:v>-10.329236799971278</c:v>
                </c:pt>
                <c:pt idx="3111" formatCode="0.00">
                  <c:v>-7.8055529827654269</c:v>
                </c:pt>
                <c:pt idx="3112" formatCode="0.00">
                  <c:v>-5.8475986475559116</c:v>
                </c:pt>
                <c:pt idx="3115" formatCode="0.00">
                  <c:v>-9.9417844921083045</c:v>
                </c:pt>
                <c:pt idx="3119" formatCode="0.00">
                  <c:v>-11.570507365731562</c:v>
                </c:pt>
                <c:pt idx="3120" formatCode="0.00">
                  <c:v>-7.3554821991671142</c:v>
                </c:pt>
                <c:pt idx="3121" formatCode="0.00">
                  <c:v>-8.6224774458494551</c:v>
                </c:pt>
                <c:pt idx="3126" formatCode="0.00">
                  <c:v>-8.9626680395614766</c:v>
                </c:pt>
                <c:pt idx="3128" formatCode="0.00">
                  <c:v>-6.8581943829607646</c:v>
                </c:pt>
                <c:pt idx="3133" formatCode="0.00">
                  <c:v>-10.185103951189543</c:v>
                </c:pt>
                <c:pt idx="3134" formatCode="0.00">
                  <c:v>-10.907446881717558</c:v>
                </c:pt>
                <c:pt idx="3136" formatCode="0.00">
                  <c:v>-10.102574651484852</c:v>
                </c:pt>
                <c:pt idx="3139" formatCode="0.00">
                  <c:v>-8.5338361544756154</c:v>
                </c:pt>
                <c:pt idx="3141" formatCode="0.00">
                  <c:v>-10.105888367341882</c:v>
                </c:pt>
                <c:pt idx="3142" formatCode="0.00">
                  <c:v>-10.414699641849086</c:v>
                </c:pt>
                <c:pt idx="3144" formatCode="0.00">
                  <c:v>-10.220830585536046</c:v>
                </c:pt>
                <c:pt idx="3145" formatCode="0.00">
                  <c:v>-7.6123742465118793</c:v>
                </c:pt>
                <c:pt idx="3147" formatCode="0.00">
                  <c:v>-10.875703788223447</c:v>
                </c:pt>
                <c:pt idx="3150" formatCode="0.00">
                  <c:v>-7.8992462319877967</c:v>
                </c:pt>
                <c:pt idx="3151" formatCode="0.00">
                  <c:v>-10.561074750815752</c:v>
                </c:pt>
                <c:pt idx="3154" formatCode="0.00">
                  <c:v>-8.000041291872126</c:v>
                </c:pt>
                <c:pt idx="3156" formatCode="0.00">
                  <c:v>-6.0311967727946323</c:v>
                </c:pt>
                <c:pt idx="3161" formatCode="0.00">
                  <c:v>-8.1713746298511509</c:v>
                </c:pt>
                <c:pt idx="3162" formatCode="0.00">
                  <c:v>-5.5754081532553572</c:v>
                </c:pt>
                <c:pt idx="3165" formatCode="0.00">
                  <c:v>-10.08635141323305</c:v>
                </c:pt>
                <c:pt idx="3168" formatCode="0.00">
                  <c:v>-7.435991836904444</c:v>
                </c:pt>
                <c:pt idx="3169" formatCode="0.00">
                  <c:v>-9.555310205154365</c:v>
                </c:pt>
                <c:pt idx="3173" formatCode="0.00">
                  <c:v>-7.4058863101849246</c:v>
                </c:pt>
                <c:pt idx="3175" formatCode="0.00">
                  <c:v>-7.62301221219104</c:v>
                </c:pt>
                <c:pt idx="3177" formatCode="0.00">
                  <c:v>-11.815363463683859</c:v>
                </c:pt>
                <c:pt idx="3184" formatCode="0.00">
                  <c:v>-7.9708640250248557</c:v>
                </c:pt>
                <c:pt idx="3190" formatCode="0.00">
                  <c:v>-10.638235336348398</c:v>
                </c:pt>
                <c:pt idx="3193" formatCode="0.00">
                  <c:v>-9.9854834123073726</c:v>
                </c:pt>
                <c:pt idx="3195" formatCode="0.00">
                  <c:v>-7.5953308465056972</c:v>
                </c:pt>
                <c:pt idx="3196" formatCode="0.00">
                  <c:v>-9.6483504784044385</c:v>
                </c:pt>
                <c:pt idx="3199" formatCode="0.00">
                  <c:v>-8.5450301475356341</c:v>
                </c:pt>
                <c:pt idx="3200" formatCode="0.00">
                  <c:v>-8.3803545781977782</c:v>
                </c:pt>
                <c:pt idx="3202" formatCode="0.00">
                  <c:v>-7.8222275719420971</c:v>
                </c:pt>
                <c:pt idx="3204" formatCode="0.00">
                  <c:v>-8.4499013409665533</c:v>
                </c:pt>
                <c:pt idx="3206" formatCode="0.00">
                  <c:v>-11.024027418567384</c:v>
                </c:pt>
                <c:pt idx="3208" formatCode="0.00">
                  <c:v>-11.067368045530841</c:v>
                </c:pt>
                <c:pt idx="3213" formatCode="0.00">
                  <c:v>-7.4790086372522149</c:v>
                </c:pt>
                <c:pt idx="3215" formatCode="0.00">
                  <c:v>-10.762459629081325</c:v>
                </c:pt>
                <c:pt idx="3217" formatCode="0.00">
                  <c:v>-8.1005683495705743</c:v>
                </c:pt>
                <c:pt idx="3220" formatCode="0.00">
                  <c:v>-6.8994897095181074</c:v>
                </c:pt>
                <c:pt idx="3221" formatCode="0.00">
                  <c:v>-8.810245899540357</c:v>
                </c:pt>
                <c:pt idx="3223" formatCode="0.00">
                  <c:v>-9.5815995889240799</c:v>
                </c:pt>
                <c:pt idx="3224" formatCode="0.00">
                  <c:v>-10.879267035545809</c:v>
                </c:pt>
                <c:pt idx="3227" formatCode="0.00">
                  <c:v>-6.6778698038460185</c:v>
                </c:pt>
                <c:pt idx="3228" formatCode="0.00">
                  <c:v>-10.468055715209371</c:v>
                </c:pt>
                <c:pt idx="3229" formatCode="0.00">
                  <c:v>-6.9983136477765742</c:v>
                </c:pt>
                <c:pt idx="3230" formatCode="0.00">
                  <c:v>-7.0611524678240318</c:v>
                </c:pt>
                <c:pt idx="3232" formatCode="0.00">
                  <c:v>-9.4494843237360158</c:v>
                </c:pt>
                <c:pt idx="3233" formatCode="0.00">
                  <c:v>-10.17919330135144</c:v>
                </c:pt>
                <c:pt idx="3234" formatCode="0.00">
                  <c:v>-7.5586977951833108</c:v>
                </c:pt>
                <c:pt idx="3235" formatCode="0.00">
                  <c:v>-6.5841807132680099</c:v>
                </c:pt>
                <c:pt idx="3241" formatCode="0.00">
                  <c:v>-11.150801799007759</c:v>
                </c:pt>
                <c:pt idx="3242" formatCode="0.00">
                  <c:v>-10.46701288272731</c:v>
                </c:pt>
                <c:pt idx="3245" formatCode="0.00">
                  <c:v>-10.56808180996018</c:v>
                </c:pt>
                <c:pt idx="3247" formatCode="0.00">
                  <c:v>-7.257513223588056</c:v>
                </c:pt>
                <c:pt idx="3252" formatCode="0.00">
                  <c:v>-7.8731258046896766</c:v>
                </c:pt>
                <c:pt idx="3254" formatCode="0.00">
                  <c:v>-11.011911256273766</c:v>
                </c:pt>
                <c:pt idx="3255" formatCode="0.00">
                  <c:v>-8.562044600281606</c:v>
                </c:pt>
                <c:pt idx="3257" formatCode="0.00">
                  <c:v>-10.501026714750955</c:v>
                </c:pt>
                <c:pt idx="3259" formatCode="0.00">
                  <c:v>-10.491999307864271</c:v>
                </c:pt>
                <c:pt idx="3260" formatCode="0.00">
                  <c:v>-7.2287446500318158</c:v>
                </c:pt>
                <c:pt idx="3262" formatCode="0.00">
                  <c:v>-10.684253967776398</c:v>
                </c:pt>
                <c:pt idx="3264" formatCode="0.00">
                  <c:v>-8.3333440817690487</c:v>
                </c:pt>
                <c:pt idx="3271" formatCode="0.00">
                  <c:v>-9.8363696993112182</c:v>
                </c:pt>
                <c:pt idx="3272" formatCode="0.00">
                  <c:v>-10.773547864967538</c:v>
                </c:pt>
                <c:pt idx="3273" formatCode="0.00">
                  <c:v>-8.7306814420746264</c:v>
                </c:pt>
                <c:pt idx="3275" formatCode="0.00">
                  <c:v>-7.0500681767494502</c:v>
                </c:pt>
                <c:pt idx="3276" formatCode="0.00">
                  <c:v>-7.3746608921779604</c:v>
                </c:pt>
                <c:pt idx="3278" formatCode="0.00">
                  <c:v>-7.6108879270872638</c:v>
                </c:pt>
                <c:pt idx="3279" formatCode="0.00">
                  <c:v>-10.633799296424417</c:v>
                </c:pt>
                <c:pt idx="3283" formatCode="0.00">
                  <c:v>-7.5722037974263454</c:v>
                </c:pt>
                <c:pt idx="3285" formatCode="0.00">
                  <c:v>-7.4370088089774686</c:v>
                </c:pt>
                <c:pt idx="3288" formatCode="0.00">
                  <c:v>-7.6591037696800131</c:v>
                </c:pt>
                <c:pt idx="3291" formatCode="0.00">
                  <c:v>-7.7317967870020521</c:v>
                </c:pt>
                <c:pt idx="3296" formatCode="0.00">
                  <c:v>-9.4235555590227236</c:v>
                </c:pt>
                <c:pt idx="3298" formatCode="0.00">
                  <c:v>-8.0977465192798803</c:v>
                </c:pt>
                <c:pt idx="3301" formatCode="0.00">
                  <c:v>-6.7109918149649523</c:v>
                </c:pt>
                <c:pt idx="3302" formatCode="0.00">
                  <c:v>-6.9950480093900955</c:v>
                </c:pt>
                <c:pt idx="3303" formatCode="0.00">
                  <c:v>-7.3898260611411128</c:v>
                </c:pt>
                <c:pt idx="3305" formatCode="0.00">
                  <c:v>-6.5110525192832807</c:v>
                </c:pt>
                <c:pt idx="3306" formatCode="0.00">
                  <c:v>-9.7880086587100852</c:v>
                </c:pt>
                <c:pt idx="3312" formatCode="0.00">
                  <c:v>-6.4166718974793229</c:v>
                </c:pt>
                <c:pt idx="3315" formatCode="0.00">
                  <c:v>-6.09529528877452</c:v>
                </c:pt>
                <c:pt idx="3317" formatCode="0.00">
                  <c:v>-10.804040459250158</c:v>
                </c:pt>
                <c:pt idx="3318" formatCode="0.00">
                  <c:v>-8.9667587580964554</c:v>
                </c:pt>
                <c:pt idx="3319" formatCode="0.00">
                  <c:v>-5.7062615442695304</c:v>
                </c:pt>
                <c:pt idx="3323" formatCode="0.00">
                  <c:v>-7.4396729354143138</c:v>
                </c:pt>
                <c:pt idx="3330" formatCode="0.00">
                  <c:v>-10.295745618485439</c:v>
                </c:pt>
                <c:pt idx="3333" formatCode="0.00">
                  <c:v>-6.356418024191866</c:v>
                </c:pt>
                <c:pt idx="3335" formatCode="0.00">
                  <c:v>-10.067852624351467</c:v>
                </c:pt>
                <c:pt idx="3336" formatCode="0.00">
                  <c:v>-7.2281888315476603</c:v>
                </c:pt>
                <c:pt idx="3343" formatCode="0.00">
                  <c:v>-7.2017702977602367</c:v>
                </c:pt>
                <c:pt idx="3345" formatCode="0.00">
                  <c:v>-9.2710623171235156</c:v>
                </c:pt>
                <c:pt idx="3347" formatCode="0.00">
                  <c:v>-6.6757704544243888</c:v>
                </c:pt>
                <c:pt idx="3348" formatCode="0.00">
                  <c:v>-6.7199608201685512</c:v>
                </c:pt>
                <c:pt idx="3349" formatCode="0.00">
                  <c:v>-5.5353959076753512</c:v>
                </c:pt>
                <c:pt idx="3350" formatCode="0.00">
                  <c:v>-5.3822149549528122</c:v>
                </c:pt>
                <c:pt idx="3351" formatCode="0.00">
                  <c:v>-6.7394337966494318</c:v>
                </c:pt>
                <c:pt idx="3353" formatCode="0.00">
                  <c:v>-9.9508705975795007</c:v>
                </c:pt>
                <c:pt idx="3361" formatCode="0.00">
                  <c:v>-9.0371684437388407</c:v>
                </c:pt>
                <c:pt idx="3362" formatCode="0.00">
                  <c:v>-7.1502077551119632</c:v>
                </c:pt>
                <c:pt idx="3367" formatCode="0.00">
                  <c:v>-10.379176024408247</c:v>
                </c:pt>
                <c:pt idx="3368" formatCode="0.00">
                  <c:v>-6.5266188129818961</c:v>
                </c:pt>
                <c:pt idx="3369" formatCode="0.00">
                  <c:v>-6.700334217417792</c:v>
                </c:pt>
                <c:pt idx="3371" formatCode="0.00">
                  <c:v>-7.8261399773110405</c:v>
                </c:pt>
                <c:pt idx="3374" formatCode="0.00">
                  <c:v>-8.0561752027122751</c:v>
                </c:pt>
                <c:pt idx="3378" formatCode="0.00">
                  <c:v>-7.2083051749460836</c:v>
                </c:pt>
                <c:pt idx="3383" formatCode="0.00">
                  <c:v>-6.8738242744977702</c:v>
                </c:pt>
                <c:pt idx="3387" formatCode="0.00">
                  <c:v>-9.6485715029834012</c:v>
                </c:pt>
                <c:pt idx="3389" formatCode="0.00">
                  <c:v>-7.7168531161828922</c:v>
                </c:pt>
                <c:pt idx="3395" formatCode="0.00">
                  <c:v>-7.5068764880640311</c:v>
                </c:pt>
                <c:pt idx="3397" formatCode="0.00">
                  <c:v>-7.6798441994829449</c:v>
                </c:pt>
                <c:pt idx="3398" formatCode="0.00">
                  <c:v>-6.3723250215544915</c:v>
                </c:pt>
                <c:pt idx="3399" formatCode="0.00">
                  <c:v>-10.147564784646546</c:v>
                </c:pt>
                <c:pt idx="3403" formatCode="0.00">
                  <c:v>-7.306443885178747</c:v>
                </c:pt>
                <c:pt idx="3404" formatCode="0.00">
                  <c:v>-6.1434972575702762</c:v>
                </c:pt>
                <c:pt idx="3407" formatCode="0.00">
                  <c:v>-7.7989315553835024</c:v>
                </c:pt>
                <c:pt idx="3409" formatCode="0.00">
                  <c:v>-7.4377678638464353</c:v>
                </c:pt>
                <c:pt idx="3411" formatCode="0.00">
                  <c:v>-6.6791000614767526</c:v>
                </c:pt>
                <c:pt idx="3412" formatCode="0.00">
                  <c:v>-7.1864511097004611</c:v>
                </c:pt>
                <c:pt idx="3415" formatCode="0.00">
                  <c:v>-8.0304089803962153</c:v>
                </c:pt>
                <c:pt idx="3417" formatCode="0.00">
                  <c:v>-6.5288871361552436</c:v>
                </c:pt>
                <c:pt idx="3418" formatCode="0.00">
                  <c:v>-6.3838316366536718</c:v>
                </c:pt>
                <c:pt idx="3421" formatCode="0.00">
                  <c:v>-8.034479901927952</c:v>
                </c:pt>
                <c:pt idx="3423" formatCode="0.00">
                  <c:v>-7.0635451663115951</c:v>
                </c:pt>
                <c:pt idx="3425" formatCode="0.00">
                  <c:v>-7.6004063689607042</c:v>
                </c:pt>
                <c:pt idx="3426" formatCode="0.00">
                  <c:v>-6.8201644124607412</c:v>
                </c:pt>
                <c:pt idx="3428" formatCode="0.00">
                  <c:v>-7.738767129362202</c:v>
                </c:pt>
                <c:pt idx="3429" formatCode="0.00">
                  <c:v>-6.0343486668062951</c:v>
                </c:pt>
                <c:pt idx="3430" formatCode="0.00">
                  <c:v>-6.8300862800399837</c:v>
                </c:pt>
                <c:pt idx="3433" formatCode="0.00">
                  <c:v>-8.3629193991310746</c:v>
                </c:pt>
                <c:pt idx="3435" formatCode="0.00">
                  <c:v>-6.8323412083926787</c:v>
                </c:pt>
                <c:pt idx="3439" formatCode="0.00">
                  <c:v>-7.044238305005126</c:v>
                </c:pt>
                <c:pt idx="3443" formatCode="0.00">
                  <c:v>-7.924003434568097</c:v>
                </c:pt>
                <c:pt idx="3444" formatCode="0.00">
                  <c:v>-7.0890302453477156</c:v>
                </c:pt>
                <c:pt idx="3445" formatCode="0.00">
                  <c:v>-6.901707735818559</c:v>
                </c:pt>
                <c:pt idx="3446" formatCode="0.00">
                  <c:v>-9.462135589161381</c:v>
                </c:pt>
                <c:pt idx="3449" formatCode="0.00">
                  <c:v>-6.2347588967596428</c:v>
                </c:pt>
                <c:pt idx="3451" formatCode="0.00">
                  <c:v>-6.911980795715059</c:v>
                </c:pt>
                <c:pt idx="3452" formatCode="0.00">
                  <c:v>-8.3526040645781965</c:v>
                </c:pt>
                <c:pt idx="3455" formatCode="0.00">
                  <c:v>-8.6389408741611433</c:v>
                </c:pt>
                <c:pt idx="3456" formatCode="0.00">
                  <c:v>-9.2868423195373389</c:v>
                </c:pt>
                <c:pt idx="3457" formatCode="0.00">
                  <c:v>-7.7037817515233176</c:v>
                </c:pt>
                <c:pt idx="3460" formatCode="0.00">
                  <c:v>-6.8785992655607391</c:v>
                </c:pt>
                <c:pt idx="3461" formatCode="0.00">
                  <c:v>-7.1237215446558819</c:v>
                </c:pt>
                <c:pt idx="3462" formatCode="0.00">
                  <c:v>-5.7179275092016821</c:v>
                </c:pt>
                <c:pt idx="3465" formatCode="0.00">
                  <c:v>-7.9867780981017829</c:v>
                </c:pt>
                <c:pt idx="3470" formatCode="0.00">
                  <c:v>-6.897746784106797</c:v>
                </c:pt>
                <c:pt idx="3474" formatCode="0.00">
                  <c:v>-9.1129275519225814</c:v>
                </c:pt>
                <c:pt idx="3475" formatCode="0.00">
                  <c:v>-7.1953066479212264</c:v>
                </c:pt>
                <c:pt idx="3476" formatCode="0.00">
                  <c:v>-9.5636722801787748</c:v>
                </c:pt>
                <c:pt idx="3479" formatCode="0.00">
                  <c:v>-7.2098408721752856</c:v>
                </c:pt>
                <c:pt idx="3480" formatCode="0.00">
                  <c:v>-7.0242515736166817</c:v>
                </c:pt>
                <c:pt idx="3483" formatCode="0.00">
                  <c:v>-7.3013971795258774</c:v>
                </c:pt>
                <c:pt idx="3484" formatCode="0.00">
                  <c:v>-6.2062845706741436</c:v>
                </c:pt>
                <c:pt idx="3488" formatCode="0.00">
                  <c:v>-7.6781612978169962</c:v>
                </c:pt>
                <c:pt idx="3489" formatCode="0.00">
                  <c:v>-7.5226916095208356</c:v>
                </c:pt>
                <c:pt idx="3492" formatCode="0.00">
                  <c:v>-9.7768171382883242</c:v>
                </c:pt>
                <c:pt idx="3495" formatCode="0.00">
                  <c:v>-7.9493957726111661</c:v>
                </c:pt>
                <c:pt idx="3496" formatCode="0.00">
                  <c:v>-6.8840198263796504</c:v>
                </c:pt>
                <c:pt idx="3497" formatCode="0.00">
                  <c:v>-7.838790598182082</c:v>
                </c:pt>
                <c:pt idx="3500" formatCode="0.00">
                  <c:v>-5.8416258149135372</c:v>
                </c:pt>
                <c:pt idx="3501" formatCode="0.00">
                  <c:v>-8.4122758533402369</c:v>
                </c:pt>
                <c:pt idx="3502" formatCode="0.00">
                  <c:v>-8.1000317367354739</c:v>
                </c:pt>
                <c:pt idx="3505" formatCode="0.00">
                  <c:v>-7.253669486222849</c:v>
                </c:pt>
                <c:pt idx="3506" formatCode="0.00">
                  <c:v>-10.320215748424427</c:v>
                </c:pt>
                <c:pt idx="3509" formatCode="0.00">
                  <c:v>-6.8972389604494913</c:v>
                </c:pt>
                <c:pt idx="3510" formatCode="0.00">
                  <c:v>-6.6545409578122117</c:v>
                </c:pt>
                <c:pt idx="3511" formatCode="0.00">
                  <c:v>-7.2218404871666602</c:v>
                </c:pt>
                <c:pt idx="3512" formatCode="0.00">
                  <c:v>-6.6660261641030498</c:v>
                </c:pt>
                <c:pt idx="3513" formatCode="0.00">
                  <c:v>-6.6359416244489671</c:v>
                </c:pt>
                <c:pt idx="3515" formatCode="0.00">
                  <c:v>-6.3485293286790343</c:v>
                </c:pt>
                <c:pt idx="3516" formatCode="0.00">
                  <c:v>-8.5018377258396942</c:v>
                </c:pt>
                <c:pt idx="3517" formatCode="0.00">
                  <c:v>-9.7076816309934681</c:v>
                </c:pt>
                <c:pt idx="3520" formatCode="0.00">
                  <c:v>-7.0092222054584674</c:v>
                </c:pt>
                <c:pt idx="3521" formatCode="0.00">
                  <c:v>-7.1180212491885362</c:v>
                </c:pt>
                <c:pt idx="3522" formatCode="0.00">
                  <c:v>-7.85265338648935</c:v>
                </c:pt>
                <c:pt idx="3525" formatCode="0.00">
                  <c:v>-6.7014640556797618</c:v>
                </c:pt>
                <c:pt idx="3526" formatCode="0.00">
                  <c:v>-7.7221933085694934</c:v>
                </c:pt>
                <c:pt idx="3527" formatCode="0.00">
                  <c:v>-6.9112689257675717</c:v>
                </c:pt>
                <c:pt idx="3528" formatCode="0.00">
                  <c:v>-9.7409685879272949</c:v>
                </c:pt>
                <c:pt idx="3530" formatCode="0.00">
                  <c:v>-7.9400321339614424</c:v>
                </c:pt>
                <c:pt idx="3531" formatCode="0.00">
                  <c:v>-9.9408360386129324</c:v>
                </c:pt>
                <c:pt idx="3532" formatCode="0.00">
                  <c:v>-7.414328267575276</c:v>
                </c:pt>
                <c:pt idx="3533" formatCode="0.00">
                  <c:v>-8.5007467811844961</c:v>
                </c:pt>
                <c:pt idx="3534" formatCode="0.00">
                  <c:v>-7.9641461963209998</c:v>
                </c:pt>
                <c:pt idx="3536" formatCode="0.00">
                  <c:v>-10.101294970784277</c:v>
                </c:pt>
                <c:pt idx="3540" formatCode="0.00">
                  <c:v>-7.9068328307793827</c:v>
                </c:pt>
                <c:pt idx="3542" formatCode="0.00">
                  <c:v>-7.6338016959133759</c:v>
                </c:pt>
                <c:pt idx="3543" formatCode="0.00">
                  <c:v>-7.7169858354068017</c:v>
                </c:pt>
                <c:pt idx="3548" formatCode="0.00">
                  <c:v>-7.5972007486263271</c:v>
                </c:pt>
                <c:pt idx="3549" formatCode="0.00">
                  <c:v>-7.1694299794880791</c:v>
                </c:pt>
                <c:pt idx="3550" formatCode="0.00">
                  <c:v>-7.3284210360685629</c:v>
                </c:pt>
                <c:pt idx="3554" formatCode="0.00">
                  <c:v>-9.9834237859286308</c:v>
                </c:pt>
                <c:pt idx="3556" formatCode="0.00">
                  <c:v>-8.5279782236615169</c:v>
                </c:pt>
                <c:pt idx="3557" formatCode="0.00">
                  <c:v>-10.220084119048455</c:v>
                </c:pt>
                <c:pt idx="3558" formatCode="0.00">
                  <c:v>-8.2701662622625989</c:v>
                </c:pt>
                <c:pt idx="3562" formatCode="0.00">
                  <c:v>-6.6208418054488263</c:v>
                </c:pt>
                <c:pt idx="3564" formatCode="0.00">
                  <c:v>-8.1097506682787905</c:v>
                </c:pt>
                <c:pt idx="3565" formatCode="0.00">
                  <c:v>-8.5747157399487719</c:v>
                </c:pt>
                <c:pt idx="3566" formatCode="0.00">
                  <c:v>-8.1778121227576559</c:v>
                </c:pt>
                <c:pt idx="3567" formatCode="0.00">
                  <c:v>-7.6584315496720006</c:v>
                </c:pt>
                <c:pt idx="3569" formatCode="0.00">
                  <c:v>-10.645165073700849</c:v>
                </c:pt>
                <c:pt idx="3572" formatCode="0.00">
                  <c:v>-7.1137860862974875</c:v>
                </c:pt>
                <c:pt idx="3574" formatCode="0.00">
                  <c:v>-7.9166016468165425</c:v>
                </c:pt>
                <c:pt idx="3575" formatCode="0.00">
                  <c:v>-7.7571970245411972</c:v>
                </c:pt>
                <c:pt idx="3576" formatCode="0.00">
                  <c:v>-8.1806904076699123</c:v>
                </c:pt>
                <c:pt idx="3584" formatCode="0.00">
                  <c:v>-8.7936099927955684</c:v>
                </c:pt>
                <c:pt idx="3585" formatCode="0.00">
                  <c:v>-7.785999745191714</c:v>
                </c:pt>
                <c:pt idx="3586" formatCode="0.00">
                  <c:v>-7.2362004219305671</c:v>
                </c:pt>
                <c:pt idx="3587" formatCode="0.00">
                  <c:v>-7.6047602378279437</c:v>
                </c:pt>
                <c:pt idx="3591" formatCode="0.00">
                  <c:v>-7.6478649482431891</c:v>
                </c:pt>
                <c:pt idx="3593" formatCode="0.00">
                  <c:v>-7.8860045274961736</c:v>
                </c:pt>
                <c:pt idx="3597" formatCode="0.00">
                  <c:v>-8.8160663205985035</c:v>
                </c:pt>
                <c:pt idx="3599" formatCode="0.00">
                  <c:v>-6.4634161537114307</c:v>
                </c:pt>
                <c:pt idx="3601" formatCode="0.00">
                  <c:v>-7.3826931889690197</c:v>
                </c:pt>
                <c:pt idx="3605" formatCode="0.00">
                  <c:v>-9.1556265465155366</c:v>
                </c:pt>
                <c:pt idx="3607" formatCode="0.00">
                  <c:v>-7.367959288144049</c:v>
                </c:pt>
                <c:pt idx="3608" formatCode="0.00">
                  <c:v>-7.8081516819501404</c:v>
                </c:pt>
                <c:pt idx="3609" formatCode="0.00">
                  <c:v>-7.4979601829872227</c:v>
                </c:pt>
                <c:pt idx="3610" formatCode="0.00">
                  <c:v>-7.7101215210340452</c:v>
                </c:pt>
                <c:pt idx="3611" formatCode="0.00">
                  <c:v>-6.9913313122447098</c:v>
                </c:pt>
                <c:pt idx="3612" formatCode="0.00">
                  <c:v>-7.1608703149531943</c:v>
                </c:pt>
                <c:pt idx="3613" formatCode="0.00">
                  <c:v>-7.3687295600066447</c:v>
                </c:pt>
                <c:pt idx="3614" formatCode="0.00">
                  <c:v>-7.6611132556293295</c:v>
                </c:pt>
                <c:pt idx="3616" formatCode="0.00">
                  <c:v>-8.5132183659153071</c:v>
                </c:pt>
                <c:pt idx="3617" formatCode="0.00">
                  <c:v>-7.0560963375156076</c:v>
                </c:pt>
                <c:pt idx="3619" formatCode="0.00">
                  <c:v>-7.2663377446459672</c:v>
                </c:pt>
                <c:pt idx="3620" formatCode="0.00">
                  <c:v>-7.9597258468622503</c:v>
                </c:pt>
                <c:pt idx="3621" formatCode="0.00">
                  <c:v>-8.1160179447645948</c:v>
                </c:pt>
                <c:pt idx="3623" formatCode="0.00">
                  <c:v>-6.4877782783797757</c:v>
                </c:pt>
                <c:pt idx="3624" formatCode="0.00">
                  <c:v>-7.9258584091751016</c:v>
                </c:pt>
                <c:pt idx="3628" formatCode="0.00">
                  <c:v>-8.4602137344049808</c:v>
                </c:pt>
                <c:pt idx="3631" formatCode="0.00">
                  <c:v>-10.996134594272707</c:v>
                </c:pt>
                <c:pt idx="3633" formatCode="0.00">
                  <c:v>-7.6139062297804427</c:v>
                </c:pt>
                <c:pt idx="3634" formatCode="0.00">
                  <c:v>-10.185363801480502</c:v>
                </c:pt>
                <c:pt idx="3637" formatCode="0.00">
                  <c:v>-7.0438167913062726</c:v>
                </c:pt>
                <c:pt idx="3639" formatCode="0.00">
                  <c:v>-6.2880816047571297</c:v>
                </c:pt>
                <c:pt idx="3640" formatCode="0.00">
                  <c:v>-6.9140228939276529</c:v>
                </c:pt>
                <c:pt idx="3646" formatCode="0.00">
                  <c:v>-9.0048809719290954</c:v>
                </c:pt>
                <c:pt idx="3647" formatCode="0.00">
                  <c:v>-9.0098662854372709</c:v>
                </c:pt>
                <c:pt idx="3651" formatCode="0.00">
                  <c:v>-7.6533377347494298</c:v>
                </c:pt>
                <c:pt idx="3652" formatCode="0.00">
                  <c:v>-8.3910526049526855</c:v>
                </c:pt>
                <c:pt idx="3655" formatCode="0.00">
                  <c:v>-6.9829820341965565</c:v>
                </c:pt>
                <c:pt idx="3656" formatCode="0.00">
                  <c:v>-7.0214213565808015</c:v>
                </c:pt>
                <c:pt idx="3657" formatCode="0.00">
                  <c:v>-10.513339605731423</c:v>
                </c:pt>
                <c:pt idx="3658" formatCode="0.00">
                  <c:v>-7.8996937321354439</c:v>
                </c:pt>
                <c:pt idx="3659" formatCode="0.00">
                  <c:v>-6.9877393841298323</c:v>
                </c:pt>
                <c:pt idx="3660" formatCode="0.00">
                  <c:v>-6.9909029077513747</c:v>
                </c:pt>
                <c:pt idx="3661" formatCode="0.00">
                  <c:v>-7.9810295994317899</c:v>
                </c:pt>
                <c:pt idx="3663" formatCode="0.00">
                  <c:v>-10.604542529200938</c:v>
                </c:pt>
                <c:pt idx="3665" formatCode="0.00">
                  <c:v>-7.7761023314296711</c:v>
                </c:pt>
                <c:pt idx="3666" formatCode="0.00">
                  <c:v>-8.2881805381802192</c:v>
                </c:pt>
                <c:pt idx="3668" formatCode="0.00">
                  <c:v>-11.601407818710697</c:v>
                </c:pt>
                <c:pt idx="3669" formatCode="0.00">
                  <c:v>-6.8595690934627074</c:v>
                </c:pt>
                <c:pt idx="3670" formatCode="0.00">
                  <c:v>-7.7709744668608902</c:v>
                </c:pt>
                <c:pt idx="3671" formatCode="0.00">
                  <c:v>-7.7754881983914244</c:v>
                </c:pt>
                <c:pt idx="3676" formatCode="0.00">
                  <c:v>-7.8688405578581104</c:v>
                </c:pt>
                <c:pt idx="3679" formatCode="0.00">
                  <c:v>-10.329069623457702</c:v>
                </c:pt>
                <c:pt idx="3680" formatCode="0.00">
                  <c:v>-7.6843063938733298</c:v>
                </c:pt>
                <c:pt idx="3681" formatCode="0.00">
                  <c:v>-7.773729960544995</c:v>
                </c:pt>
                <c:pt idx="3683" formatCode="0.00">
                  <c:v>-7.6342310627312893</c:v>
                </c:pt>
                <c:pt idx="3689" formatCode="0.00">
                  <c:v>-10.538502322838914</c:v>
                </c:pt>
                <c:pt idx="3690" formatCode="0.00">
                  <c:v>-8.6812662137794145</c:v>
                </c:pt>
                <c:pt idx="3691" formatCode="0.00">
                  <c:v>-8.4724189140708628</c:v>
                </c:pt>
                <c:pt idx="3692" formatCode="0.00">
                  <c:v>-7.1360488053939966</c:v>
                </c:pt>
                <c:pt idx="3693" formatCode="0.00">
                  <c:v>-8.2513596790121984</c:v>
                </c:pt>
                <c:pt idx="3694" formatCode="0.00">
                  <c:v>-7.6436016772462141</c:v>
                </c:pt>
                <c:pt idx="3695" formatCode="0.00">
                  <c:v>-8.9724862894628945</c:v>
                </c:pt>
                <c:pt idx="3698" formatCode="0.00">
                  <c:v>-11.076857529672521</c:v>
                </c:pt>
                <c:pt idx="3699" formatCode="0.00">
                  <c:v>-6.8472811120959864</c:v>
                </c:pt>
                <c:pt idx="3702" formatCode="0.00">
                  <c:v>-7.6091945739751399</c:v>
                </c:pt>
                <c:pt idx="3708" formatCode="0.00">
                  <c:v>-8.2652836569381396</c:v>
                </c:pt>
                <c:pt idx="3712" formatCode="0.00">
                  <c:v>-7.6302789793967447</c:v>
                </c:pt>
                <c:pt idx="3714" formatCode="0.00">
                  <c:v>-7.6056179748359662</c:v>
                </c:pt>
                <c:pt idx="3715" formatCode="0.00">
                  <c:v>-8.0804189403245026</c:v>
                </c:pt>
                <c:pt idx="3717" formatCode="0.00">
                  <c:v>-8.1611352831601938</c:v>
                </c:pt>
                <c:pt idx="3718" formatCode="0.00">
                  <c:v>-10.741290285983082</c:v>
                </c:pt>
                <c:pt idx="3719" formatCode="0.00">
                  <c:v>-7.5010880625737837</c:v>
                </c:pt>
                <c:pt idx="3720" formatCode="0.00">
                  <c:v>-7.5555579276450402</c:v>
                </c:pt>
                <c:pt idx="3722" formatCode="0.00">
                  <c:v>-6.7715159109946335</c:v>
                </c:pt>
                <c:pt idx="3723" formatCode="0.00">
                  <c:v>-11.723661452292315</c:v>
                </c:pt>
                <c:pt idx="3727" formatCode="0.00">
                  <c:v>-7.7434784681436293</c:v>
                </c:pt>
                <c:pt idx="3729" formatCode="0.00">
                  <c:v>-9.6721193898900228</c:v>
                </c:pt>
                <c:pt idx="3730" formatCode="0.00">
                  <c:v>-7.923480295773583</c:v>
                </c:pt>
                <c:pt idx="3731" formatCode="0.00">
                  <c:v>-8.1661047301208356</c:v>
                </c:pt>
                <c:pt idx="3732" formatCode="0.00">
                  <c:v>-9.2735227831830702</c:v>
                </c:pt>
                <c:pt idx="3734" formatCode="0.00">
                  <c:v>-9.2426988495439364</c:v>
                </c:pt>
                <c:pt idx="3736" formatCode="0.00">
                  <c:v>-11.699482510880122</c:v>
                </c:pt>
                <c:pt idx="3739" formatCode="0.00">
                  <c:v>-9.5164701982351065</c:v>
                </c:pt>
                <c:pt idx="3740" formatCode="0.00">
                  <c:v>-11.013916967220583</c:v>
                </c:pt>
                <c:pt idx="3741" formatCode="0.00">
                  <c:v>-7.027296400146934</c:v>
                </c:pt>
                <c:pt idx="3742" formatCode="0.00">
                  <c:v>-11.180937554793363</c:v>
                </c:pt>
                <c:pt idx="3747" formatCode="0.00">
                  <c:v>-7.5694502835059891</c:v>
                </c:pt>
                <c:pt idx="3749" formatCode="0.00">
                  <c:v>-7.5426761513720928</c:v>
                </c:pt>
                <c:pt idx="3751" formatCode="0.00">
                  <c:v>-9.3149482546051967</c:v>
                </c:pt>
                <c:pt idx="3752" formatCode="0.00">
                  <c:v>-8.1217793947170982</c:v>
                </c:pt>
                <c:pt idx="3753" formatCode="0.00">
                  <c:v>-7.4051012486686139</c:v>
                </c:pt>
                <c:pt idx="3755" formatCode="0.00">
                  <c:v>-7.5872523097336071</c:v>
                </c:pt>
                <c:pt idx="3760" formatCode="0.00">
                  <c:v>-8.7761595285601643</c:v>
                </c:pt>
                <c:pt idx="3761" formatCode="0.00">
                  <c:v>-7.85286410253621</c:v>
                </c:pt>
                <c:pt idx="3765" formatCode="0.00">
                  <c:v>-7.965303156566347</c:v>
                </c:pt>
                <c:pt idx="3767" formatCode="0.00">
                  <c:v>-8.3835035327595193</c:v>
                </c:pt>
                <c:pt idx="3769" formatCode="0.00">
                  <c:v>-8.7299919532416546</c:v>
                </c:pt>
                <c:pt idx="3770" formatCode="0.00">
                  <c:v>-7.5570264889663514</c:v>
                </c:pt>
                <c:pt idx="3773" formatCode="0.00">
                  <c:v>-6.919061467545351</c:v>
                </c:pt>
                <c:pt idx="3776" formatCode="0.00">
                  <c:v>-8.1693680116855223</c:v>
                </c:pt>
                <c:pt idx="3778" formatCode="0.00">
                  <c:v>-6.5075059605320851</c:v>
                </c:pt>
                <c:pt idx="3780" formatCode="0.00">
                  <c:v>-10.362270792658604</c:v>
                </c:pt>
                <c:pt idx="3781" formatCode="0.00">
                  <c:v>-10.641145937465707</c:v>
                </c:pt>
                <c:pt idx="3782" formatCode="0.00">
                  <c:v>-7.2335891541896116</c:v>
                </c:pt>
                <c:pt idx="3783" formatCode="0.00">
                  <c:v>-7.3299684068392015</c:v>
                </c:pt>
                <c:pt idx="3786" formatCode="0.00">
                  <c:v>-7.0352104307134384</c:v>
                </c:pt>
                <c:pt idx="3787" formatCode="0.00">
                  <c:v>-8.3230888825623364</c:v>
                </c:pt>
                <c:pt idx="3789" formatCode="0.00">
                  <c:v>-8.757253689722635</c:v>
                </c:pt>
                <c:pt idx="3790" formatCode="0.00">
                  <c:v>-6.4834156187393921</c:v>
                </c:pt>
                <c:pt idx="3791" formatCode="0.00">
                  <c:v>-6.6500481341297544</c:v>
                </c:pt>
                <c:pt idx="3792" formatCode="0.00">
                  <c:v>-8.0884297029264047</c:v>
                </c:pt>
                <c:pt idx="3793" formatCode="0.00">
                  <c:v>-8.2318540355324163</c:v>
                </c:pt>
                <c:pt idx="3794" formatCode="0.00">
                  <c:v>-7.2238953982104137</c:v>
                </c:pt>
                <c:pt idx="3796" formatCode="0.00">
                  <c:v>-7.7337538964557817</c:v>
                </c:pt>
                <c:pt idx="3797" formatCode="0.00">
                  <c:v>-7.3627927028393154</c:v>
                </c:pt>
                <c:pt idx="3798" formatCode="0.00">
                  <c:v>-7.8420781632983756</c:v>
                </c:pt>
                <c:pt idx="3801" formatCode="0.00">
                  <c:v>-10.930126545535174</c:v>
                </c:pt>
                <c:pt idx="3802" formatCode="0.00">
                  <c:v>-7.5704443532796537</c:v>
                </c:pt>
                <c:pt idx="3804" formatCode="0.00">
                  <c:v>-10.668786658950127</c:v>
                </c:pt>
                <c:pt idx="3807" formatCode="0.00">
                  <c:v>-7.4618021336633396</c:v>
                </c:pt>
                <c:pt idx="3811" formatCode="0.00">
                  <c:v>-8.3601101308073051</c:v>
                </c:pt>
                <c:pt idx="3812" formatCode="0.00">
                  <c:v>-6.3769850145849363</c:v>
                </c:pt>
                <c:pt idx="3815" formatCode="0.00">
                  <c:v>-7.8999480343812376</c:v>
                </c:pt>
                <c:pt idx="3817" formatCode="0.00">
                  <c:v>-5.9430950093854475</c:v>
                </c:pt>
                <c:pt idx="3819" formatCode="0.00">
                  <c:v>-8.4456411665622628</c:v>
                </c:pt>
                <c:pt idx="3822" formatCode="0.00">
                  <c:v>-7.7815976051960272</c:v>
                </c:pt>
                <c:pt idx="3823" formatCode="0.00">
                  <c:v>-8.3817928604395728</c:v>
                </c:pt>
                <c:pt idx="3824" formatCode="0.00">
                  <c:v>-7.4014278639835229</c:v>
                </c:pt>
                <c:pt idx="3825" formatCode="0.00">
                  <c:v>-7.9060760470340927</c:v>
                </c:pt>
                <c:pt idx="3827" formatCode="0.00">
                  <c:v>-6.3012626802716047</c:v>
                </c:pt>
                <c:pt idx="3828" formatCode="0.00">
                  <c:v>-6.398118093189054</c:v>
                </c:pt>
                <c:pt idx="3829" formatCode="0.00">
                  <c:v>-10.391872044831951</c:v>
                </c:pt>
                <c:pt idx="3834" formatCode="0.00">
                  <c:v>-10.263474719590745</c:v>
                </c:pt>
                <c:pt idx="3835" formatCode="0.00">
                  <c:v>-7.5511781355646361</c:v>
                </c:pt>
                <c:pt idx="3836" formatCode="0.00">
                  <c:v>-9.805617802188241</c:v>
                </c:pt>
                <c:pt idx="3841" formatCode="0.00">
                  <c:v>-8.2916553513297657</c:v>
                </c:pt>
                <c:pt idx="3846" formatCode="0.00">
                  <c:v>-7.4755378544083033</c:v>
                </c:pt>
                <c:pt idx="3847" formatCode="0.00">
                  <c:v>-7.0472834409862921</c:v>
                </c:pt>
                <c:pt idx="3850" formatCode="0.00">
                  <c:v>-6.1347883802473779</c:v>
                </c:pt>
                <c:pt idx="3851" formatCode="0.00">
                  <c:v>-7.1722411380422466</c:v>
                </c:pt>
                <c:pt idx="3852" formatCode="0.00">
                  <c:v>-7.6762928078893395</c:v>
                </c:pt>
                <c:pt idx="3857" formatCode="0.00">
                  <c:v>-9.2916105987483295</c:v>
                </c:pt>
                <c:pt idx="3861" formatCode="0.00">
                  <c:v>-9.9059333737863238</c:v>
                </c:pt>
                <c:pt idx="3862" formatCode="0.00">
                  <c:v>-6.2521920288660962</c:v>
                </c:pt>
                <c:pt idx="3863" formatCode="0.00">
                  <c:v>-6.5851680342230985</c:v>
                </c:pt>
                <c:pt idx="3864" formatCode="0.00">
                  <c:v>-6.6328249232255647</c:v>
                </c:pt>
                <c:pt idx="3867" formatCode="0.00">
                  <c:v>-7.1307936552784899</c:v>
                </c:pt>
                <c:pt idx="3868" formatCode="0.00">
                  <c:v>-7.4483053801213597</c:v>
                </c:pt>
                <c:pt idx="3873" formatCode="0.00">
                  <c:v>-8.8235271886630304</c:v>
                </c:pt>
                <c:pt idx="3874" formatCode="0.00">
                  <c:v>-8.2581984811446407</c:v>
                </c:pt>
                <c:pt idx="3875" formatCode="0.00">
                  <c:v>-10.13210855634264</c:v>
                </c:pt>
                <c:pt idx="3877" formatCode="0.00">
                  <c:v>-6.7712917390432263</c:v>
                </c:pt>
                <c:pt idx="3879" formatCode="0.00">
                  <c:v>-7.880283377759107</c:v>
                </c:pt>
                <c:pt idx="3883" formatCode="0.00">
                  <c:v>-8.5157766029505559</c:v>
                </c:pt>
                <c:pt idx="3884" formatCode="0.00">
                  <c:v>-7.8049756725861705</c:v>
                </c:pt>
                <c:pt idx="3886" formatCode="0.00">
                  <c:v>-10.199270914300234</c:v>
                </c:pt>
                <c:pt idx="3887" formatCode="0.00">
                  <c:v>-8.1936742698201606</c:v>
                </c:pt>
                <c:pt idx="3888" formatCode="0.00">
                  <c:v>-8.3601345117580088</c:v>
                </c:pt>
                <c:pt idx="3891" formatCode="0.00">
                  <c:v>-6.3340580326526581</c:v>
                </c:pt>
                <c:pt idx="3892" formatCode="0.00">
                  <c:v>-7.4760373793828165</c:v>
                </c:pt>
                <c:pt idx="3893" formatCode="0.00">
                  <c:v>-8.5177522256763414</c:v>
                </c:pt>
                <c:pt idx="3897" formatCode="0.00">
                  <c:v>-6.5458175507153697</c:v>
                </c:pt>
                <c:pt idx="3901" formatCode="0.00">
                  <c:v>-7.6068002375824815</c:v>
                </c:pt>
                <c:pt idx="3902" formatCode="0.00">
                  <c:v>-8.10528336738283</c:v>
                </c:pt>
                <c:pt idx="3903" formatCode="0.00">
                  <c:v>-7.2328534282394719</c:v>
                </c:pt>
                <c:pt idx="3908" formatCode="0.00">
                  <c:v>-8.2214991330913598</c:v>
                </c:pt>
                <c:pt idx="3910" formatCode="0.00">
                  <c:v>-7.6416416332228865</c:v>
                </c:pt>
                <c:pt idx="3912" formatCode="0.00">
                  <c:v>-7.5659195660220719</c:v>
                </c:pt>
                <c:pt idx="3913" formatCode="0.00">
                  <c:v>-7.1074170698766119</c:v>
                </c:pt>
                <c:pt idx="3914" formatCode="0.00">
                  <c:v>-7.2765872325203649</c:v>
                </c:pt>
                <c:pt idx="3915" formatCode="0.00">
                  <c:v>-6.3565823762503237</c:v>
                </c:pt>
                <c:pt idx="3916" formatCode="0.00">
                  <c:v>-8.3735992115231284</c:v>
                </c:pt>
                <c:pt idx="3920" formatCode="0.00">
                  <c:v>-8.4873453748013326</c:v>
                </c:pt>
                <c:pt idx="3922" formatCode="0.00">
                  <c:v>-7.2843091821050896</c:v>
                </c:pt>
                <c:pt idx="3923" formatCode="0.00">
                  <c:v>-7.3836092396030404</c:v>
                </c:pt>
                <c:pt idx="3924" formatCode="0.00">
                  <c:v>-6.9683216858171848</c:v>
                </c:pt>
                <c:pt idx="3926" formatCode="0.00">
                  <c:v>-9.4435919989161885</c:v>
                </c:pt>
                <c:pt idx="3927" formatCode="0.00">
                  <c:v>-7.8551705140974111</c:v>
                </c:pt>
                <c:pt idx="3931" formatCode="0.00">
                  <c:v>-7.4597289534907709</c:v>
                </c:pt>
                <c:pt idx="3935" formatCode="0.00">
                  <c:v>-7.3795420885582148</c:v>
                </c:pt>
                <c:pt idx="3936" formatCode="0.00">
                  <c:v>-8.0310234527672382</c:v>
                </c:pt>
                <c:pt idx="3937" formatCode="0.00">
                  <c:v>-6.2685945347082539</c:v>
                </c:pt>
                <c:pt idx="3938" formatCode="0.00">
                  <c:v>-6.7196954792479966</c:v>
                </c:pt>
                <c:pt idx="3940" formatCode="0.00">
                  <c:v>-8.0060545583489322</c:v>
                </c:pt>
                <c:pt idx="3941" formatCode="0.00">
                  <c:v>-6.8009254516682338</c:v>
                </c:pt>
                <c:pt idx="3942" formatCode="0.00">
                  <c:v>-8.5788851676542155</c:v>
                </c:pt>
                <c:pt idx="3944" formatCode="0.00">
                  <c:v>-8.0246212842090934</c:v>
                </c:pt>
                <c:pt idx="3947" formatCode="0.00">
                  <c:v>-6.2325644688583699</c:v>
                </c:pt>
                <c:pt idx="3951" formatCode="0.00">
                  <c:v>-9.114121738465542</c:v>
                </c:pt>
                <c:pt idx="3953" formatCode="0.00">
                  <c:v>-8.2483320864753402</c:v>
                </c:pt>
                <c:pt idx="3954" formatCode="0.00">
                  <c:v>-10.468710940943565</c:v>
                </c:pt>
                <c:pt idx="3956" formatCode="0.00">
                  <c:v>-7.6666503901160192</c:v>
                </c:pt>
                <c:pt idx="3957" formatCode="0.00">
                  <c:v>-8.2466893209465173</c:v>
                </c:pt>
                <c:pt idx="3958" formatCode="0.00">
                  <c:v>-9.2008899712079497</c:v>
                </c:pt>
                <c:pt idx="3959" formatCode="0.00">
                  <c:v>-7.4005002101627086</c:v>
                </c:pt>
                <c:pt idx="3960" formatCode="0.00">
                  <c:v>-6.775438439545157</c:v>
                </c:pt>
                <c:pt idx="3963" formatCode="0.00">
                  <c:v>-6.99690207279777</c:v>
                </c:pt>
                <c:pt idx="3964" formatCode="0.00">
                  <c:v>-8.4322729769722624</c:v>
                </c:pt>
                <c:pt idx="3965" formatCode="0.00">
                  <c:v>-8.5924301323827592</c:v>
                </c:pt>
                <c:pt idx="3967" formatCode="0.00">
                  <c:v>-7.6241736333121679</c:v>
                </c:pt>
                <c:pt idx="3968" formatCode="0.00">
                  <c:v>-6.560724907560382</c:v>
                </c:pt>
                <c:pt idx="3970" formatCode="0.00">
                  <c:v>-7.0724098003925784</c:v>
                </c:pt>
                <c:pt idx="3975" formatCode="0.00">
                  <c:v>-7.4730745055713008</c:v>
                </c:pt>
                <c:pt idx="3976" formatCode="0.00">
                  <c:v>-7.9661877454647572</c:v>
                </c:pt>
                <c:pt idx="3977" formatCode="0.00">
                  <c:v>-6.6793456654138552</c:v>
                </c:pt>
                <c:pt idx="3978" formatCode="0.00">
                  <c:v>-9.5113764493534383</c:v>
                </c:pt>
                <c:pt idx="3979" formatCode="0.00">
                  <c:v>-8.3559661070777498</c:v>
                </c:pt>
                <c:pt idx="3981" formatCode="0.00">
                  <c:v>-9.3613948300018972</c:v>
                </c:pt>
                <c:pt idx="3983" formatCode="0.00">
                  <c:v>-6.0678890261188689</c:v>
                </c:pt>
                <c:pt idx="3984" formatCode="0.00">
                  <c:v>-6.6817155407282183</c:v>
                </c:pt>
                <c:pt idx="3985" formatCode="0.00">
                  <c:v>-7.2814551927578872</c:v>
                </c:pt>
                <c:pt idx="3986" formatCode="0.00">
                  <c:v>-6.8935241078649714</c:v>
                </c:pt>
                <c:pt idx="3988" formatCode="0.00">
                  <c:v>-7.1996312540976843</c:v>
                </c:pt>
                <c:pt idx="3991" formatCode="0.00">
                  <c:v>-7.7376281789892039</c:v>
                </c:pt>
                <c:pt idx="3992" formatCode="0.00">
                  <c:v>-7.3522341429256475</c:v>
                </c:pt>
                <c:pt idx="3993" formatCode="0.00">
                  <c:v>-10.476365009691245</c:v>
                </c:pt>
                <c:pt idx="3994" formatCode="0.00">
                  <c:v>-8.477516155489349</c:v>
                </c:pt>
                <c:pt idx="3996" formatCode="0.00">
                  <c:v>-10.200704741897878</c:v>
                </c:pt>
                <c:pt idx="3997" formatCode="0.00">
                  <c:v>-8.2784400975114583</c:v>
                </c:pt>
                <c:pt idx="3998" formatCode="0.00">
                  <c:v>-8.82147483034883</c:v>
                </c:pt>
                <c:pt idx="3999" formatCode="0.00">
                  <c:v>-5.8610350562050417</c:v>
                </c:pt>
                <c:pt idx="4000" formatCode="0.00">
                  <c:v>-7.2453516318657192</c:v>
                </c:pt>
                <c:pt idx="4005" formatCode="0.00">
                  <c:v>-8.0209681612806278</c:v>
                </c:pt>
                <c:pt idx="4006" formatCode="0.00">
                  <c:v>-7.3822985249134341</c:v>
                </c:pt>
                <c:pt idx="4007" formatCode="0.00">
                  <c:v>-6.8675632022561555</c:v>
                </c:pt>
                <c:pt idx="4010" formatCode="0.00">
                  <c:v>-8.2377234499959666</c:v>
                </c:pt>
                <c:pt idx="4013" formatCode="0.00">
                  <c:v>-7.1287288431687621</c:v>
                </c:pt>
                <c:pt idx="4018" formatCode="0.00">
                  <c:v>-7.9926697527504391</c:v>
                </c:pt>
                <c:pt idx="4020" formatCode="0.00">
                  <c:v>-8.1696158221853619</c:v>
                </c:pt>
                <c:pt idx="4021" formatCode="0.00">
                  <c:v>-6.312790374529091</c:v>
                </c:pt>
                <c:pt idx="4023" formatCode="0.00">
                  <c:v>-7.5246894563211031</c:v>
                </c:pt>
                <c:pt idx="4025" formatCode="0.00">
                  <c:v>-7.2298096806760821</c:v>
                </c:pt>
                <c:pt idx="4027" formatCode="0.00">
                  <c:v>-6.5145582947967409</c:v>
                </c:pt>
                <c:pt idx="4028" formatCode="0.00">
                  <c:v>-7.5414983545532959</c:v>
                </c:pt>
                <c:pt idx="4033" formatCode="0.00">
                  <c:v>-8.1690800393187679</c:v>
                </c:pt>
                <c:pt idx="4039" formatCode="0.00">
                  <c:v>-7.1084934975977712</c:v>
                </c:pt>
                <c:pt idx="4043" formatCode="0.00">
                  <c:v>-8.6040701310879175</c:v>
                </c:pt>
                <c:pt idx="4044" formatCode="0.00">
                  <c:v>-7.2839656445649208</c:v>
                </c:pt>
                <c:pt idx="4045" formatCode="0.00">
                  <c:v>-5.9031168302344375</c:v>
                </c:pt>
                <c:pt idx="4048" formatCode="0.00">
                  <c:v>-8.0936094694168386</c:v>
                </c:pt>
                <c:pt idx="4049" formatCode="0.00">
                  <c:v>-7.4400159288480934</c:v>
                </c:pt>
                <c:pt idx="4053" formatCode="0.00">
                  <c:v>-6.6867757614396535</c:v>
                </c:pt>
                <c:pt idx="4054" formatCode="0.00">
                  <c:v>-7.6265117304977474</c:v>
                </c:pt>
                <c:pt idx="4057" formatCode="0.00">
                  <c:v>-8.5455333888496483</c:v>
                </c:pt>
                <c:pt idx="4058" formatCode="0.00">
                  <c:v>-8.9076983113454773</c:v>
                </c:pt>
                <c:pt idx="4060" formatCode="0.00">
                  <c:v>-9.1935061742452824</c:v>
                </c:pt>
                <c:pt idx="4061" formatCode="0.00">
                  <c:v>-7.4338636263294537</c:v>
                </c:pt>
                <c:pt idx="4062" formatCode="0.00">
                  <c:v>-6.5663672151139378</c:v>
                </c:pt>
                <c:pt idx="4064" formatCode="0.00">
                  <c:v>-7.517745929055784</c:v>
                </c:pt>
                <c:pt idx="4065" formatCode="0.00">
                  <c:v>-7.3082780179519089</c:v>
                </c:pt>
                <c:pt idx="4066" formatCode="0.00">
                  <c:v>-8.0495610224416563</c:v>
                </c:pt>
                <c:pt idx="4067" formatCode="0.00">
                  <c:v>-6.4030449938821761</c:v>
                </c:pt>
                <c:pt idx="4068" formatCode="0.00">
                  <c:v>-6.3414289036762037</c:v>
                </c:pt>
                <c:pt idx="4069" formatCode="0.00">
                  <c:v>-7.5587376309967809</c:v>
                </c:pt>
                <c:pt idx="4070" formatCode="0.00">
                  <c:v>-8.6779285427998989</c:v>
                </c:pt>
                <c:pt idx="4071" formatCode="0.00">
                  <c:v>-7.253869363661182</c:v>
                </c:pt>
                <c:pt idx="4072" formatCode="0.00">
                  <c:v>-6.5423710560226933</c:v>
                </c:pt>
                <c:pt idx="4073" formatCode="0.00">
                  <c:v>-7.0130917250534663</c:v>
                </c:pt>
                <c:pt idx="4074" formatCode="0.00">
                  <c:v>-6.5134937293489443</c:v>
                </c:pt>
                <c:pt idx="4075" formatCode="0.00">
                  <c:v>-5.9294578135339329</c:v>
                </c:pt>
                <c:pt idx="4077" formatCode="0.00">
                  <c:v>-6.7649237262200961</c:v>
                </c:pt>
                <c:pt idx="4078" formatCode="0.00">
                  <c:v>-6.636957709586941</c:v>
                </c:pt>
                <c:pt idx="4079" formatCode="0.00">
                  <c:v>-7.0639126997970374</c:v>
                </c:pt>
                <c:pt idx="4082" formatCode="0.00">
                  <c:v>-7.2709467167642376</c:v>
                </c:pt>
                <c:pt idx="4084" formatCode="0.00">
                  <c:v>-6.2401831506193481</c:v>
                </c:pt>
                <c:pt idx="4085" formatCode="0.00">
                  <c:v>-7.1608900220968703</c:v>
                </c:pt>
                <c:pt idx="4087" formatCode="0.00">
                  <c:v>-6.5413502023071599</c:v>
                </c:pt>
                <c:pt idx="4091" formatCode="0.00">
                  <c:v>-6.123949612517217</c:v>
                </c:pt>
                <c:pt idx="4092" formatCode="0.00">
                  <c:v>-7.3068096055560492</c:v>
                </c:pt>
                <c:pt idx="4094" formatCode="0.00">
                  <c:v>-8.8481068917219758</c:v>
                </c:pt>
                <c:pt idx="4095" formatCode="0.00">
                  <c:v>-6.7076221463876111</c:v>
                </c:pt>
                <c:pt idx="4096" formatCode="0.00">
                  <c:v>-8.5632051335896904</c:v>
                </c:pt>
                <c:pt idx="4101" formatCode="0.00">
                  <c:v>-8.2566155049931034</c:v>
                </c:pt>
                <c:pt idx="4102" formatCode="0.00">
                  <c:v>-6.273898107356505</c:v>
                </c:pt>
                <c:pt idx="4103" formatCode="0.00">
                  <c:v>-8.1563995634520463</c:v>
                </c:pt>
                <c:pt idx="4106" formatCode="0.00">
                  <c:v>-7.3546944754322983</c:v>
                </c:pt>
                <c:pt idx="4108" formatCode="0.00">
                  <c:v>-6.6964485022450955</c:v>
                </c:pt>
                <c:pt idx="4110" formatCode="0.00">
                  <c:v>-6.4394948182327019</c:v>
                </c:pt>
                <c:pt idx="4113" formatCode="0.00">
                  <c:v>-7.3691011309992778</c:v>
                </c:pt>
                <c:pt idx="4116" formatCode="0.00">
                  <c:v>-7.9400481306231985</c:v>
                </c:pt>
                <c:pt idx="4119" formatCode="0.00">
                  <c:v>-8.0339914527865162</c:v>
                </c:pt>
                <c:pt idx="4121" formatCode="0.00">
                  <c:v>-7.5575671343461917</c:v>
                </c:pt>
                <c:pt idx="4122" formatCode="0.00">
                  <c:v>-8.5469047380898804</c:v>
                </c:pt>
                <c:pt idx="4125" formatCode="0.00">
                  <c:v>-8.0969113699354072</c:v>
                </c:pt>
                <c:pt idx="4128" formatCode="0.00">
                  <c:v>-6.3812368445160041</c:v>
                </c:pt>
                <c:pt idx="4132" formatCode="0.00">
                  <c:v>-7.0439064373806426</c:v>
                </c:pt>
                <c:pt idx="4135" formatCode="0.00">
                  <c:v>-7.1877137551128198</c:v>
                </c:pt>
                <c:pt idx="4136" formatCode="0.00">
                  <c:v>-7.8865708766618408</c:v>
                </c:pt>
                <c:pt idx="4137" formatCode="0.00">
                  <c:v>-6.4574590305220747</c:v>
                </c:pt>
                <c:pt idx="4139" formatCode="0.00">
                  <c:v>-6.5098950228787205</c:v>
                </c:pt>
                <c:pt idx="4140" formatCode="0.00">
                  <c:v>-6.5341484939176029</c:v>
                </c:pt>
                <c:pt idx="4145" formatCode="0.00">
                  <c:v>-9.1432212789897243</c:v>
                </c:pt>
                <c:pt idx="4148" formatCode="0.00">
                  <c:v>-6.7831442442600691</c:v>
                </c:pt>
                <c:pt idx="4149" formatCode="0.00">
                  <c:v>-6.7300731789872552</c:v>
                </c:pt>
                <c:pt idx="4150" formatCode="0.00">
                  <c:v>-7.142492153383559</c:v>
                </c:pt>
                <c:pt idx="4151" formatCode="0.00">
                  <c:v>-7.3716903165006196</c:v>
                </c:pt>
                <c:pt idx="4152" formatCode="0.00">
                  <c:v>-6.3904083775668754</c:v>
                </c:pt>
                <c:pt idx="4154" formatCode="0.00">
                  <c:v>-7.4657270915684624</c:v>
                </c:pt>
                <c:pt idx="4155" formatCode="0.00">
                  <c:v>-7.348095222753483</c:v>
                </c:pt>
                <c:pt idx="4156" formatCode="0.00">
                  <c:v>-7.1616466609757712</c:v>
                </c:pt>
                <c:pt idx="4157" formatCode="0.00">
                  <c:v>-7.4543548260361758</c:v>
                </c:pt>
                <c:pt idx="4158" formatCode="0.00">
                  <c:v>-9.0716488314928903</c:v>
                </c:pt>
                <c:pt idx="4162" formatCode="0.00">
                  <c:v>-8.2120030441962939</c:v>
                </c:pt>
                <c:pt idx="4163" formatCode="0.00">
                  <c:v>-6.563963378311457</c:v>
                </c:pt>
                <c:pt idx="4166" formatCode="0.00">
                  <c:v>-6.6249728779121062</c:v>
                </c:pt>
                <c:pt idx="4167" formatCode="0.00">
                  <c:v>-5.3724883969903372</c:v>
                </c:pt>
                <c:pt idx="4170" formatCode="0.00">
                  <c:v>-5.6893624627033175</c:v>
                </c:pt>
                <c:pt idx="4171" formatCode="0.00">
                  <c:v>-7.6470849571499899</c:v>
                </c:pt>
                <c:pt idx="4172" formatCode="0.00">
                  <c:v>-7.393939401006242</c:v>
                </c:pt>
                <c:pt idx="4174" formatCode="0.00">
                  <c:v>-8.8681453137879362</c:v>
                </c:pt>
                <c:pt idx="4175" formatCode="0.00">
                  <c:v>-6.767496553592613</c:v>
                </c:pt>
                <c:pt idx="4178" formatCode="0.00">
                  <c:v>-8.0783137166427874</c:v>
                </c:pt>
                <c:pt idx="4179" formatCode="0.00">
                  <c:v>-5.7906854642806955</c:v>
                </c:pt>
                <c:pt idx="4180" formatCode="0.00">
                  <c:v>-9.0897488718948054</c:v>
                </c:pt>
                <c:pt idx="4181" formatCode="0.00">
                  <c:v>-6.938645911934791</c:v>
                </c:pt>
                <c:pt idx="4186" formatCode="0.00">
                  <c:v>-8.0708103264591138</c:v>
                </c:pt>
                <c:pt idx="4189" formatCode="0.00">
                  <c:v>-7.888470955735861</c:v>
                </c:pt>
                <c:pt idx="4193" formatCode="0.00">
                  <c:v>-7.6994832437698815</c:v>
                </c:pt>
                <c:pt idx="4197" formatCode="0.00">
                  <c:v>-8.1170800568907548</c:v>
                </c:pt>
                <c:pt idx="4201" formatCode="0.00">
                  <c:v>-8.1725083072735867</c:v>
                </c:pt>
                <c:pt idx="4202" formatCode="0.00">
                  <c:v>-7.077872339684788</c:v>
                </c:pt>
                <c:pt idx="4205" formatCode="0.00">
                  <c:v>-7.3080304099881568</c:v>
                </c:pt>
                <c:pt idx="4209" formatCode="0.00">
                  <c:v>-6.5827237843001765</c:v>
                </c:pt>
                <c:pt idx="4211" formatCode="0.00">
                  <c:v>-6.5847739745955076</c:v>
                </c:pt>
                <c:pt idx="4212" formatCode="0.00">
                  <c:v>-8.7953618198179804</c:v>
                </c:pt>
                <c:pt idx="4214" formatCode="0.00">
                  <c:v>-7.6247377589702898</c:v>
                </c:pt>
                <c:pt idx="4215" formatCode="0.00">
                  <c:v>-6.0995130563549207</c:v>
                </c:pt>
                <c:pt idx="4217" formatCode="0.00">
                  <c:v>-8.5160221069106061</c:v>
                </c:pt>
                <c:pt idx="4219" formatCode="0.00">
                  <c:v>-5.7910857837386658</c:v>
                </c:pt>
                <c:pt idx="4220" formatCode="0.00">
                  <c:v>-7.6090858463637172</c:v>
                </c:pt>
                <c:pt idx="4223" formatCode="0.00">
                  <c:v>-7.4695264427911825</c:v>
                </c:pt>
                <c:pt idx="4224" formatCode="0.00">
                  <c:v>-7.4572740156931507</c:v>
                </c:pt>
                <c:pt idx="4225" formatCode="0.00">
                  <c:v>-7.5022803950722361</c:v>
                </c:pt>
                <c:pt idx="4228" formatCode="0.00">
                  <c:v>-6.2384959396128918</c:v>
                </c:pt>
                <c:pt idx="4230" formatCode="0.00">
                  <c:v>-8.2889082361046817</c:v>
                </c:pt>
                <c:pt idx="4231" formatCode="0.00">
                  <c:v>-6.7871747360700363</c:v>
                </c:pt>
                <c:pt idx="4233" formatCode="0.00">
                  <c:v>-7.720766305993517</c:v>
                </c:pt>
                <c:pt idx="4234" formatCode="0.00">
                  <c:v>-7.1868354679253983</c:v>
                </c:pt>
                <c:pt idx="4235" formatCode="0.00">
                  <c:v>-6.522138783999023</c:v>
                </c:pt>
                <c:pt idx="4237" formatCode="0.00">
                  <c:v>-6.8594657568782322</c:v>
                </c:pt>
                <c:pt idx="4238" formatCode="0.00">
                  <c:v>-6.696340559247024</c:v>
                </c:pt>
                <c:pt idx="4239" formatCode="0.00">
                  <c:v>-9.1277871438464633</c:v>
                </c:pt>
                <c:pt idx="4240" formatCode="0.00">
                  <c:v>-6.4180259604822956</c:v>
                </c:pt>
                <c:pt idx="4241" formatCode="0.00">
                  <c:v>-7.4199163542019901</c:v>
                </c:pt>
                <c:pt idx="4243" formatCode="0.00">
                  <c:v>-7.6451374787333322</c:v>
                </c:pt>
                <c:pt idx="4244" formatCode="0.00">
                  <c:v>-8.1368028245544508</c:v>
                </c:pt>
                <c:pt idx="4245" formatCode="0.00">
                  <c:v>-8.2092881943230154</c:v>
                </c:pt>
                <c:pt idx="4246" formatCode="0.00">
                  <c:v>-8.0330363970814389</c:v>
                </c:pt>
                <c:pt idx="4247" formatCode="0.00">
                  <c:v>-7.9031075544218732</c:v>
                </c:pt>
                <c:pt idx="4250" formatCode="0.00">
                  <c:v>-7.0853636677783252</c:v>
                </c:pt>
                <c:pt idx="4251" formatCode="0.00">
                  <c:v>-6.290628306543101</c:v>
                </c:pt>
                <c:pt idx="4252" formatCode="0.00">
                  <c:v>-7.1141021398561799</c:v>
                </c:pt>
                <c:pt idx="4253" formatCode="0.00">
                  <c:v>-8.1760045320227857</c:v>
                </c:pt>
                <c:pt idx="4254" formatCode="0.00">
                  <c:v>-7.6636352389959042</c:v>
                </c:pt>
                <c:pt idx="4256" formatCode="0.00">
                  <c:v>-7.5449142015895374</c:v>
                </c:pt>
                <c:pt idx="4257" formatCode="0.00">
                  <c:v>-7.4262799963577066</c:v>
                </c:pt>
                <c:pt idx="4261" formatCode="0.00">
                  <c:v>-7.5387503887135967</c:v>
                </c:pt>
                <c:pt idx="4262" formatCode="0.00">
                  <c:v>-8.0345154450044465</c:v>
                </c:pt>
                <c:pt idx="4264" formatCode="0.00">
                  <c:v>-7.5024104594518182</c:v>
                </c:pt>
                <c:pt idx="4265" formatCode="0.00">
                  <c:v>-6.9777648503049967</c:v>
                </c:pt>
                <c:pt idx="4268" formatCode="0.00">
                  <c:v>-6.6912378039670033</c:v>
                </c:pt>
                <c:pt idx="4271" formatCode="0.00">
                  <c:v>-7.4161940093091481</c:v>
                </c:pt>
                <c:pt idx="4272" formatCode="0.00">
                  <c:v>-7.1703450547069085</c:v>
                </c:pt>
                <c:pt idx="4276" formatCode="0.00">
                  <c:v>-6.588369342938007</c:v>
                </c:pt>
                <c:pt idx="4277" formatCode="0.00">
                  <c:v>-8.128235451370001</c:v>
                </c:pt>
                <c:pt idx="4285" formatCode="0.00">
                  <c:v>-7.6820527107630587</c:v>
                </c:pt>
                <c:pt idx="4287" formatCode="0.00">
                  <c:v>-7.3227810011668186</c:v>
                </c:pt>
                <c:pt idx="4292" formatCode="0.00">
                  <c:v>-9.2247620403671604</c:v>
                </c:pt>
                <c:pt idx="4293" formatCode="0.00">
                  <c:v>-8.1204072755109831</c:v>
                </c:pt>
                <c:pt idx="4294" formatCode="0.00">
                  <c:v>-8.2518112951411524</c:v>
                </c:pt>
                <c:pt idx="4296" formatCode="0.00">
                  <c:v>-8.3634119683701424</c:v>
                </c:pt>
                <c:pt idx="4297" formatCode="0.00">
                  <c:v>-7.1940795660296146</c:v>
                </c:pt>
                <c:pt idx="4298" formatCode="0.00">
                  <c:v>-7.2008671429065911</c:v>
                </c:pt>
                <c:pt idx="4299" formatCode="0.00">
                  <c:v>-7.01255100240886</c:v>
                </c:pt>
                <c:pt idx="4300" formatCode="0.00">
                  <c:v>-8.1110612688477488</c:v>
                </c:pt>
                <c:pt idx="4301" formatCode="0.00">
                  <c:v>-6.6316094020471876</c:v>
                </c:pt>
                <c:pt idx="4302" formatCode="0.00">
                  <c:v>-7.7708705292213001</c:v>
                </c:pt>
                <c:pt idx="4303" formatCode="0.00">
                  <c:v>-7.2528046823531653</c:v>
                </c:pt>
                <c:pt idx="4304" formatCode="0.00">
                  <c:v>-8.1770636874644946</c:v>
                </c:pt>
                <c:pt idx="4306" formatCode="0.00">
                  <c:v>-8.7759648978984952</c:v>
                </c:pt>
                <c:pt idx="4307" formatCode="0.00">
                  <c:v>-7.3418054390003853</c:v>
                </c:pt>
                <c:pt idx="4308" formatCode="0.00">
                  <c:v>-7.1528995573436669</c:v>
                </c:pt>
                <c:pt idx="4309" formatCode="0.00">
                  <c:v>-8.3187145454090317</c:v>
                </c:pt>
                <c:pt idx="4310" formatCode="0.00">
                  <c:v>-7.7714789558472734</c:v>
                </c:pt>
                <c:pt idx="4311" formatCode="0.00">
                  <c:v>-7.5433174069588818</c:v>
                </c:pt>
                <c:pt idx="4312" formatCode="0.00">
                  <c:v>-6.9363114197017461</c:v>
                </c:pt>
                <c:pt idx="4314" formatCode="0.00">
                  <c:v>-7.332856348393836</c:v>
                </c:pt>
                <c:pt idx="4315" formatCode="0.00">
                  <c:v>-8.0772387898080016</c:v>
                </c:pt>
                <c:pt idx="4316" formatCode="0.00">
                  <c:v>-7.5148751541426968</c:v>
                </c:pt>
                <c:pt idx="4317" formatCode="0.00">
                  <c:v>-8.6541282835527475</c:v>
                </c:pt>
                <c:pt idx="4318" formatCode="0.00">
                  <c:v>-8.5246018456424864</c:v>
                </c:pt>
                <c:pt idx="4320" formatCode="0.00">
                  <c:v>-7.9108978890461144</c:v>
                </c:pt>
                <c:pt idx="4321" formatCode="0.00">
                  <c:v>-7.5127124909369032</c:v>
                </c:pt>
                <c:pt idx="4322" formatCode="0.00">
                  <c:v>-7.2940238812554359</c:v>
                </c:pt>
                <c:pt idx="4323" formatCode="0.00">
                  <c:v>-7.895988624804696</c:v>
                </c:pt>
                <c:pt idx="4324" formatCode="0.00">
                  <c:v>-7.6316547871637246</c:v>
                </c:pt>
                <c:pt idx="4325" formatCode="0.00">
                  <c:v>-7.8984842965618327</c:v>
                </c:pt>
                <c:pt idx="4329" formatCode="0.00">
                  <c:v>-7.6886644277141096</c:v>
                </c:pt>
                <c:pt idx="4330" formatCode="0.00">
                  <c:v>-7.8841925384553981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1'!$AO$2:$AO$4332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1'!$AT$2:$AT$4332</c:f>
              <c:numCache>
                <c:formatCode>General</c:formatCode>
                <c:ptCount val="4331"/>
                <c:pt idx="8" formatCode="0.00">
                  <c:v>-3.2994006569212493</c:v>
                </c:pt>
                <c:pt idx="11" formatCode="0.00">
                  <c:v>-6.335198125955591</c:v>
                </c:pt>
                <c:pt idx="12" formatCode="0.00">
                  <c:v>-3.681894511487255</c:v>
                </c:pt>
                <c:pt idx="16" formatCode="0.00">
                  <c:v>-4.309224246381909</c:v>
                </c:pt>
                <c:pt idx="20" formatCode="0.00">
                  <c:v>-4.54248453646015</c:v>
                </c:pt>
                <c:pt idx="25" formatCode="0.00">
                  <c:v>-5.0093194428449053</c:v>
                </c:pt>
                <c:pt idx="29" formatCode="0.00">
                  <c:v>-4.9438868605652599</c:v>
                </c:pt>
                <c:pt idx="30" formatCode="0.00">
                  <c:v>-4.7119451168748876</c:v>
                </c:pt>
                <c:pt idx="32" formatCode="0.00">
                  <c:v>-5.1586328474979393</c:v>
                </c:pt>
                <c:pt idx="46" formatCode="0.00">
                  <c:v>-4.6176744569358448</c:v>
                </c:pt>
                <c:pt idx="50" formatCode="0.00">
                  <c:v>-4.3259567035808875</c:v>
                </c:pt>
                <c:pt idx="53" formatCode="0.00">
                  <c:v>-4.0906164294783167</c:v>
                </c:pt>
                <c:pt idx="54" formatCode="0.00">
                  <c:v>-3.5949500151543012</c:v>
                </c:pt>
                <c:pt idx="56" formatCode="0.00">
                  <c:v>-3.130629755039434</c:v>
                </c:pt>
                <c:pt idx="58" formatCode="0.00">
                  <c:v>-4.3543506020797622</c:v>
                </c:pt>
                <c:pt idx="68" formatCode="0.00">
                  <c:v>-3.89719316709113</c:v>
                </c:pt>
                <c:pt idx="75" formatCode="0.00">
                  <c:v>-2.6184372504260716</c:v>
                </c:pt>
                <c:pt idx="77" formatCode="0.00">
                  <c:v>-2.8110811738153503</c:v>
                </c:pt>
                <c:pt idx="81" formatCode="0.00">
                  <c:v>-3.8030317365818322</c:v>
                </c:pt>
                <c:pt idx="85" formatCode="0.00">
                  <c:v>-3.5744817971926248</c:v>
                </c:pt>
                <c:pt idx="95" formatCode="0.00">
                  <c:v>-3.3593889337583298</c:v>
                </c:pt>
                <c:pt idx="106" formatCode="0.00">
                  <c:v>-4.0626343142105776</c:v>
                </c:pt>
                <c:pt idx="112" formatCode="0.00">
                  <c:v>-3.894102168971965</c:v>
                </c:pt>
                <c:pt idx="143" formatCode="0.00">
                  <c:v>-3.4670437012282154</c:v>
                </c:pt>
                <c:pt idx="151" formatCode="0.00">
                  <c:v>-3.8193377243235882</c:v>
                </c:pt>
                <c:pt idx="161" formatCode="0.00">
                  <c:v>-4.3656169721729041</c:v>
                </c:pt>
                <c:pt idx="163" formatCode="0.00">
                  <c:v>-4.3705894598936084</c:v>
                </c:pt>
                <c:pt idx="164" formatCode="0.00">
                  <c:v>-3.9676533779841101</c:v>
                </c:pt>
                <c:pt idx="182" formatCode="0.00">
                  <c:v>-4.487896789045867</c:v>
                </c:pt>
                <c:pt idx="187" formatCode="0.00">
                  <c:v>-5.1599725078314975</c:v>
                </c:pt>
                <c:pt idx="189" formatCode="0.00">
                  <c:v>-3.6034564260246134</c:v>
                </c:pt>
                <c:pt idx="204" formatCode="0.00">
                  <c:v>-5.4208145082979264</c:v>
                </c:pt>
                <c:pt idx="208" formatCode="0.00">
                  <c:v>-5.0313393716659744</c:v>
                </c:pt>
                <c:pt idx="215" formatCode="0.00">
                  <c:v>-4.4951783075509448</c:v>
                </c:pt>
                <c:pt idx="248" formatCode="0.00">
                  <c:v>-4.6207238835547466</c:v>
                </c:pt>
                <c:pt idx="259" formatCode="0.00">
                  <c:v>-4.0754433607740017</c:v>
                </c:pt>
                <c:pt idx="284" formatCode="0.00">
                  <c:v>-4.1050391209186916</c:v>
                </c:pt>
                <c:pt idx="288" formatCode="0.00">
                  <c:v>-3.771053573926141</c:v>
                </c:pt>
                <c:pt idx="289" formatCode="0.00">
                  <c:v>-4.8514619399003855</c:v>
                </c:pt>
                <c:pt idx="312" formatCode="0.00">
                  <c:v>-3.8383241343601457</c:v>
                </c:pt>
                <c:pt idx="316" formatCode="0.00">
                  <c:v>-4.2918566267070268</c:v>
                </c:pt>
                <c:pt idx="317" formatCode="0.00">
                  <c:v>-4.1137075158169063</c:v>
                </c:pt>
                <c:pt idx="319" formatCode="0.00">
                  <c:v>-4.5557276315169188</c:v>
                </c:pt>
                <c:pt idx="328" formatCode="0.00">
                  <c:v>-4.6461425402618914</c:v>
                </c:pt>
                <c:pt idx="339" formatCode="0.00">
                  <c:v>-4.4051222382742523</c:v>
                </c:pt>
                <c:pt idx="343" formatCode="0.00">
                  <c:v>-3.8526829272934928</c:v>
                </c:pt>
                <c:pt idx="345" formatCode="0.00">
                  <c:v>-4.6198737025438037</c:v>
                </c:pt>
                <c:pt idx="351" formatCode="0.00">
                  <c:v>-3.6772035480196767</c:v>
                </c:pt>
                <c:pt idx="353" formatCode="0.00">
                  <c:v>-3.8823186951982214</c:v>
                </c:pt>
                <c:pt idx="364" formatCode="0.00">
                  <c:v>-4.5397448832320011</c:v>
                </c:pt>
                <c:pt idx="369" formatCode="0.00">
                  <c:v>-4.4871220379850847</c:v>
                </c:pt>
                <c:pt idx="370" formatCode="0.00">
                  <c:v>-4.2237889104966877</c:v>
                </c:pt>
                <c:pt idx="377" formatCode="0.00">
                  <c:v>-4.1609681875953894</c:v>
                </c:pt>
                <c:pt idx="383" formatCode="0.00">
                  <c:v>-4.2880904515348695</c:v>
                </c:pt>
                <c:pt idx="384" formatCode="0.00">
                  <c:v>-3.364374103775468</c:v>
                </c:pt>
                <c:pt idx="389" formatCode="0.00">
                  <c:v>-3.0084505692130112</c:v>
                </c:pt>
                <c:pt idx="392" formatCode="0.00">
                  <c:v>-4.3645638586308397</c:v>
                </c:pt>
                <c:pt idx="395" formatCode="0.00">
                  <c:v>-4.2782075700433788</c:v>
                </c:pt>
                <c:pt idx="400" formatCode="0.00">
                  <c:v>-3.3327154779573918</c:v>
                </c:pt>
                <c:pt idx="404" formatCode="0.00">
                  <c:v>-3.499690453320293</c:v>
                </c:pt>
                <c:pt idx="405" formatCode="0.00">
                  <c:v>-2.8889013090077427</c:v>
                </c:pt>
                <c:pt idx="410" formatCode="0.00">
                  <c:v>-4.631037229478018</c:v>
                </c:pt>
                <c:pt idx="412" formatCode="0.00">
                  <c:v>-3.6691397674007891</c:v>
                </c:pt>
                <c:pt idx="415" formatCode="0.00">
                  <c:v>-3.312665272215165</c:v>
                </c:pt>
                <c:pt idx="418" formatCode="0.00">
                  <c:v>-4.0682829362515003</c:v>
                </c:pt>
                <c:pt idx="432" formatCode="0.00">
                  <c:v>-3.0443708922402171</c:v>
                </c:pt>
                <c:pt idx="437" formatCode="0.00">
                  <c:v>-3.3422254320097964</c:v>
                </c:pt>
                <c:pt idx="444" formatCode="0.00">
                  <c:v>-4.2734907780055469</c:v>
                </c:pt>
                <c:pt idx="445" formatCode="0.00">
                  <c:v>-3.2682498328065481</c:v>
                </c:pt>
                <c:pt idx="446" formatCode="0.00">
                  <c:v>-3.5411552473809471</c:v>
                </c:pt>
                <c:pt idx="451" formatCode="0.00">
                  <c:v>-4.900948464788967</c:v>
                </c:pt>
                <c:pt idx="456" formatCode="0.00">
                  <c:v>-3.1383208954671362</c:v>
                </c:pt>
                <c:pt idx="457" formatCode="0.00">
                  <c:v>-3.25638477360939</c:v>
                </c:pt>
                <c:pt idx="458" formatCode="0.00">
                  <c:v>-3.1359782403167209</c:v>
                </c:pt>
                <c:pt idx="464" formatCode="0.00">
                  <c:v>-2.9359694572191435</c:v>
                </c:pt>
                <c:pt idx="471" formatCode="0.00">
                  <c:v>-3.452274250144987</c:v>
                </c:pt>
                <c:pt idx="488" formatCode="0.00">
                  <c:v>-2.9602400330205332</c:v>
                </c:pt>
                <c:pt idx="503" formatCode="0.00">
                  <c:v>-3.400342506624292</c:v>
                </c:pt>
                <c:pt idx="512" formatCode="0.00">
                  <c:v>-4.2249793950482948</c:v>
                </c:pt>
                <c:pt idx="513" formatCode="0.00">
                  <c:v>-4.2695619878848898</c:v>
                </c:pt>
                <c:pt idx="520" formatCode="0.00">
                  <c:v>-4.3547045977763394</c:v>
                </c:pt>
                <c:pt idx="525" formatCode="0.00">
                  <c:v>-1.9476410745199402</c:v>
                </c:pt>
                <c:pt idx="528" formatCode="0.00">
                  <c:v>-4.5868819613323772</c:v>
                </c:pt>
                <c:pt idx="533" formatCode="0.00">
                  <c:v>-5.8346272554206822</c:v>
                </c:pt>
                <c:pt idx="536" formatCode="0.00">
                  <c:v>-4.8970050350698102</c:v>
                </c:pt>
                <c:pt idx="544" formatCode="0.00">
                  <c:v>-4.375955626350243</c:v>
                </c:pt>
                <c:pt idx="559" formatCode="0.00">
                  <c:v>-4.1259387307821473</c:v>
                </c:pt>
                <c:pt idx="564" formatCode="0.00">
                  <c:v>-4.3874110789920433</c:v>
                </c:pt>
                <c:pt idx="568" formatCode="0.00">
                  <c:v>-3.5250627135002492</c:v>
                </c:pt>
                <c:pt idx="574" formatCode="0.00">
                  <c:v>-3.747558020215024</c:v>
                </c:pt>
                <c:pt idx="600" formatCode="0.00">
                  <c:v>-3.2872832730879518</c:v>
                </c:pt>
                <c:pt idx="619" formatCode="0.00">
                  <c:v>-3.1272941541158552</c:v>
                </c:pt>
                <c:pt idx="638" formatCode="0.00">
                  <c:v>-2.7435321088984708</c:v>
                </c:pt>
                <c:pt idx="641" formatCode="0.00">
                  <c:v>-3.0949324044675541</c:v>
                </c:pt>
                <c:pt idx="648" formatCode="0.00">
                  <c:v>-3.2871861562807769</c:v>
                </c:pt>
                <c:pt idx="656" formatCode="0.00">
                  <c:v>-2.7852324937300712</c:v>
                </c:pt>
                <c:pt idx="665" formatCode="0.00">
                  <c:v>-3.0993226025801759</c:v>
                </c:pt>
                <c:pt idx="676" formatCode="0.00">
                  <c:v>-3.1247612180937279</c:v>
                </c:pt>
                <c:pt idx="686" formatCode="0.00">
                  <c:v>-2.8436658950993028</c:v>
                </c:pt>
                <c:pt idx="687" formatCode="0.00">
                  <c:v>-3.0568712132060742</c:v>
                </c:pt>
                <c:pt idx="688" formatCode="0.00">
                  <c:v>-2.3848244253289623</c:v>
                </c:pt>
                <c:pt idx="691" formatCode="0.00">
                  <c:v>-2.3481685625992066</c:v>
                </c:pt>
                <c:pt idx="693" formatCode="0.00">
                  <c:v>-2.6585029937616462</c:v>
                </c:pt>
                <c:pt idx="707" formatCode="0.00">
                  <c:v>-2.1907145473649665</c:v>
                </c:pt>
                <c:pt idx="711" formatCode="0.00">
                  <c:v>-1.8763259855438736</c:v>
                </c:pt>
                <c:pt idx="715" formatCode="0.00">
                  <c:v>-1.9003042828660341</c:v>
                </c:pt>
                <c:pt idx="719" formatCode="0.00">
                  <c:v>-1.5494658304213464</c:v>
                </c:pt>
                <c:pt idx="726" formatCode="0.00">
                  <c:v>-1.0803603551098881</c:v>
                </c:pt>
                <c:pt idx="731" formatCode="0.00">
                  <c:v>-2.7217599763646736</c:v>
                </c:pt>
                <c:pt idx="733" formatCode="0.00">
                  <c:v>-2.0884184190921746</c:v>
                </c:pt>
                <c:pt idx="736" formatCode="0.00">
                  <c:v>-1.6528727865181922</c:v>
                </c:pt>
                <c:pt idx="746" formatCode="0.00">
                  <c:v>-2.318314625958303</c:v>
                </c:pt>
                <c:pt idx="747" formatCode="0.00">
                  <c:v>-1.9399829884558228</c:v>
                </c:pt>
                <c:pt idx="750" formatCode="0.00">
                  <c:v>-1.8553074421192459</c:v>
                </c:pt>
                <c:pt idx="751" formatCode="0.00">
                  <c:v>-1.6968324288708547</c:v>
                </c:pt>
                <c:pt idx="756" formatCode="0.00">
                  <c:v>-2.4058698644040089</c:v>
                </c:pt>
                <c:pt idx="759" formatCode="0.00">
                  <c:v>-1.8643800567825335</c:v>
                </c:pt>
                <c:pt idx="760" formatCode="0.00">
                  <c:v>-2.1556442311411304</c:v>
                </c:pt>
                <c:pt idx="764" formatCode="0.00">
                  <c:v>-2.1998262378617159</c:v>
                </c:pt>
                <c:pt idx="776" formatCode="0.00">
                  <c:v>-3.1807445363258098</c:v>
                </c:pt>
                <c:pt idx="778" formatCode="0.00">
                  <c:v>-3.5908201869783944</c:v>
                </c:pt>
                <c:pt idx="792" formatCode="0.00">
                  <c:v>-2.5978326073414282</c:v>
                </c:pt>
                <c:pt idx="802" formatCode="0.00">
                  <c:v>-2.9397973500446315</c:v>
                </c:pt>
                <c:pt idx="807" formatCode="0.00">
                  <c:v>-3.5631060708456501</c:v>
                </c:pt>
                <c:pt idx="810" formatCode="0.00">
                  <c:v>-3.9385350233619518</c:v>
                </c:pt>
                <c:pt idx="814" formatCode="0.00">
                  <c:v>-3.5031528999288102</c:v>
                </c:pt>
                <c:pt idx="825" formatCode="0.00">
                  <c:v>-3.9563449822357244</c:v>
                </c:pt>
                <c:pt idx="826" formatCode="0.00">
                  <c:v>-2.7109599808654608</c:v>
                </c:pt>
                <c:pt idx="830" formatCode="0.00">
                  <c:v>-3.140874793597396</c:v>
                </c:pt>
                <c:pt idx="831" formatCode="0.00">
                  <c:v>-3.1292846349510479</c:v>
                </c:pt>
                <c:pt idx="835" formatCode="0.00">
                  <c:v>-2.6618288675252111</c:v>
                </c:pt>
                <c:pt idx="837" formatCode="0.00">
                  <c:v>-2.9969743505915409</c:v>
                </c:pt>
                <c:pt idx="840" formatCode="0.00">
                  <c:v>-3.6722211103333677</c:v>
                </c:pt>
                <c:pt idx="844" formatCode="0.00">
                  <c:v>-3.5169150276264856</c:v>
                </c:pt>
                <c:pt idx="865" formatCode="0.00">
                  <c:v>-3.6845662609072156</c:v>
                </c:pt>
                <c:pt idx="875" formatCode="0.00">
                  <c:v>-4.4352211535088584</c:v>
                </c:pt>
                <c:pt idx="884" formatCode="0.00">
                  <c:v>-3.2530985921388855</c:v>
                </c:pt>
                <c:pt idx="888" formatCode="0.00">
                  <c:v>-3.3279135100283934</c:v>
                </c:pt>
                <c:pt idx="896" formatCode="0.00">
                  <c:v>-3.3769806642689675</c:v>
                </c:pt>
                <c:pt idx="900" formatCode="0.00">
                  <c:v>-4.3355210665459909</c:v>
                </c:pt>
                <c:pt idx="917" formatCode="0.00">
                  <c:v>-4.5877574937098631</c:v>
                </c:pt>
                <c:pt idx="941" formatCode="0.00">
                  <c:v>-3.1432424115039708</c:v>
                </c:pt>
                <c:pt idx="942" formatCode="0.00">
                  <c:v>-3.9366407060617874</c:v>
                </c:pt>
                <c:pt idx="943" formatCode="0.00">
                  <c:v>-4.1350561893283908</c:v>
                </c:pt>
                <c:pt idx="944" formatCode="0.00">
                  <c:v>-3.8813070271050849</c:v>
                </c:pt>
                <c:pt idx="949" formatCode="0.00">
                  <c:v>-4.312160772614094</c:v>
                </c:pt>
                <c:pt idx="998" formatCode="0.00">
                  <c:v>-2.6921068029657187</c:v>
                </c:pt>
                <c:pt idx="1021" formatCode="0.00">
                  <c:v>-2.5496028197389919</c:v>
                </c:pt>
                <c:pt idx="1023" formatCode="0.00">
                  <c:v>-3.8603980266797215</c:v>
                </c:pt>
                <c:pt idx="1031" formatCode="0.00">
                  <c:v>-3.341806290084389</c:v>
                </c:pt>
                <c:pt idx="1041" formatCode="0.00">
                  <c:v>-4.951574142301804</c:v>
                </c:pt>
                <c:pt idx="1068" formatCode="0.00">
                  <c:v>-3.0291980180161433</c:v>
                </c:pt>
                <c:pt idx="1079" formatCode="0.00">
                  <c:v>-3.4524202945812736</c:v>
                </c:pt>
                <c:pt idx="1083" formatCode="0.00">
                  <c:v>-1.6164142905194014</c:v>
                </c:pt>
                <c:pt idx="1110" formatCode="0.00">
                  <c:v>-3.0102692503043662</c:v>
                </c:pt>
                <c:pt idx="1111" formatCode="0.00">
                  <c:v>-4.3023658050916644</c:v>
                </c:pt>
                <c:pt idx="1123" formatCode="0.00">
                  <c:v>-1.9555246633144421</c:v>
                </c:pt>
                <c:pt idx="1132" formatCode="0.00">
                  <c:v>-4.1053504672476224</c:v>
                </c:pt>
                <c:pt idx="1158" formatCode="0.00">
                  <c:v>-2.6994513873605928</c:v>
                </c:pt>
                <c:pt idx="1162" formatCode="0.00">
                  <c:v>-0.80938249121410311</c:v>
                </c:pt>
                <c:pt idx="1208" formatCode="0.00">
                  <c:v>-4.1735408465366479</c:v>
                </c:pt>
                <c:pt idx="1210" formatCode="0.00">
                  <c:v>-2.5174928448523248</c:v>
                </c:pt>
                <c:pt idx="1214" formatCode="0.00">
                  <c:v>-3.2382966126614847</c:v>
                </c:pt>
                <c:pt idx="1230" formatCode="0.00">
                  <c:v>-3.3990947788148835</c:v>
                </c:pt>
                <c:pt idx="1235" formatCode="0.00">
                  <c:v>-3.1669280368820512</c:v>
                </c:pt>
                <c:pt idx="1250" formatCode="0.00">
                  <c:v>-3.9356431795616924</c:v>
                </c:pt>
                <c:pt idx="1256" formatCode="0.00">
                  <c:v>-2.9480556973433063</c:v>
                </c:pt>
                <c:pt idx="1267" formatCode="0.00">
                  <c:v>-3.3971820926106795</c:v>
                </c:pt>
                <c:pt idx="1273" formatCode="0.00">
                  <c:v>-2.0948389561268934</c:v>
                </c:pt>
                <c:pt idx="1278" formatCode="0.00">
                  <c:v>-3.9842057356870217</c:v>
                </c:pt>
                <c:pt idx="1310" formatCode="0.00">
                  <c:v>-2.8657122789132257</c:v>
                </c:pt>
                <c:pt idx="1312" formatCode="0.00">
                  <c:v>-2.5262109727134345</c:v>
                </c:pt>
                <c:pt idx="1324" formatCode="0.00">
                  <c:v>-4.209900621229715</c:v>
                </c:pt>
                <c:pt idx="1330" formatCode="0.00">
                  <c:v>-3.5949294066717101</c:v>
                </c:pt>
                <c:pt idx="1332" formatCode="0.00">
                  <c:v>-1.9146616430644827</c:v>
                </c:pt>
                <c:pt idx="1335" formatCode="0.00">
                  <c:v>-3.9516881205112906</c:v>
                </c:pt>
                <c:pt idx="1339" formatCode="0.00">
                  <c:v>-2.3818202788310354</c:v>
                </c:pt>
                <c:pt idx="1345" formatCode="0.00">
                  <c:v>-2.7149460207214315</c:v>
                </c:pt>
                <c:pt idx="1348" formatCode="0.00">
                  <c:v>-1.9636573806937556</c:v>
                </c:pt>
                <c:pt idx="1349" formatCode="0.00">
                  <c:v>-3.0170837466953464</c:v>
                </c:pt>
                <c:pt idx="1352" formatCode="0.00">
                  <c:v>-1.7199626606343477</c:v>
                </c:pt>
                <c:pt idx="1373" formatCode="0.00">
                  <c:v>-3.156813434972948</c:v>
                </c:pt>
                <c:pt idx="1376" formatCode="0.00">
                  <c:v>-3.053482459910386</c:v>
                </c:pt>
                <c:pt idx="1386" formatCode="0.00">
                  <c:v>-3.1416583883038873</c:v>
                </c:pt>
                <c:pt idx="1396" formatCode="0.00">
                  <c:v>-3.3781766184956159</c:v>
                </c:pt>
                <c:pt idx="1398" formatCode="0.00">
                  <c:v>-3.4040115805437163</c:v>
                </c:pt>
                <c:pt idx="1399" formatCode="0.00">
                  <c:v>-3.4817688988696855</c:v>
                </c:pt>
                <c:pt idx="1404" formatCode="0.00">
                  <c:v>-1.9013885703035602</c:v>
                </c:pt>
                <c:pt idx="1405" formatCode="0.00">
                  <c:v>-2.4277168534168849</c:v>
                </c:pt>
                <c:pt idx="1409" formatCode="0.00">
                  <c:v>-2.0075485955377652</c:v>
                </c:pt>
                <c:pt idx="1412" formatCode="0.00">
                  <c:v>-1.4535671209454994</c:v>
                </c:pt>
                <c:pt idx="1419" formatCode="0.00">
                  <c:v>-2.9459570226565082</c:v>
                </c:pt>
                <c:pt idx="1424" formatCode="0.00">
                  <c:v>-1.6103506152497244</c:v>
                </c:pt>
                <c:pt idx="1435" formatCode="0.00">
                  <c:v>-1.0933280985471474</c:v>
                </c:pt>
                <c:pt idx="1449" formatCode="0.00">
                  <c:v>-1.7217485762040774</c:v>
                </c:pt>
                <c:pt idx="1450" formatCode="0.00">
                  <c:v>-1.6893178078154285</c:v>
                </c:pt>
                <c:pt idx="1460" formatCode="0.00">
                  <c:v>-2.2447452819711819</c:v>
                </c:pt>
                <c:pt idx="1461" formatCode="0.00">
                  <c:v>-2.5715341643583387</c:v>
                </c:pt>
                <c:pt idx="1462" formatCode="0.00">
                  <c:v>-3.5292083860095445</c:v>
                </c:pt>
                <c:pt idx="1463" formatCode="0.00">
                  <c:v>-1.0736041899842055</c:v>
                </c:pt>
                <c:pt idx="1465" formatCode="0.00">
                  <c:v>-1.4576746958045512</c:v>
                </c:pt>
                <c:pt idx="1470" formatCode="0.00">
                  <c:v>-1.3845943544213359</c:v>
                </c:pt>
                <c:pt idx="1476" formatCode="0.00">
                  <c:v>-1.9059353323822434</c:v>
                </c:pt>
                <c:pt idx="1479" formatCode="0.00">
                  <c:v>-1.8288878253161225</c:v>
                </c:pt>
                <c:pt idx="1495" formatCode="0.00">
                  <c:v>-1.8868667417346494</c:v>
                </c:pt>
                <c:pt idx="1497" formatCode="0.00">
                  <c:v>-0.54590491290106602</c:v>
                </c:pt>
                <c:pt idx="1501" formatCode="0.00">
                  <c:v>-1.9567354840218232</c:v>
                </c:pt>
                <c:pt idx="1510" formatCode="0.00">
                  <c:v>-1.7629872399909357</c:v>
                </c:pt>
                <c:pt idx="1517" formatCode="0.00">
                  <c:v>-1.9700710201743885</c:v>
                </c:pt>
                <c:pt idx="1522" formatCode="0.00">
                  <c:v>-1.9653680893214169</c:v>
                </c:pt>
                <c:pt idx="1526" formatCode="0.00">
                  <c:v>-1.6416687329249273</c:v>
                </c:pt>
                <c:pt idx="1532" formatCode="0.00">
                  <c:v>-2.1154478621951434</c:v>
                </c:pt>
                <c:pt idx="1537" formatCode="0.00">
                  <c:v>-2.4514734226122217</c:v>
                </c:pt>
                <c:pt idx="1542" formatCode="0.00">
                  <c:v>-2.210816852959645</c:v>
                </c:pt>
                <c:pt idx="1547" formatCode="0.00">
                  <c:v>-1.5450523824415432</c:v>
                </c:pt>
                <c:pt idx="1552" formatCode="0.00">
                  <c:v>-2.5834042396062129</c:v>
                </c:pt>
                <c:pt idx="1557" formatCode="0.00">
                  <c:v>-3.0172337376537999</c:v>
                </c:pt>
                <c:pt idx="1561" formatCode="0.00">
                  <c:v>-2.8586889316897688</c:v>
                </c:pt>
                <c:pt idx="1567" formatCode="0.00">
                  <c:v>-1.1150594202254192</c:v>
                </c:pt>
                <c:pt idx="1570" formatCode="0.00">
                  <c:v>-1.908703969019848</c:v>
                </c:pt>
                <c:pt idx="1572" formatCode="0.00">
                  <c:v>-2.8086369739614025</c:v>
                </c:pt>
                <c:pt idx="1579" formatCode="0.00">
                  <c:v>0.29562362258238373</c:v>
                </c:pt>
                <c:pt idx="1587" formatCode="0.00">
                  <c:v>-1.0899991893748024</c:v>
                </c:pt>
                <c:pt idx="1589" formatCode="0.00">
                  <c:v>-1.673490513656603</c:v>
                </c:pt>
                <c:pt idx="1593" formatCode="0.00">
                  <c:v>-1.0881851209775772</c:v>
                </c:pt>
                <c:pt idx="1594" formatCode="0.00">
                  <c:v>-0.11269223079112442</c:v>
                </c:pt>
                <c:pt idx="1595" formatCode="0.00">
                  <c:v>-1.6948841797817493</c:v>
                </c:pt>
                <c:pt idx="1596" formatCode="0.00">
                  <c:v>-0.68709532183660116</c:v>
                </c:pt>
                <c:pt idx="1599" formatCode="0.00">
                  <c:v>-0.18514086849514727</c:v>
                </c:pt>
                <c:pt idx="1601" formatCode="0.00">
                  <c:v>-1.3241654317378382</c:v>
                </c:pt>
                <c:pt idx="1607" formatCode="0.00">
                  <c:v>-1.3394802278309104</c:v>
                </c:pt>
                <c:pt idx="1608" formatCode="0.00">
                  <c:v>-0.91490171676597731</c:v>
                </c:pt>
                <c:pt idx="1614" formatCode="0.00">
                  <c:v>-0.55894553007663772</c:v>
                </c:pt>
                <c:pt idx="1615" formatCode="0.00">
                  <c:v>-0.54186389304171956</c:v>
                </c:pt>
                <c:pt idx="1617" formatCode="0.00">
                  <c:v>-0.80879169829412856</c:v>
                </c:pt>
                <c:pt idx="1620" formatCode="0.00">
                  <c:v>-1.1502806366474359</c:v>
                </c:pt>
                <c:pt idx="1622" formatCode="0.00">
                  <c:v>-0.2072775586519302</c:v>
                </c:pt>
                <c:pt idx="1623" formatCode="0.00">
                  <c:v>3.9642473338959199E-2</c:v>
                </c:pt>
                <c:pt idx="1625" formatCode="0.00">
                  <c:v>-1.9584866953313647</c:v>
                </c:pt>
                <c:pt idx="1628" formatCode="0.00">
                  <c:v>0.55140469187764218</c:v>
                </c:pt>
                <c:pt idx="1634" formatCode="0.00">
                  <c:v>0.70094537441993032</c:v>
                </c:pt>
                <c:pt idx="1637" formatCode="0.00">
                  <c:v>-2.0785792177541493</c:v>
                </c:pt>
                <c:pt idx="1641" formatCode="0.00">
                  <c:v>0.26471350275704247</c:v>
                </c:pt>
                <c:pt idx="1644" formatCode="0.00">
                  <c:v>0.87062547468680451</c:v>
                </c:pt>
                <c:pt idx="1647" formatCode="0.00">
                  <c:v>1.5172443196991579</c:v>
                </c:pt>
                <c:pt idx="1648" formatCode="0.00">
                  <c:v>-0.56771969512934861</c:v>
                </c:pt>
                <c:pt idx="1650" formatCode="0.00">
                  <c:v>0.47128194731887124</c:v>
                </c:pt>
                <c:pt idx="1657" formatCode="0.00">
                  <c:v>0.2388287646291786</c:v>
                </c:pt>
                <c:pt idx="1660" formatCode="0.00">
                  <c:v>-1.846152699273832</c:v>
                </c:pt>
                <c:pt idx="1662" formatCode="0.00">
                  <c:v>0.16355716272505796</c:v>
                </c:pt>
                <c:pt idx="1665" formatCode="0.00">
                  <c:v>0.3047832005833061</c:v>
                </c:pt>
                <c:pt idx="1673" formatCode="0.00">
                  <c:v>-0.27876433306746434</c:v>
                </c:pt>
                <c:pt idx="1674" formatCode="0.00">
                  <c:v>0.53044724876851146</c:v>
                </c:pt>
                <c:pt idx="1682" formatCode="0.00">
                  <c:v>1.1568311240798519</c:v>
                </c:pt>
                <c:pt idx="1683" formatCode="0.00">
                  <c:v>0.74925223588613699</c:v>
                </c:pt>
                <c:pt idx="1684" formatCode="0.00">
                  <c:v>0.73654389147901334</c:v>
                </c:pt>
                <c:pt idx="1685" formatCode="0.00">
                  <c:v>-0.66209302488734201</c:v>
                </c:pt>
                <c:pt idx="1689" formatCode="0.00">
                  <c:v>-0.28907853877649708</c:v>
                </c:pt>
                <c:pt idx="1691" formatCode="0.00">
                  <c:v>-0.65624694809462913</c:v>
                </c:pt>
                <c:pt idx="1694" formatCode="0.00">
                  <c:v>1.0559144573727355E-2</c:v>
                </c:pt>
                <c:pt idx="1696" formatCode="0.00">
                  <c:v>-0.85976609662758874</c:v>
                </c:pt>
                <c:pt idx="1697" formatCode="0.00">
                  <c:v>0.32081481907007692</c:v>
                </c:pt>
                <c:pt idx="1699" formatCode="0.00">
                  <c:v>2.0182380800655073</c:v>
                </c:pt>
                <c:pt idx="1701" formatCode="0.00">
                  <c:v>-1.1466089223663616</c:v>
                </c:pt>
                <c:pt idx="1702" formatCode="0.00">
                  <c:v>-0.54786480199196641</c:v>
                </c:pt>
                <c:pt idx="1707" formatCode="0.00">
                  <c:v>-0.38773253540767277</c:v>
                </c:pt>
                <c:pt idx="1708" formatCode="0.00">
                  <c:v>-0.44078652147825748</c:v>
                </c:pt>
                <c:pt idx="1715" formatCode="0.00">
                  <c:v>0.58932729708852816</c:v>
                </c:pt>
                <c:pt idx="1716" formatCode="0.00">
                  <c:v>-2.7859415670129675</c:v>
                </c:pt>
                <c:pt idx="1717" formatCode="0.00">
                  <c:v>-0.72132406468061361</c:v>
                </c:pt>
                <c:pt idx="1720" formatCode="0.00">
                  <c:v>-1.3606544508170348</c:v>
                </c:pt>
                <c:pt idx="1722" formatCode="0.00">
                  <c:v>-0.87117807604663389</c:v>
                </c:pt>
                <c:pt idx="1724" formatCode="0.00">
                  <c:v>0.51799360637841885</c:v>
                </c:pt>
                <c:pt idx="1727" formatCode="0.00">
                  <c:v>-0.59871689192316191</c:v>
                </c:pt>
                <c:pt idx="1729" formatCode="0.00">
                  <c:v>0.24027430375059422</c:v>
                </c:pt>
                <c:pt idx="1730" formatCode="0.00">
                  <c:v>-0.21892279868638617</c:v>
                </c:pt>
                <c:pt idx="1731" formatCode="0.00">
                  <c:v>-0.74588161675601095</c:v>
                </c:pt>
                <c:pt idx="1735" formatCode="0.00">
                  <c:v>-0.21094289699379612</c:v>
                </c:pt>
                <c:pt idx="1736" formatCode="0.00">
                  <c:v>-0.29702229611164987</c:v>
                </c:pt>
                <c:pt idx="1741" formatCode="0.00">
                  <c:v>-1.9302855672773036</c:v>
                </c:pt>
                <c:pt idx="1743" formatCode="0.00">
                  <c:v>-2.2118070934808718</c:v>
                </c:pt>
                <c:pt idx="1744" formatCode="0.00">
                  <c:v>0.17470965144034406</c:v>
                </c:pt>
                <c:pt idx="1749" formatCode="0.00">
                  <c:v>0.90605439147310718</c:v>
                </c:pt>
                <c:pt idx="1756" formatCode="0.00">
                  <c:v>-0.81345654675593326</c:v>
                </c:pt>
                <c:pt idx="1760" formatCode="0.00">
                  <c:v>0.11699080207768148</c:v>
                </c:pt>
                <c:pt idx="1761" formatCode="0.00">
                  <c:v>-0.13909084913563075</c:v>
                </c:pt>
                <c:pt idx="1765" formatCode="0.00">
                  <c:v>-0.47072811245613033</c:v>
                </c:pt>
                <c:pt idx="1768" formatCode="0.00">
                  <c:v>-0.25293007389014327</c:v>
                </c:pt>
                <c:pt idx="1774" formatCode="0.00">
                  <c:v>5.5620967610705424E-2</c:v>
                </c:pt>
                <c:pt idx="1775" formatCode="0.00">
                  <c:v>-0.49996908173318633</c:v>
                </c:pt>
                <c:pt idx="1785" formatCode="0.00">
                  <c:v>-3.4110919265294685E-2</c:v>
                </c:pt>
                <c:pt idx="1786" formatCode="0.00">
                  <c:v>1.5590177627141331</c:v>
                </c:pt>
                <c:pt idx="1787" formatCode="0.00">
                  <c:v>-0.75551421193783841</c:v>
                </c:pt>
                <c:pt idx="1788" formatCode="0.00">
                  <c:v>-0.46931491711451684</c:v>
                </c:pt>
                <c:pt idx="1790" formatCode="0.00">
                  <c:v>-0.25181968760430912</c:v>
                </c:pt>
                <c:pt idx="1793" formatCode="0.00">
                  <c:v>0.10963321017714348</c:v>
                </c:pt>
                <c:pt idx="1803" formatCode="0.00">
                  <c:v>-0.38287198493579699</c:v>
                </c:pt>
                <c:pt idx="1806" formatCode="0.00">
                  <c:v>1.1906356833386857</c:v>
                </c:pt>
                <c:pt idx="1814" formatCode="0.00">
                  <c:v>0.79783603439554573</c:v>
                </c:pt>
                <c:pt idx="1817" formatCode="0.00">
                  <c:v>-0.75248479610133789</c:v>
                </c:pt>
                <c:pt idx="1820" formatCode="0.00">
                  <c:v>1.2301223568710831</c:v>
                </c:pt>
                <c:pt idx="1823" formatCode="0.00">
                  <c:v>0.15030061281801144</c:v>
                </c:pt>
                <c:pt idx="1827" formatCode="0.00">
                  <c:v>-0.40217400940646658</c:v>
                </c:pt>
                <c:pt idx="1828" formatCode="0.00">
                  <c:v>0.56346298018915353</c:v>
                </c:pt>
                <c:pt idx="1829" formatCode="0.00">
                  <c:v>-0.24306540261047285</c:v>
                </c:pt>
                <c:pt idx="1833" formatCode="0.00">
                  <c:v>-0.46002992288167477</c:v>
                </c:pt>
                <c:pt idx="1843" formatCode="0.00">
                  <c:v>-0.95678621668432628</c:v>
                </c:pt>
                <c:pt idx="1844" formatCode="0.00">
                  <c:v>-1.1257352307494568</c:v>
                </c:pt>
                <c:pt idx="1853" formatCode="0.00">
                  <c:v>0.21535518105027188</c:v>
                </c:pt>
                <c:pt idx="1854" formatCode="0.00">
                  <c:v>0.65283112554725353</c:v>
                </c:pt>
                <c:pt idx="1855" formatCode="0.00">
                  <c:v>0.16087691602621476</c:v>
                </c:pt>
                <c:pt idx="1859" formatCode="0.00">
                  <c:v>-0.17578978871302631</c:v>
                </c:pt>
                <c:pt idx="1862" formatCode="0.00">
                  <c:v>-0.10945701093259104</c:v>
                </c:pt>
                <c:pt idx="1867" formatCode="0.00">
                  <c:v>1.4814255664768547</c:v>
                </c:pt>
                <c:pt idx="1870" formatCode="0.00">
                  <c:v>-0.20102888572155214</c:v>
                </c:pt>
                <c:pt idx="1871" formatCode="0.00">
                  <c:v>-0.85245691024909176</c:v>
                </c:pt>
                <c:pt idx="1873" formatCode="0.00">
                  <c:v>-0.19201986792172229</c:v>
                </c:pt>
                <c:pt idx="1876" formatCode="0.00">
                  <c:v>1.211128882210647</c:v>
                </c:pt>
                <c:pt idx="1879" formatCode="0.00">
                  <c:v>1.2861051774678554</c:v>
                </c:pt>
                <c:pt idx="1882" formatCode="0.00">
                  <c:v>-0.43286412933995183</c:v>
                </c:pt>
                <c:pt idx="1883" formatCode="0.00">
                  <c:v>0.62006153355075944</c:v>
                </c:pt>
                <c:pt idx="1891" formatCode="0.00">
                  <c:v>1.6027219489965849</c:v>
                </c:pt>
                <c:pt idx="1893" formatCode="0.00">
                  <c:v>0.55451567701249027</c:v>
                </c:pt>
                <c:pt idx="1894" formatCode="0.00">
                  <c:v>1.1314619284750902</c:v>
                </c:pt>
                <c:pt idx="1899" formatCode="0.00">
                  <c:v>0.69626465863578479</c:v>
                </c:pt>
                <c:pt idx="1903" formatCode="0.00">
                  <c:v>4.6751099275731234E-2</c:v>
                </c:pt>
                <c:pt idx="1906" formatCode="0.00">
                  <c:v>0.21215239040766129</c:v>
                </c:pt>
                <c:pt idx="1910" formatCode="0.00">
                  <c:v>-0.24375421797829239</c:v>
                </c:pt>
                <c:pt idx="1911" formatCode="0.00">
                  <c:v>-0.47787547692643695</c:v>
                </c:pt>
                <c:pt idx="1912" formatCode="0.00">
                  <c:v>0.10752080418289633</c:v>
                </c:pt>
                <c:pt idx="1921" formatCode="0.00">
                  <c:v>2.1017191145513494</c:v>
                </c:pt>
                <c:pt idx="1926" formatCode="0.00">
                  <c:v>1.0691493694999885</c:v>
                </c:pt>
                <c:pt idx="1927" formatCode="0.00">
                  <c:v>0.41281878177013004</c:v>
                </c:pt>
                <c:pt idx="1933" formatCode="0.00">
                  <c:v>-0.53124445948544929</c:v>
                </c:pt>
                <c:pt idx="1935" formatCode="0.00">
                  <c:v>0.34330844536279587</c:v>
                </c:pt>
                <c:pt idx="1939" formatCode="0.00">
                  <c:v>1.6115826005902079</c:v>
                </c:pt>
                <c:pt idx="1940" formatCode="0.00">
                  <c:v>1.2774968164707967</c:v>
                </c:pt>
                <c:pt idx="1941" formatCode="0.00">
                  <c:v>-0.28641585471621467</c:v>
                </c:pt>
                <c:pt idx="1946" formatCode="0.00">
                  <c:v>0.38377116044222004</c:v>
                </c:pt>
                <c:pt idx="1954" formatCode="0.00">
                  <c:v>0.70882455229456676</c:v>
                </c:pt>
                <c:pt idx="1957" formatCode="0.00">
                  <c:v>0.94575023873611441</c:v>
                </c:pt>
                <c:pt idx="1960" formatCode="0.00">
                  <c:v>1.457643150764943</c:v>
                </c:pt>
                <c:pt idx="1965" formatCode="0.00">
                  <c:v>1.7741950217707969</c:v>
                </c:pt>
                <c:pt idx="1971" formatCode="0.00">
                  <c:v>1.2605726708711209</c:v>
                </c:pt>
                <c:pt idx="1974" formatCode="0.00">
                  <c:v>0.48771899369670257</c:v>
                </c:pt>
                <c:pt idx="1975" formatCode="0.00">
                  <c:v>1.6266563444592523</c:v>
                </c:pt>
                <c:pt idx="1981" formatCode="0.00">
                  <c:v>1.0137997840760276</c:v>
                </c:pt>
                <c:pt idx="1982" formatCode="0.00">
                  <c:v>-1.3913351907560272</c:v>
                </c:pt>
                <c:pt idx="1983" formatCode="0.00">
                  <c:v>0.12465163776281847</c:v>
                </c:pt>
                <c:pt idx="1987" formatCode="0.00">
                  <c:v>0.148533126158052</c:v>
                </c:pt>
                <c:pt idx="1989" formatCode="0.00">
                  <c:v>0.30438439205082407</c:v>
                </c:pt>
                <c:pt idx="1990" formatCode="0.00">
                  <c:v>1.6260159064206834</c:v>
                </c:pt>
                <c:pt idx="1994" formatCode="0.00">
                  <c:v>-1.6601273780703634</c:v>
                </c:pt>
                <c:pt idx="1995" formatCode="0.00">
                  <c:v>1.4266174506691691</c:v>
                </c:pt>
                <c:pt idx="2001" formatCode="0.00">
                  <c:v>3.4286269729519855E-2</c:v>
                </c:pt>
                <c:pt idx="2002" formatCode="0.00">
                  <c:v>0.92172715991760223</c:v>
                </c:pt>
                <c:pt idx="2005" formatCode="0.00">
                  <c:v>0.99037970663844077</c:v>
                </c:pt>
                <c:pt idx="2006" formatCode="0.00">
                  <c:v>-4.3347387688378002E-2</c:v>
                </c:pt>
                <c:pt idx="2017" formatCode="0.00">
                  <c:v>0.47298542432079455</c:v>
                </c:pt>
                <c:pt idx="2021" formatCode="0.00">
                  <c:v>1.7659711146715391</c:v>
                </c:pt>
                <c:pt idx="2025" formatCode="0.00">
                  <c:v>2.176511086415247</c:v>
                </c:pt>
                <c:pt idx="2026" formatCode="0.00">
                  <c:v>1.1249310989335075</c:v>
                </c:pt>
                <c:pt idx="2027" formatCode="0.00">
                  <c:v>0.51190719926104689</c:v>
                </c:pt>
                <c:pt idx="2028" formatCode="0.00">
                  <c:v>4.8987929019168881E-2</c:v>
                </c:pt>
                <c:pt idx="2029" formatCode="0.00">
                  <c:v>1.1034342335595992</c:v>
                </c:pt>
                <c:pt idx="2030" formatCode="0.00">
                  <c:v>1.6165435265617414</c:v>
                </c:pt>
                <c:pt idx="2035" formatCode="0.00">
                  <c:v>0.6112877767938828</c:v>
                </c:pt>
                <c:pt idx="2037" formatCode="0.00">
                  <c:v>0.9418251809065753</c:v>
                </c:pt>
                <c:pt idx="2046" formatCode="0.00">
                  <c:v>1.3117164698863959</c:v>
                </c:pt>
                <c:pt idx="2050" formatCode="0.00">
                  <c:v>1.0381422485277008</c:v>
                </c:pt>
                <c:pt idx="2052" formatCode="0.00">
                  <c:v>-0.28422047565996084</c:v>
                </c:pt>
                <c:pt idx="2054" formatCode="0.00">
                  <c:v>0.52087197970363308</c:v>
                </c:pt>
                <c:pt idx="2055" formatCode="0.00">
                  <c:v>0.97244969775376289</c:v>
                </c:pt>
                <c:pt idx="2058" formatCode="0.00">
                  <c:v>1.2929046661106942</c:v>
                </c:pt>
                <c:pt idx="2061" formatCode="0.00">
                  <c:v>1.2298665853454311</c:v>
                </c:pt>
                <c:pt idx="2064" formatCode="0.00">
                  <c:v>-1.6753739845911984</c:v>
                </c:pt>
                <c:pt idx="2065" formatCode="0.00">
                  <c:v>0.17693797986435725</c:v>
                </c:pt>
                <c:pt idx="2066" formatCode="0.00">
                  <c:v>1.1539969463796256</c:v>
                </c:pt>
                <c:pt idx="2070" formatCode="0.00">
                  <c:v>3.9853596980156607E-2</c:v>
                </c:pt>
                <c:pt idx="2073" formatCode="0.00">
                  <c:v>0.62985782462217865</c:v>
                </c:pt>
                <c:pt idx="2074" formatCode="0.00">
                  <c:v>-0.66027056485077018</c:v>
                </c:pt>
                <c:pt idx="2079" formatCode="0.00">
                  <c:v>0.53952916513674687</c:v>
                </c:pt>
                <c:pt idx="2080" formatCode="0.00">
                  <c:v>0.46207766632923253</c:v>
                </c:pt>
                <c:pt idx="2084" formatCode="0.00">
                  <c:v>-1.2185123496285331</c:v>
                </c:pt>
                <c:pt idx="2085" formatCode="0.00">
                  <c:v>1.2699398291668915E-2</c:v>
                </c:pt>
                <c:pt idx="2087" formatCode="0.00">
                  <c:v>0.35864754926956111</c:v>
                </c:pt>
                <c:pt idx="2089" formatCode="0.00">
                  <c:v>8.7233895565539746E-2</c:v>
                </c:pt>
                <c:pt idx="2090" formatCode="0.00">
                  <c:v>0.85163654278378209</c:v>
                </c:pt>
                <c:pt idx="2094" formatCode="0.00">
                  <c:v>-1.6470451229173553</c:v>
                </c:pt>
                <c:pt idx="2095" formatCode="0.00">
                  <c:v>-1.373000406575914</c:v>
                </c:pt>
                <c:pt idx="2096" formatCode="0.00">
                  <c:v>-0.64097686042914759</c:v>
                </c:pt>
                <c:pt idx="2101" formatCode="0.00">
                  <c:v>0.95865915079744735</c:v>
                </c:pt>
                <c:pt idx="2103" formatCode="0.00">
                  <c:v>0.22337511609617675</c:v>
                </c:pt>
                <c:pt idx="2106" formatCode="0.00">
                  <c:v>1.2555061129489766</c:v>
                </c:pt>
                <c:pt idx="2113" formatCode="0.00">
                  <c:v>-0.91567765059617512</c:v>
                </c:pt>
                <c:pt idx="2114" formatCode="0.00">
                  <c:v>-1.8909360807362776</c:v>
                </c:pt>
                <c:pt idx="2119" formatCode="0.00">
                  <c:v>-0.83757577881218725</c:v>
                </c:pt>
                <c:pt idx="2125" formatCode="0.00">
                  <c:v>-1.0928325849316423</c:v>
                </c:pt>
                <c:pt idx="2132" formatCode="0.00">
                  <c:v>0.92172779848364228</c:v>
                </c:pt>
                <c:pt idx="2134" formatCode="0.00">
                  <c:v>1.3603510753858878</c:v>
                </c:pt>
                <c:pt idx="2135" formatCode="0.00">
                  <c:v>0.72859180431383919</c:v>
                </c:pt>
                <c:pt idx="2138" formatCode="0.00">
                  <c:v>-1.4251627527743105</c:v>
                </c:pt>
                <c:pt idx="2142" formatCode="0.00">
                  <c:v>1.1249715022883873</c:v>
                </c:pt>
                <c:pt idx="2145" formatCode="0.00">
                  <c:v>-0.97058606624292265</c:v>
                </c:pt>
                <c:pt idx="2153" formatCode="0.00">
                  <c:v>0.88878137032387727</c:v>
                </c:pt>
                <c:pt idx="2156" formatCode="0.00">
                  <c:v>0.15000568187134736</c:v>
                </c:pt>
                <c:pt idx="2157" formatCode="0.00">
                  <c:v>-0.94398447615283287</c:v>
                </c:pt>
                <c:pt idx="2159" formatCode="0.00">
                  <c:v>2.7385494061701228</c:v>
                </c:pt>
                <c:pt idx="2162" formatCode="0.00">
                  <c:v>0.48572116030161544</c:v>
                </c:pt>
                <c:pt idx="2165" formatCode="0.00">
                  <c:v>1.9630324067170029</c:v>
                </c:pt>
                <c:pt idx="2166" formatCode="0.00">
                  <c:v>2.0034143584694331</c:v>
                </c:pt>
                <c:pt idx="2173" formatCode="0.00">
                  <c:v>0.99961913164516514</c:v>
                </c:pt>
                <c:pt idx="2177" formatCode="0.00">
                  <c:v>1.5587566188257982</c:v>
                </c:pt>
                <c:pt idx="2178" formatCode="0.00">
                  <c:v>1.2607964373998075</c:v>
                </c:pt>
                <c:pt idx="2179" formatCode="0.00">
                  <c:v>0.58431243574706682</c:v>
                </c:pt>
                <c:pt idx="2182" formatCode="0.00">
                  <c:v>-3.2465854581354717E-2</c:v>
                </c:pt>
                <c:pt idx="2189" formatCode="0.00">
                  <c:v>0.62094561621953348</c:v>
                </c:pt>
                <c:pt idx="2193" formatCode="0.00">
                  <c:v>0.28801330513822349</c:v>
                </c:pt>
                <c:pt idx="2202" formatCode="0.00">
                  <c:v>0.93584849545266291</c:v>
                </c:pt>
                <c:pt idx="2205" formatCode="0.00">
                  <c:v>0.95820436847736179</c:v>
                </c:pt>
                <c:pt idx="2210" formatCode="0.00">
                  <c:v>1.4106523443317609</c:v>
                </c:pt>
                <c:pt idx="2212" formatCode="0.00">
                  <c:v>0.46991578856657745</c:v>
                </c:pt>
                <c:pt idx="2218" formatCode="0.00">
                  <c:v>0.80385388062252139</c:v>
                </c:pt>
                <c:pt idx="2220" formatCode="0.00">
                  <c:v>5.8696886958200384E-2</c:v>
                </c:pt>
                <c:pt idx="2221" formatCode="0.00">
                  <c:v>-1.5585938008131397</c:v>
                </c:pt>
                <c:pt idx="2223" formatCode="0.00">
                  <c:v>-0.20638680764605025</c:v>
                </c:pt>
                <c:pt idx="2225" formatCode="0.00">
                  <c:v>-0.37057929470066808</c:v>
                </c:pt>
                <c:pt idx="2227" formatCode="0.00">
                  <c:v>1.2928557517458234E-2</c:v>
                </c:pt>
                <c:pt idx="2228" formatCode="0.00">
                  <c:v>2.1079261621481828</c:v>
                </c:pt>
                <c:pt idx="2233" formatCode="0.00">
                  <c:v>0.85800443847885088</c:v>
                </c:pt>
                <c:pt idx="2236" formatCode="0.00">
                  <c:v>2.2069427130751653</c:v>
                </c:pt>
                <c:pt idx="2237" formatCode="0.00">
                  <c:v>0.57523497523359834</c:v>
                </c:pt>
                <c:pt idx="2240" formatCode="0.00">
                  <c:v>3.8378514112968483</c:v>
                </c:pt>
                <c:pt idx="2243" formatCode="0.00">
                  <c:v>0.41053475252174809</c:v>
                </c:pt>
                <c:pt idx="2244" formatCode="0.00">
                  <c:v>-1.257108052119065</c:v>
                </c:pt>
                <c:pt idx="2245" formatCode="0.00">
                  <c:v>1.59261317423557</c:v>
                </c:pt>
                <c:pt idx="2250" formatCode="0.00">
                  <c:v>-1.4785959542675766</c:v>
                </c:pt>
                <c:pt idx="2251" formatCode="0.00">
                  <c:v>-0.52549632980480521</c:v>
                </c:pt>
                <c:pt idx="2258" formatCode="0.00">
                  <c:v>0.73711748882214501</c:v>
                </c:pt>
                <c:pt idx="2263" formatCode="0.00">
                  <c:v>1.5894339565363247</c:v>
                </c:pt>
                <c:pt idx="2265" formatCode="0.00">
                  <c:v>0.66626040828065991</c:v>
                </c:pt>
                <c:pt idx="2266" formatCode="0.00">
                  <c:v>-0.33062321749904577</c:v>
                </c:pt>
                <c:pt idx="2270" formatCode="0.00">
                  <c:v>1.300811431797456</c:v>
                </c:pt>
                <c:pt idx="2273" formatCode="0.00">
                  <c:v>0.65681654385466726</c:v>
                </c:pt>
                <c:pt idx="2274" formatCode="0.00">
                  <c:v>1.6407691028602027</c:v>
                </c:pt>
                <c:pt idx="2277" formatCode="0.00">
                  <c:v>0.74213726940761438</c:v>
                </c:pt>
                <c:pt idx="2281" formatCode="0.00">
                  <c:v>0.40267690364227937</c:v>
                </c:pt>
                <c:pt idx="2283" formatCode="0.00">
                  <c:v>0.81767250277869363</c:v>
                </c:pt>
                <c:pt idx="2287" formatCode="0.00">
                  <c:v>1.1788579753422506</c:v>
                </c:pt>
                <c:pt idx="2288" formatCode="0.00">
                  <c:v>1.2265988447367033</c:v>
                </c:pt>
                <c:pt idx="2292" formatCode="0.00">
                  <c:v>2.1643872011398302</c:v>
                </c:pt>
                <c:pt idx="2293" formatCode="0.00">
                  <c:v>0.63931196286162284</c:v>
                </c:pt>
                <c:pt idx="2296" formatCode="0.00">
                  <c:v>0.95894782895981223</c:v>
                </c:pt>
                <c:pt idx="2299" formatCode="0.00">
                  <c:v>0.73953058173754083</c:v>
                </c:pt>
                <c:pt idx="2300" formatCode="0.00">
                  <c:v>1.0424273550291812</c:v>
                </c:pt>
                <c:pt idx="2301" formatCode="0.00">
                  <c:v>0.82302154248547343</c:v>
                </c:pt>
                <c:pt idx="2306" formatCode="0.00">
                  <c:v>0.94637860127711448</c:v>
                </c:pt>
                <c:pt idx="2309" formatCode="0.00">
                  <c:v>1.0702038284563413</c:v>
                </c:pt>
                <c:pt idx="2311" formatCode="0.00">
                  <c:v>1.148838012410937</c:v>
                </c:pt>
                <c:pt idx="2317" formatCode="0.00">
                  <c:v>1.3542851073254476</c:v>
                </c:pt>
                <c:pt idx="2318" formatCode="0.00">
                  <c:v>-3.7025863105555196E-2</c:v>
                </c:pt>
                <c:pt idx="2321" formatCode="0.00">
                  <c:v>1.0204610835365358</c:v>
                </c:pt>
                <c:pt idx="2325" formatCode="0.00">
                  <c:v>0.40219846292902167</c:v>
                </c:pt>
                <c:pt idx="2330" formatCode="0.00">
                  <c:v>1.8056284571892762</c:v>
                </c:pt>
                <c:pt idx="2333" formatCode="0.00">
                  <c:v>0.83892078305907947</c:v>
                </c:pt>
                <c:pt idx="2335" formatCode="0.00">
                  <c:v>0.73984024851572872</c:v>
                </c:pt>
                <c:pt idx="2336" formatCode="0.00">
                  <c:v>1.2909660954341682</c:v>
                </c:pt>
                <c:pt idx="2338" formatCode="0.00">
                  <c:v>0.53760560576684191</c:v>
                </c:pt>
                <c:pt idx="2346" formatCode="0.00">
                  <c:v>-0.13768049833203103</c:v>
                </c:pt>
                <c:pt idx="2347" formatCode="0.00">
                  <c:v>1.7440185535940251</c:v>
                </c:pt>
                <c:pt idx="2351" formatCode="0.00">
                  <c:v>-0.27950096360509474</c:v>
                </c:pt>
                <c:pt idx="2352" formatCode="0.00">
                  <c:v>0.81757213785876492</c:v>
                </c:pt>
                <c:pt idx="2356" formatCode="0.00">
                  <c:v>-1.0409349905245555</c:v>
                </c:pt>
                <c:pt idx="2358" formatCode="0.00">
                  <c:v>0.68475799369295787</c:v>
                </c:pt>
                <c:pt idx="2359" formatCode="0.00">
                  <c:v>0.44963530281602548</c:v>
                </c:pt>
                <c:pt idx="2369" formatCode="0.00">
                  <c:v>1.6983852834427049</c:v>
                </c:pt>
                <c:pt idx="2373" formatCode="0.00">
                  <c:v>0.72430965813879911</c:v>
                </c:pt>
                <c:pt idx="2375" formatCode="0.00">
                  <c:v>0.70092630980525461</c:v>
                </c:pt>
                <c:pt idx="2379" formatCode="0.00">
                  <c:v>0.26553630549029555</c:v>
                </c:pt>
                <c:pt idx="2381" formatCode="0.00">
                  <c:v>1.7649868404926508</c:v>
                </c:pt>
                <c:pt idx="2382" formatCode="0.00">
                  <c:v>0.36438334544159423</c:v>
                </c:pt>
                <c:pt idx="2383" formatCode="0.00">
                  <c:v>1.8928246110738984</c:v>
                </c:pt>
                <c:pt idx="2388" formatCode="0.00">
                  <c:v>1.2074798267816411</c:v>
                </c:pt>
                <c:pt idx="2389" formatCode="0.00">
                  <c:v>0.61553397266812693</c:v>
                </c:pt>
                <c:pt idx="2395" formatCode="0.00">
                  <c:v>1.6647928078990377</c:v>
                </c:pt>
                <c:pt idx="2398" formatCode="0.00">
                  <c:v>0.71792570038159409</c:v>
                </c:pt>
                <c:pt idx="2400" formatCode="0.00">
                  <c:v>0.85494647712636407</c:v>
                </c:pt>
                <c:pt idx="2401" formatCode="0.00">
                  <c:v>0.93665881347638413</c:v>
                </c:pt>
                <c:pt idx="2404" formatCode="0.00">
                  <c:v>1.4453470730183884</c:v>
                </c:pt>
                <c:pt idx="2407" formatCode="0.00">
                  <c:v>-1.8667094900844912</c:v>
                </c:pt>
                <c:pt idx="2408" formatCode="0.00">
                  <c:v>0.80963501875972799</c:v>
                </c:pt>
                <c:pt idx="2409" formatCode="0.00">
                  <c:v>-0.54789351720112944</c:v>
                </c:pt>
                <c:pt idx="2411" formatCode="0.00">
                  <c:v>0.39886025268750752</c:v>
                </c:pt>
                <c:pt idx="2412" formatCode="0.00">
                  <c:v>0.20062997120366369</c:v>
                </c:pt>
                <c:pt idx="2416" formatCode="0.00">
                  <c:v>1.1081839912142286</c:v>
                </c:pt>
                <c:pt idx="2417" formatCode="0.00">
                  <c:v>-0.11512951455394947</c:v>
                </c:pt>
                <c:pt idx="2420" formatCode="0.00">
                  <c:v>0.44498424298675537</c:v>
                </c:pt>
                <c:pt idx="2423" formatCode="0.00">
                  <c:v>2.3443477897214509</c:v>
                </c:pt>
                <c:pt idx="2424" formatCode="0.00">
                  <c:v>0.73574042622428537</c:v>
                </c:pt>
                <c:pt idx="2429" formatCode="0.00">
                  <c:v>1.1853579674954597</c:v>
                </c:pt>
                <c:pt idx="2431" formatCode="0.00">
                  <c:v>-0.57540477604921569</c:v>
                </c:pt>
                <c:pt idx="2433" formatCode="0.00">
                  <c:v>0.48331502399378351</c:v>
                </c:pt>
                <c:pt idx="2434" formatCode="0.00">
                  <c:v>1.2510848473758613</c:v>
                </c:pt>
                <c:pt idx="2435" formatCode="0.00">
                  <c:v>-1.1776089212265446</c:v>
                </c:pt>
                <c:pt idx="2437" formatCode="0.00">
                  <c:v>0.32201645275229562</c:v>
                </c:pt>
                <c:pt idx="2446" formatCode="0.00">
                  <c:v>0.29505854003345588</c:v>
                </c:pt>
                <c:pt idx="2447" formatCode="0.00">
                  <c:v>0.78810529038586541</c:v>
                </c:pt>
                <c:pt idx="2449" formatCode="0.00">
                  <c:v>-0.60371997779591235</c:v>
                </c:pt>
                <c:pt idx="2451" formatCode="0.00">
                  <c:v>0.55554539874072306</c:v>
                </c:pt>
                <c:pt idx="2453" formatCode="0.00">
                  <c:v>1.0346843982371443</c:v>
                </c:pt>
                <c:pt idx="2458" formatCode="0.00">
                  <c:v>0.77684558137123461</c:v>
                </c:pt>
                <c:pt idx="2462" formatCode="0.00">
                  <c:v>1.3325721368958636</c:v>
                </c:pt>
                <c:pt idx="2463" formatCode="0.00">
                  <c:v>0.25699499823216149</c:v>
                </c:pt>
                <c:pt idx="2470" formatCode="0.00">
                  <c:v>-0.76954254640242536</c:v>
                </c:pt>
                <c:pt idx="2472" formatCode="0.00">
                  <c:v>0.5541701757127776</c:v>
                </c:pt>
                <c:pt idx="2474" formatCode="0.00">
                  <c:v>1.179790850082699</c:v>
                </c:pt>
                <c:pt idx="2484" formatCode="0.00">
                  <c:v>0.92088459498439235</c:v>
                </c:pt>
                <c:pt idx="2486" formatCode="0.00">
                  <c:v>1.0483955041807411</c:v>
                </c:pt>
                <c:pt idx="2493" formatCode="0.00">
                  <c:v>0.70569944628451398</c:v>
                </c:pt>
                <c:pt idx="2498" formatCode="0.00">
                  <c:v>1.0156438557987755</c:v>
                </c:pt>
                <c:pt idx="2502" formatCode="0.00">
                  <c:v>-1.1541833704720231E-2</c:v>
                </c:pt>
                <c:pt idx="2506" formatCode="0.00">
                  <c:v>1.3985162083649048</c:v>
                </c:pt>
                <c:pt idx="2511" formatCode="0.00">
                  <c:v>0.32998371172758983</c:v>
                </c:pt>
                <c:pt idx="2516" formatCode="0.00">
                  <c:v>-0.53830080523020296</c:v>
                </c:pt>
                <c:pt idx="2518" formatCode="0.00">
                  <c:v>-0.82679856271460139</c:v>
                </c:pt>
                <c:pt idx="2519" formatCode="0.00">
                  <c:v>-0.93315490084163999</c:v>
                </c:pt>
                <c:pt idx="2522" formatCode="0.00">
                  <c:v>0.70673943080843504</c:v>
                </c:pt>
                <c:pt idx="2526" formatCode="0.00">
                  <c:v>-0.66585480962248433</c:v>
                </c:pt>
                <c:pt idx="2527" formatCode="0.00">
                  <c:v>1.5820807316423127</c:v>
                </c:pt>
                <c:pt idx="2536" formatCode="0.00">
                  <c:v>0.87951844670022794</c:v>
                </c:pt>
                <c:pt idx="2547" formatCode="0.00">
                  <c:v>5.7453248333751705E-2</c:v>
                </c:pt>
                <c:pt idx="2548" formatCode="0.00">
                  <c:v>1.3021215819591092</c:v>
                </c:pt>
                <c:pt idx="2553" formatCode="0.00">
                  <c:v>-0.58648878474398791</c:v>
                </c:pt>
                <c:pt idx="2554" formatCode="0.00">
                  <c:v>-0.19184305239932459</c:v>
                </c:pt>
                <c:pt idx="2564" formatCode="0.00">
                  <c:v>0.85773200878204414</c:v>
                </c:pt>
                <c:pt idx="2569" formatCode="0.00">
                  <c:v>1.3012843509991328</c:v>
                </c:pt>
                <c:pt idx="2572" formatCode="0.00">
                  <c:v>1.8708661534212301E-2</c:v>
                </c:pt>
                <c:pt idx="2577" formatCode="0.00">
                  <c:v>-1.6116676171173452</c:v>
                </c:pt>
                <c:pt idx="2579" formatCode="0.00">
                  <c:v>0.32827418431955796</c:v>
                </c:pt>
                <c:pt idx="2583" formatCode="0.00">
                  <c:v>-0.15153200779691819</c:v>
                </c:pt>
                <c:pt idx="2584" formatCode="0.00">
                  <c:v>-0.56308299537341377</c:v>
                </c:pt>
                <c:pt idx="2585" formatCode="0.00">
                  <c:v>1.5679637845384471</c:v>
                </c:pt>
                <c:pt idx="2593" formatCode="0.00">
                  <c:v>0.34901316656668596</c:v>
                </c:pt>
                <c:pt idx="2595" formatCode="0.00">
                  <c:v>-0.61121976865052907</c:v>
                </c:pt>
                <c:pt idx="2601" formatCode="0.00">
                  <c:v>1.447610278437633</c:v>
                </c:pt>
                <c:pt idx="2606" formatCode="0.00">
                  <c:v>6.8036627966328117E-2</c:v>
                </c:pt>
                <c:pt idx="2611" formatCode="0.00">
                  <c:v>-0.31547300586351157</c:v>
                </c:pt>
                <c:pt idx="2614" formatCode="0.00">
                  <c:v>1.5435868246939193</c:v>
                </c:pt>
                <c:pt idx="2616" formatCode="0.00">
                  <c:v>0.62564790075773946</c:v>
                </c:pt>
                <c:pt idx="2618" formatCode="0.00">
                  <c:v>0.19463474272986583</c:v>
                </c:pt>
                <c:pt idx="2621" formatCode="0.00">
                  <c:v>-0.56644682224694975</c:v>
                </c:pt>
                <c:pt idx="2622" formatCode="0.00">
                  <c:v>-0.39503984851398666</c:v>
                </c:pt>
                <c:pt idx="2627" formatCode="0.00">
                  <c:v>0.38718400523386837</c:v>
                </c:pt>
                <c:pt idx="2633" formatCode="0.00">
                  <c:v>1.1661710552939122</c:v>
                </c:pt>
                <c:pt idx="2635" formatCode="0.00">
                  <c:v>1.344121856485754</c:v>
                </c:pt>
                <c:pt idx="2637" formatCode="0.00">
                  <c:v>-1.42826045227772</c:v>
                </c:pt>
                <c:pt idx="2641" formatCode="0.00">
                  <c:v>1.5918415537966759</c:v>
                </c:pt>
                <c:pt idx="2642" formatCode="0.00">
                  <c:v>4.7354921545556067E-2</c:v>
                </c:pt>
                <c:pt idx="2644" formatCode="0.00">
                  <c:v>1.1815100310638154</c:v>
                </c:pt>
                <c:pt idx="2650" formatCode="0.00">
                  <c:v>0.68438909001217429</c:v>
                </c:pt>
                <c:pt idx="2654" formatCode="0.00">
                  <c:v>0.50899189656242838</c:v>
                </c:pt>
                <c:pt idx="2658" formatCode="0.00">
                  <c:v>0.11510222083613678</c:v>
                </c:pt>
                <c:pt idx="2663" formatCode="0.00">
                  <c:v>0.43324799683453641</c:v>
                </c:pt>
                <c:pt idx="2664" formatCode="0.00">
                  <c:v>7.2533313781381129E-2</c:v>
                </c:pt>
                <c:pt idx="2674" formatCode="0.00">
                  <c:v>1.1951395705331556</c:v>
                </c:pt>
                <c:pt idx="2679" formatCode="0.00">
                  <c:v>0.10168351165602962</c:v>
                </c:pt>
                <c:pt idx="2680" formatCode="0.00">
                  <c:v>-0.33825500910483675</c:v>
                </c:pt>
                <c:pt idx="2682" formatCode="0.00">
                  <c:v>1.1275144440069089</c:v>
                </c:pt>
                <c:pt idx="2685" formatCode="0.00">
                  <c:v>1.1741547746152898</c:v>
                </c:pt>
                <c:pt idx="2692" formatCode="0.00">
                  <c:v>-1.1222431390886152</c:v>
                </c:pt>
                <c:pt idx="2693" formatCode="0.00">
                  <c:v>-0.53494744928010063</c:v>
                </c:pt>
                <c:pt idx="2694" formatCode="0.00">
                  <c:v>-0.41278274885211941</c:v>
                </c:pt>
                <c:pt idx="2697" formatCode="0.00">
                  <c:v>-2.6674237615538494E-3</c:v>
                </c:pt>
                <c:pt idx="2699" formatCode="0.00">
                  <c:v>0.7566823951507029</c:v>
                </c:pt>
                <c:pt idx="2703" formatCode="0.00">
                  <c:v>1.2198797329387061</c:v>
                </c:pt>
                <c:pt idx="2706" formatCode="0.00">
                  <c:v>0.19205687890463394</c:v>
                </c:pt>
                <c:pt idx="2709" formatCode="0.00">
                  <c:v>-0.96556422716056522</c:v>
                </c:pt>
                <c:pt idx="2715" formatCode="0.00">
                  <c:v>0.93365054091818112</c:v>
                </c:pt>
                <c:pt idx="2720" formatCode="0.00">
                  <c:v>2.0949087329148393</c:v>
                </c:pt>
                <c:pt idx="2721" formatCode="0.00">
                  <c:v>-1.2449014538708187</c:v>
                </c:pt>
                <c:pt idx="2724" formatCode="0.00">
                  <c:v>-0.45831838632342964</c:v>
                </c:pt>
                <c:pt idx="2725" formatCode="0.00">
                  <c:v>-0.15455616711039435</c:v>
                </c:pt>
                <c:pt idx="2727" formatCode="0.00">
                  <c:v>-0.35311951380938117</c:v>
                </c:pt>
                <c:pt idx="2728" formatCode="0.00">
                  <c:v>-0.39485444586271307</c:v>
                </c:pt>
                <c:pt idx="2730" formatCode="0.00">
                  <c:v>-0.75016432724164717</c:v>
                </c:pt>
                <c:pt idx="2732" formatCode="0.00">
                  <c:v>-0.64590993680650211</c:v>
                </c:pt>
                <c:pt idx="2734" formatCode="0.00">
                  <c:v>-8.7696493566901193E-2</c:v>
                </c:pt>
                <c:pt idx="2740" formatCode="0.00">
                  <c:v>0.25539222109646736</c:v>
                </c:pt>
                <c:pt idx="2741" formatCode="0.00">
                  <c:v>0.28759331292661899</c:v>
                </c:pt>
                <c:pt idx="2743" formatCode="0.00">
                  <c:v>0.88054251856324894</c:v>
                </c:pt>
                <c:pt idx="2747" formatCode="0.00">
                  <c:v>-0.42746073421915765</c:v>
                </c:pt>
                <c:pt idx="2754" formatCode="0.00">
                  <c:v>-0.11711634076463558</c:v>
                </c:pt>
                <c:pt idx="2756" formatCode="0.00">
                  <c:v>9.3124449242789342E-3</c:v>
                </c:pt>
                <c:pt idx="2757" formatCode="0.00">
                  <c:v>0.19536375499997433</c:v>
                </c:pt>
                <c:pt idx="2758" formatCode="0.00">
                  <c:v>0.23550113587922306</c:v>
                </c:pt>
                <c:pt idx="2759" formatCode="0.00">
                  <c:v>-0.36631285719329099</c:v>
                </c:pt>
                <c:pt idx="2762" formatCode="0.00">
                  <c:v>-0.56310258280774317</c:v>
                </c:pt>
                <c:pt idx="2766" formatCode="0.00">
                  <c:v>0.36502235318430803</c:v>
                </c:pt>
                <c:pt idx="2771" formatCode="0.00">
                  <c:v>-0.35793771412508524</c:v>
                </c:pt>
                <c:pt idx="2775" formatCode="0.00">
                  <c:v>4.4991093062080913E-2</c:v>
                </c:pt>
                <c:pt idx="2777" formatCode="0.00">
                  <c:v>0.71285128707894196</c:v>
                </c:pt>
                <c:pt idx="2778" formatCode="0.00">
                  <c:v>-0.1051088610611404</c:v>
                </c:pt>
                <c:pt idx="2781" formatCode="0.00">
                  <c:v>0.94910071897520421</c:v>
                </c:pt>
                <c:pt idx="2782" formatCode="0.00">
                  <c:v>-0.55324777335871134</c:v>
                </c:pt>
                <c:pt idx="2785" formatCode="0.00">
                  <c:v>-0.11241595190127132</c:v>
                </c:pt>
                <c:pt idx="2787" formatCode="0.00">
                  <c:v>0.65033927034642103</c:v>
                </c:pt>
                <c:pt idx="2788" formatCode="0.00">
                  <c:v>0.18936497448599163</c:v>
                </c:pt>
                <c:pt idx="2790" formatCode="0.00">
                  <c:v>0.72537493879707826</c:v>
                </c:pt>
                <c:pt idx="2794" formatCode="0.00">
                  <c:v>-3.4674222264719667E-2</c:v>
                </c:pt>
                <c:pt idx="2795" formatCode="0.00">
                  <c:v>0.57647173358591974</c:v>
                </c:pt>
                <c:pt idx="2798" formatCode="0.00">
                  <c:v>0.79357154330386903</c:v>
                </c:pt>
                <c:pt idx="2799" formatCode="0.00">
                  <c:v>-0.42205972349921111</c:v>
                </c:pt>
                <c:pt idx="2802" formatCode="0.00">
                  <c:v>0.11557428265260461</c:v>
                </c:pt>
                <c:pt idx="2804" formatCode="0.00">
                  <c:v>0.55452311759517015</c:v>
                </c:pt>
                <c:pt idx="2805" formatCode="0.00">
                  <c:v>-4.8782219776639428E-2</c:v>
                </c:pt>
                <c:pt idx="2808" formatCode="0.00">
                  <c:v>-7.2246216377771996E-2</c:v>
                </c:pt>
                <c:pt idx="2809" formatCode="0.00">
                  <c:v>0.43298929360470778</c:v>
                </c:pt>
                <c:pt idx="2810" formatCode="0.00">
                  <c:v>-0.20564371024655206</c:v>
                </c:pt>
                <c:pt idx="2811" formatCode="0.00">
                  <c:v>0.26678454697132437</c:v>
                </c:pt>
                <c:pt idx="2815" formatCode="0.00">
                  <c:v>0.87382827724341927</c:v>
                </c:pt>
                <c:pt idx="2817" formatCode="0.00">
                  <c:v>0.44016817268147668</c:v>
                </c:pt>
                <c:pt idx="2819" formatCode="0.00">
                  <c:v>0.19423448353749195</c:v>
                </c:pt>
                <c:pt idx="2827" formatCode="0.00">
                  <c:v>0.14166384084858849</c:v>
                </c:pt>
                <c:pt idx="2829" formatCode="0.00">
                  <c:v>0.1544859241784802</c:v>
                </c:pt>
                <c:pt idx="2833" formatCode="0.00">
                  <c:v>0.48704502286122314</c:v>
                </c:pt>
                <c:pt idx="2836" formatCode="0.00">
                  <c:v>-0.54836756993561886</c:v>
                </c:pt>
                <c:pt idx="2843" formatCode="0.00">
                  <c:v>-0.78327045772777648</c:v>
                </c:pt>
                <c:pt idx="2850" formatCode="0.00">
                  <c:v>0.11342289831270586</c:v>
                </c:pt>
                <c:pt idx="2851" formatCode="0.00">
                  <c:v>0.42519066568632202</c:v>
                </c:pt>
                <c:pt idx="2853" formatCode="0.00">
                  <c:v>-1.1047463425716935</c:v>
                </c:pt>
                <c:pt idx="2854" formatCode="0.00">
                  <c:v>-0.57344517731045552</c:v>
                </c:pt>
                <c:pt idx="2855" formatCode="0.00">
                  <c:v>0.14674166410096642</c:v>
                </c:pt>
                <c:pt idx="2856" formatCode="0.00">
                  <c:v>0.38002979524473923</c:v>
                </c:pt>
                <c:pt idx="2857" formatCode="0.00">
                  <c:v>1.1007216359497882</c:v>
                </c:pt>
                <c:pt idx="2861" formatCode="0.00">
                  <c:v>0.85605121440387888</c:v>
                </c:pt>
                <c:pt idx="2862" formatCode="0.00">
                  <c:v>1.1935958590005837</c:v>
                </c:pt>
                <c:pt idx="2865" formatCode="0.00">
                  <c:v>-0.65673457604364927</c:v>
                </c:pt>
                <c:pt idx="2867" formatCode="0.00">
                  <c:v>-0.36887291139359341</c:v>
                </c:pt>
                <c:pt idx="2868" formatCode="0.00">
                  <c:v>-0.26378641012596088</c:v>
                </c:pt>
                <c:pt idx="2874" formatCode="0.00">
                  <c:v>-0.1265844767064068</c:v>
                </c:pt>
                <c:pt idx="2876" formatCode="0.00">
                  <c:v>0.35201196032252302</c:v>
                </c:pt>
                <c:pt idx="2878" formatCode="0.00">
                  <c:v>-0.25558674314808782</c:v>
                </c:pt>
                <c:pt idx="2891" formatCode="0.00">
                  <c:v>0.71597933077312315</c:v>
                </c:pt>
                <c:pt idx="2894" formatCode="0.00">
                  <c:v>0.62293997626240294</c:v>
                </c:pt>
                <c:pt idx="2896" formatCode="0.00">
                  <c:v>-0.90357969348620848</c:v>
                </c:pt>
                <c:pt idx="2897" formatCode="0.00">
                  <c:v>1.1787360161827505</c:v>
                </c:pt>
                <c:pt idx="2898" formatCode="0.00">
                  <c:v>0.23341719838733838</c:v>
                </c:pt>
                <c:pt idx="2900" formatCode="0.00">
                  <c:v>0.34495865840438139</c:v>
                </c:pt>
                <c:pt idx="2903" formatCode="0.00">
                  <c:v>0.73527166317030579</c:v>
                </c:pt>
                <c:pt idx="2904" formatCode="0.00">
                  <c:v>1.0832886520837097</c:v>
                </c:pt>
                <c:pt idx="2908" formatCode="0.00">
                  <c:v>1.6296856673129014</c:v>
                </c:pt>
                <c:pt idx="2913" formatCode="0.00">
                  <c:v>0.34362833299408879</c:v>
                </c:pt>
                <c:pt idx="2919" formatCode="0.00">
                  <c:v>0.69175900315235139</c:v>
                </c:pt>
                <c:pt idx="2922" formatCode="0.00">
                  <c:v>1.0609994556007898</c:v>
                </c:pt>
                <c:pt idx="2924" formatCode="0.00">
                  <c:v>6.8450422853335788E-2</c:v>
                </c:pt>
                <c:pt idx="2927" formatCode="0.00">
                  <c:v>1.025327230059087</c:v>
                </c:pt>
                <c:pt idx="2928" formatCode="0.00">
                  <c:v>0.990564480720591</c:v>
                </c:pt>
                <c:pt idx="2931" formatCode="0.00">
                  <c:v>0.8671805005429174</c:v>
                </c:pt>
                <c:pt idx="2932" formatCode="0.00">
                  <c:v>1.5036769138680532</c:v>
                </c:pt>
                <c:pt idx="2933" formatCode="0.00">
                  <c:v>1.4365644133236506</c:v>
                </c:pt>
                <c:pt idx="2936" formatCode="0.00">
                  <c:v>1.2689280801326028</c:v>
                </c:pt>
                <c:pt idx="2937" formatCode="0.00">
                  <c:v>0.18256326815889407</c:v>
                </c:pt>
                <c:pt idx="2939" formatCode="0.00">
                  <c:v>1.3121329964959647</c:v>
                </c:pt>
                <c:pt idx="2944" formatCode="0.00">
                  <c:v>1.0623733549649803</c:v>
                </c:pt>
                <c:pt idx="2951" formatCode="0.00">
                  <c:v>8.3918542734468179E-2</c:v>
                </c:pt>
                <c:pt idx="2954" formatCode="0.00">
                  <c:v>0.86676237993642979</c:v>
                </c:pt>
                <c:pt idx="2957" formatCode="0.00">
                  <c:v>1.242387516602409</c:v>
                </c:pt>
                <c:pt idx="2958" formatCode="0.00">
                  <c:v>0.67486961502074894</c:v>
                </c:pt>
                <c:pt idx="2964" formatCode="0.00">
                  <c:v>-0.4569013008768753</c:v>
                </c:pt>
                <c:pt idx="2965" formatCode="0.00">
                  <c:v>1.2851165406769522</c:v>
                </c:pt>
                <c:pt idx="2967" formatCode="0.00">
                  <c:v>0.6980002040838641</c:v>
                </c:pt>
                <c:pt idx="2968" formatCode="0.00">
                  <c:v>0.86509836002031326</c:v>
                </c:pt>
                <c:pt idx="2969" formatCode="0.00">
                  <c:v>0.74181570614890779</c:v>
                </c:pt>
                <c:pt idx="2970" formatCode="0.00">
                  <c:v>1.416490947333243</c:v>
                </c:pt>
                <c:pt idx="2972" formatCode="0.00">
                  <c:v>1.5510458919011252</c:v>
                </c:pt>
                <c:pt idx="2973" formatCode="0.00">
                  <c:v>0.94204046138354214</c:v>
                </c:pt>
                <c:pt idx="2975" formatCode="0.00">
                  <c:v>1.229926467646</c:v>
                </c:pt>
                <c:pt idx="2979" formatCode="0.00">
                  <c:v>1.1127856326366079</c:v>
                </c:pt>
                <c:pt idx="2982" formatCode="0.00">
                  <c:v>0.68737257391868312</c:v>
                </c:pt>
                <c:pt idx="2985" formatCode="0.00">
                  <c:v>0.34274695558784174</c:v>
                </c:pt>
                <c:pt idx="2986" formatCode="0.00">
                  <c:v>0.79728298478347825</c:v>
                </c:pt>
                <c:pt idx="2990" formatCode="0.00">
                  <c:v>0.50451188658792756</c:v>
                </c:pt>
                <c:pt idx="2991" formatCode="0.00">
                  <c:v>1.3492097524241933</c:v>
                </c:pt>
                <c:pt idx="2992" formatCode="0.00">
                  <c:v>1.363010663250694</c:v>
                </c:pt>
                <c:pt idx="2993" formatCode="0.00">
                  <c:v>1.5214747247588656</c:v>
                </c:pt>
                <c:pt idx="2995" formatCode="0.00">
                  <c:v>1.2721953282851823</c:v>
                </c:pt>
                <c:pt idx="2996" formatCode="0.00">
                  <c:v>-0.42371317400534037</c:v>
                </c:pt>
                <c:pt idx="3001" formatCode="0.00">
                  <c:v>0.73185090591338942</c:v>
                </c:pt>
                <c:pt idx="3003" formatCode="0.00">
                  <c:v>1.6059441227537037</c:v>
                </c:pt>
                <c:pt idx="3004" formatCode="0.00">
                  <c:v>0.88521523575408601</c:v>
                </c:pt>
                <c:pt idx="3007" formatCode="0.00">
                  <c:v>1.0239994813594739</c:v>
                </c:pt>
                <c:pt idx="3012" formatCode="0.00">
                  <c:v>1.1347948048253811</c:v>
                </c:pt>
                <c:pt idx="3013" formatCode="0.00">
                  <c:v>0.75307695740895642</c:v>
                </c:pt>
                <c:pt idx="3014" formatCode="0.00">
                  <c:v>0.79850703587406291</c:v>
                </c:pt>
                <c:pt idx="3015" formatCode="0.00">
                  <c:v>0.53709550079009594</c:v>
                </c:pt>
                <c:pt idx="3019" formatCode="0.00">
                  <c:v>0.35140788282386282</c:v>
                </c:pt>
                <c:pt idx="3020" formatCode="0.00">
                  <c:v>0.87966148743547812</c:v>
                </c:pt>
                <c:pt idx="3022" formatCode="0.00">
                  <c:v>0.73466059934338457</c:v>
                </c:pt>
                <c:pt idx="3023" formatCode="0.00">
                  <c:v>1.3006461163706518</c:v>
                </c:pt>
                <c:pt idx="3027" formatCode="0.00">
                  <c:v>1.6949525335090374</c:v>
                </c:pt>
                <c:pt idx="3029" formatCode="0.00">
                  <c:v>1.351445333057786</c:v>
                </c:pt>
                <c:pt idx="3031" formatCode="0.00">
                  <c:v>0.36890170052399091</c:v>
                </c:pt>
                <c:pt idx="3035" formatCode="0.00">
                  <c:v>1.5690582516666758</c:v>
                </c:pt>
                <c:pt idx="3036" formatCode="0.00">
                  <c:v>1.5728408586905245</c:v>
                </c:pt>
                <c:pt idx="3039" formatCode="0.00">
                  <c:v>0.78901149836674556</c:v>
                </c:pt>
                <c:pt idx="3042" formatCode="0.00">
                  <c:v>1.3158138511084878</c:v>
                </c:pt>
                <c:pt idx="3043" formatCode="0.00">
                  <c:v>0.65498616537269128</c:v>
                </c:pt>
                <c:pt idx="3046" formatCode="0.00">
                  <c:v>1.6452824531466759</c:v>
                </c:pt>
                <c:pt idx="3047" formatCode="0.00">
                  <c:v>0.25155002516037889</c:v>
                </c:pt>
                <c:pt idx="3050" formatCode="0.00">
                  <c:v>1.075339873217829</c:v>
                </c:pt>
                <c:pt idx="3051" formatCode="0.00">
                  <c:v>1.0240711930767465</c:v>
                </c:pt>
                <c:pt idx="3052" formatCode="0.00">
                  <c:v>1.2233272635652137</c:v>
                </c:pt>
                <c:pt idx="3055" formatCode="0.00">
                  <c:v>1.5317424407821392</c:v>
                </c:pt>
                <c:pt idx="3056" formatCode="0.00">
                  <c:v>1.2621804984532023</c:v>
                </c:pt>
                <c:pt idx="3057" formatCode="0.00">
                  <c:v>1.4777863274042551</c:v>
                </c:pt>
                <c:pt idx="3058" formatCode="0.00">
                  <c:v>1.5363418275217895</c:v>
                </c:pt>
                <c:pt idx="3065" formatCode="0.00">
                  <c:v>0.47900622607806298</c:v>
                </c:pt>
                <c:pt idx="3066" formatCode="0.00">
                  <c:v>1.0111488087258953</c:v>
                </c:pt>
                <c:pt idx="3067" formatCode="0.00">
                  <c:v>1.1173958181753352</c:v>
                </c:pt>
                <c:pt idx="3069" formatCode="0.00">
                  <c:v>0.78989061596757004</c:v>
                </c:pt>
                <c:pt idx="3070" formatCode="0.00">
                  <c:v>1.4953810207639671</c:v>
                </c:pt>
                <c:pt idx="3072" formatCode="0.00">
                  <c:v>0.67282845492273902</c:v>
                </c:pt>
                <c:pt idx="3074" formatCode="0.00">
                  <c:v>0.63770239128416795</c:v>
                </c:pt>
                <c:pt idx="3076" formatCode="0.00">
                  <c:v>0.12536848394157868</c:v>
                </c:pt>
                <c:pt idx="3078" formatCode="0.00">
                  <c:v>0.97792078017227324</c:v>
                </c:pt>
                <c:pt idx="3082" formatCode="0.00">
                  <c:v>1.800800699729622</c:v>
                </c:pt>
                <c:pt idx="3084" formatCode="0.00">
                  <c:v>1.685807916514225</c:v>
                </c:pt>
                <c:pt idx="3085" formatCode="0.00">
                  <c:v>6.1954828235064208E-2</c:v>
                </c:pt>
                <c:pt idx="3087" formatCode="0.00">
                  <c:v>1.4626492892106016</c:v>
                </c:pt>
                <c:pt idx="3088" formatCode="0.00">
                  <c:v>1.196632943417838</c:v>
                </c:pt>
                <c:pt idx="3089" formatCode="0.00">
                  <c:v>1.3574170418385989</c:v>
                </c:pt>
                <c:pt idx="3091" formatCode="0.00">
                  <c:v>-0.12879842641891187</c:v>
                </c:pt>
                <c:pt idx="3097" formatCode="0.00">
                  <c:v>1.0799544258959124</c:v>
                </c:pt>
                <c:pt idx="3101" formatCode="0.00">
                  <c:v>1.9362744433565242</c:v>
                </c:pt>
                <c:pt idx="3102" formatCode="0.00">
                  <c:v>0.73109542958091278</c:v>
                </c:pt>
                <c:pt idx="3103" formatCode="0.00">
                  <c:v>0.75343419221069119</c:v>
                </c:pt>
                <c:pt idx="3106" formatCode="0.00">
                  <c:v>0.9018781165094798</c:v>
                </c:pt>
                <c:pt idx="3107" formatCode="0.00">
                  <c:v>0.3884794367444987</c:v>
                </c:pt>
                <c:pt idx="3109" formatCode="0.00">
                  <c:v>1.0699333480420488</c:v>
                </c:pt>
                <c:pt idx="3111" formatCode="0.00">
                  <c:v>1.7818233557967753</c:v>
                </c:pt>
                <c:pt idx="3112" formatCode="0.00">
                  <c:v>-0.2256176592391502</c:v>
                </c:pt>
                <c:pt idx="3115" formatCode="0.00">
                  <c:v>1.0235491899781162</c:v>
                </c:pt>
                <c:pt idx="3119" formatCode="0.00">
                  <c:v>2.7236219580405177</c:v>
                </c:pt>
                <c:pt idx="3120" formatCode="0.00">
                  <c:v>0.8745199602949757</c:v>
                </c:pt>
                <c:pt idx="3121" formatCode="0.00">
                  <c:v>1.628881635440333</c:v>
                </c:pt>
                <c:pt idx="3126" formatCode="0.00">
                  <c:v>1.9746445410093625</c:v>
                </c:pt>
                <c:pt idx="3128" formatCode="0.00">
                  <c:v>0.45208159275722437</c:v>
                </c:pt>
                <c:pt idx="3133" formatCode="0.00">
                  <c:v>0.78992137573791932</c:v>
                </c:pt>
                <c:pt idx="3134" formatCode="0.00">
                  <c:v>1.8909623056613121</c:v>
                </c:pt>
                <c:pt idx="3136" formatCode="0.00">
                  <c:v>1.2409863604999651</c:v>
                </c:pt>
                <c:pt idx="3139" formatCode="0.00">
                  <c:v>1.5541780840575965</c:v>
                </c:pt>
                <c:pt idx="3141" formatCode="0.00">
                  <c:v>1.0583796932501335</c:v>
                </c:pt>
                <c:pt idx="3142" formatCode="0.00">
                  <c:v>1.5305916804199453</c:v>
                </c:pt>
                <c:pt idx="3144" formatCode="0.00">
                  <c:v>1.1742739313558437</c:v>
                </c:pt>
                <c:pt idx="3145" formatCode="0.00">
                  <c:v>1.6280265718240194</c:v>
                </c:pt>
                <c:pt idx="3147" formatCode="0.00">
                  <c:v>1.9563453585862003</c:v>
                </c:pt>
                <c:pt idx="3150" formatCode="0.00">
                  <c:v>0.77138984165745283</c:v>
                </c:pt>
                <c:pt idx="3151" formatCode="0.00">
                  <c:v>1.5181030527733927</c:v>
                </c:pt>
                <c:pt idx="3154" formatCode="0.00">
                  <c:v>1.5394782689852282</c:v>
                </c:pt>
                <c:pt idx="3156" formatCode="0.00">
                  <c:v>0.38605599400854351</c:v>
                </c:pt>
                <c:pt idx="3161" formatCode="0.00">
                  <c:v>1.6632056058798674</c:v>
                </c:pt>
                <c:pt idx="3162" formatCode="0.00">
                  <c:v>-6.8246856933231209E-2</c:v>
                </c:pt>
                <c:pt idx="3165" formatCode="0.00">
                  <c:v>1.0544111488343562</c:v>
                </c:pt>
                <c:pt idx="3168" formatCode="0.00">
                  <c:v>1.3404156270446241</c:v>
                </c:pt>
                <c:pt idx="3169" formatCode="0.00">
                  <c:v>0.24580828473163854</c:v>
                </c:pt>
                <c:pt idx="3173" formatCode="0.00">
                  <c:v>1.4328405436053817</c:v>
                </c:pt>
                <c:pt idx="3175" formatCode="0.00">
                  <c:v>1.2153532853545042</c:v>
                </c:pt>
                <c:pt idx="3177" formatCode="0.00">
                  <c:v>2.7851512389954243</c:v>
                </c:pt>
                <c:pt idx="3184" formatCode="0.00">
                  <c:v>1.5235699416918491</c:v>
                </c:pt>
                <c:pt idx="3190" formatCode="0.00">
                  <c:v>1.8095938942225585</c:v>
                </c:pt>
                <c:pt idx="3193" formatCode="0.00">
                  <c:v>1.1492895538464951</c:v>
                </c:pt>
                <c:pt idx="3195" formatCode="0.00">
                  <c:v>1.4450840639123197</c:v>
                </c:pt>
                <c:pt idx="3196" formatCode="0.00">
                  <c:v>0.30437482014466216</c:v>
                </c:pt>
                <c:pt idx="3199" formatCode="0.00">
                  <c:v>2.6035200884933416</c:v>
                </c:pt>
                <c:pt idx="3200" formatCode="0.00">
                  <c:v>-0.47954386050128317</c:v>
                </c:pt>
                <c:pt idx="3202" formatCode="0.00">
                  <c:v>0.63944628010648019</c:v>
                </c:pt>
                <c:pt idx="3204" formatCode="0.00">
                  <c:v>1.2681172671116758</c:v>
                </c:pt>
                <c:pt idx="3206" formatCode="0.00">
                  <c:v>1.6356767283494873</c:v>
                </c:pt>
                <c:pt idx="3208" formatCode="0.00">
                  <c:v>2.1978477354416928</c:v>
                </c:pt>
                <c:pt idx="3213" formatCode="0.00">
                  <c:v>0.99314546682123539</c:v>
                </c:pt>
                <c:pt idx="3215" formatCode="0.00">
                  <c:v>1.6024144754479055</c:v>
                </c:pt>
                <c:pt idx="3217" formatCode="0.00">
                  <c:v>2.1981590959817692</c:v>
                </c:pt>
                <c:pt idx="3220" formatCode="0.00">
                  <c:v>0.96561479140288786</c:v>
                </c:pt>
                <c:pt idx="3221" formatCode="0.00">
                  <c:v>1.2459081370679734</c:v>
                </c:pt>
                <c:pt idx="3223" formatCode="0.00">
                  <c:v>0.59851345261908573</c:v>
                </c:pt>
                <c:pt idx="3224" formatCode="0.00">
                  <c:v>1.5576225287460117</c:v>
                </c:pt>
                <c:pt idx="3227" formatCode="0.00">
                  <c:v>0.28844842787654096</c:v>
                </c:pt>
                <c:pt idx="3228" formatCode="0.00">
                  <c:v>1.4898084871085331</c:v>
                </c:pt>
                <c:pt idx="3229" formatCode="0.00">
                  <c:v>0.76917886577499028</c:v>
                </c:pt>
                <c:pt idx="3230" formatCode="0.00">
                  <c:v>0.17739881304069124</c:v>
                </c:pt>
                <c:pt idx="3232" formatCode="0.00">
                  <c:v>0.47264823750225188</c:v>
                </c:pt>
                <c:pt idx="3233" formatCode="0.00">
                  <c:v>1.3845489857513193</c:v>
                </c:pt>
                <c:pt idx="3234" formatCode="0.00">
                  <c:v>1.129966052037382</c:v>
                </c:pt>
                <c:pt idx="3235" formatCode="0.00">
                  <c:v>0.7620302237963138</c:v>
                </c:pt>
                <c:pt idx="3241" formatCode="0.00">
                  <c:v>2.0161284571465887</c:v>
                </c:pt>
                <c:pt idx="3242" formatCode="0.00">
                  <c:v>1.4657552552254509</c:v>
                </c:pt>
                <c:pt idx="3245" formatCode="0.00">
                  <c:v>1.5607104877741671</c:v>
                </c:pt>
                <c:pt idx="3247" formatCode="0.00">
                  <c:v>1.5067277263174659</c:v>
                </c:pt>
                <c:pt idx="3252" formatCode="0.00">
                  <c:v>0.99654793215965587</c:v>
                </c:pt>
                <c:pt idx="3254" formatCode="0.00">
                  <c:v>1.8800552404584616</c:v>
                </c:pt>
                <c:pt idx="3255" formatCode="0.00">
                  <c:v>2.1810318184611757</c:v>
                </c:pt>
                <c:pt idx="3257" formatCode="0.00">
                  <c:v>1.6854431399522465</c:v>
                </c:pt>
                <c:pt idx="3259" formatCode="0.00">
                  <c:v>1.5361937473092324</c:v>
                </c:pt>
                <c:pt idx="3260" formatCode="0.00">
                  <c:v>1.2562140477362109</c:v>
                </c:pt>
                <c:pt idx="3262" formatCode="0.00">
                  <c:v>1.7287963911125275</c:v>
                </c:pt>
                <c:pt idx="3264" formatCode="0.00">
                  <c:v>1.2577581845554184</c:v>
                </c:pt>
                <c:pt idx="3271" formatCode="0.00">
                  <c:v>1.1133169388549098</c:v>
                </c:pt>
                <c:pt idx="3272" formatCode="0.00">
                  <c:v>1.9879468202556669</c:v>
                </c:pt>
                <c:pt idx="3273" formatCode="0.00">
                  <c:v>2.8426793592584492</c:v>
                </c:pt>
                <c:pt idx="3275" formatCode="0.00">
                  <c:v>1.2534241942766635</c:v>
                </c:pt>
                <c:pt idx="3276" formatCode="0.00">
                  <c:v>1.3154904336178264</c:v>
                </c:pt>
                <c:pt idx="3278" formatCode="0.00">
                  <c:v>1.4721972810399218</c:v>
                </c:pt>
                <c:pt idx="3279" formatCode="0.00">
                  <c:v>1.8306013263109864</c:v>
                </c:pt>
                <c:pt idx="3283" formatCode="0.00">
                  <c:v>1.1536031950878092</c:v>
                </c:pt>
                <c:pt idx="3285" formatCode="0.00">
                  <c:v>1.2996995094515078</c:v>
                </c:pt>
                <c:pt idx="3288" formatCode="0.00">
                  <c:v>0.63529925581666646</c:v>
                </c:pt>
                <c:pt idx="3291" formatCode="0.00">
                  <c:v>1.5173014954812893</c:v>
                </c:pt>
                <c:pt idx="3296" formatCode="0.00">
                  <c:v>0.37895593064358402</c:v>
                </c:pt>
                <c:pt idx="3298" formatCode="0.00">
                  <c:v>1.2317197317926445</c:v>
                </c:pt>
                <c:pt idx="3301" formatCode="0.00">
                  <c:v>0.69819735730651666</c:v>
                </c:pt>
                <c:pt idx="3302" formatCode="0.00">
                  <c:v>1.0430326286612022</c:v>
                </c:pt>
                <c:pt idx="3303" formatCode="0.00">
                  <c:v>1.1526251484379826</c:v>
                </c:pt>
                <c:pt idx="3305" formatCode="0.00">
                  <c:v>0.96742357060456174</c:v>
                </c:pt>
                <c:pt idx="3306" formatCode="0.00">
                  <c:v>0.97941139754915052</c:v>
                </c:pt>
                <c:pt idx="3312" formatCode="0.00">
                  <c:v>0.45096136161351458</c:v>
                </c:pt>
                <c:pt idx="3315" formatCode="0.00">
                  <c:v>0.26216853594556583</c:v>
                </c:pt>
                <c:pt idx="3317" formatCode="0.00">
                  <c:v>1.8389195089363959</c:v>
                </c:pt>
                <c:pt idx="3318" formatCode="0.00">
                  <c:v>1.8865657502244626</c:v>
                </c:pt>
                <c:pt idx="3319" formatCode="0.00">
                  <c:v>-9.1322898193922794E-2</c:v>
                </c:pt>
                <c:pt idx="3323" formatCode="0.00">
                  <c:v>0.37898271106821396</c:v>
                </c:pt>
                <c:pt idx="3330" formatCode="0.00">
                  <c:v>0.97824964059453356</c:v>
                </c:pt>
                <c:pt idx="3333" formatCode="0.00">
                  <c:v>0.22358696622312879</c:v>
                </c:pt>
                <c:pt idx="3335" formatCode="0.00">
                  <c:v>1.2702233209827507</c:v>
                </c:pt>
                <c:pt idx="3336" formatCode="0.00">
                  <c:v>1.4557909680282022</c:v>
                </c:pt>
                <c:pt idx="3343" formatCode="0.00">
                  <c:v>0.8724590971557844</c:v>
                </c:pt>
                <c:pt idx="3345" formatCode="0.00">
                  <c:v>0.49265585537617862</c:v>
                </c:pt>
                <c:pt idx="3347" formatCode="0.00">
                  <c:v>0.46557774302603139</c:v>
                </c:pt>
                <c:pt idx="3348" formatCode="0.00">
                  <c:v>1.0218480185659495</c:v>
                </c:pt>
                <c:pt idx="3349" formatCode="0.00">
                  <c:v>-0.25989297598973954</c:v>
                </c:pt>
                <c:pt idx="3350" formatCode="0.00">
                  <c:v>-0.14674795973565841</c:v>
                </c:pt>
                <c:pt idx="3351" formatCode="0.00">
                  <c:v>0.79117798310322007</c:v>
                </c:pt>
                <c:pt idx="3353" formatCode="0.00">
                  <c:v>0.99216464431844498</c:v>
                </c:pt>
                <c:pt idx="3361" formatCode="0.00">
                  <c:v>3.0901032248662621</c:v>
                </c:pt>
                <c:pt idx="3362" formatCode="0.00">
                  <c:v>1.2479733582210868</c:v>
                </c:pt>
                <c:pt idx="3367" formatCode="0.00">
                  <c:v>1.0757488283043866</c:v>
                </c:pt>
                <c:pt idx="3368" formatCode="0.00">
                  <c:v>0.7470927449030661</c:v>
                </c:pt>
                <c:pt idx="3369" formatCode="0.00">
                  <c:v>0.66803318191555772</c:v>
                </c:pt>
                <c:pt idx="3371" formatCode="0.00">
                  <c:v>0.75025191166445959</c:v>
                </c:pt>
                <c:pt idx="3374" formatCode="0.00">
                  <c:v>1.8244320991786274</c:v>
                </c:pt>
                <c:pt idx="3378" formatCode="0.00">
                  <c:v>1.2708330464360031</c:v>
                </c:pt>
                <c:pt idx="3383" formatCode="0.00">
                  <c:v>0.666040559599131</c:v>
                </c:pt>
                <c:pt idx="3387" formatCode="0.00">
                  <c:v>0.93574287468242912</c:v>
                </c:pt>
                <c:pt idx="3389" formatCode="0.00">
                  <c:v>0.9089386744485447</c:v>
                </c:pt>
                <c:pt idx="3395" formatCode="0.00">
                  <c:v>0.99050560352137618</c:v>
                </c:pt>
                <c:pt idx="3397" formatCode="0.00">
                  <c:v>2.0178241630146463</c:v>
                </c:pt>
                <c:pt idx="3398" formatCode="0.00">
                  <c:v>0.5943192927681834</c:v>
                </c:pt>
                <c:pt idx="3399" formatCode="0.00">
                  <c:v>1.204538658572377</c:v>
                </c:pt>
                <c:pt idx="3403" formatCode="0.00">
                  <c:v>1.5378781058240805</c:v>
                </c:pt>
                <c:pt idx="3404" formatCode="0.00">
                  <c:v>2.3511619755456903E-2</c:v>
                </c:pt>
                <c:pt idx="3407" formatCode="0.00">
                  <c:v>1.2832221656691971</c:v>
                </c:pt>
                <c:pt idx="3409" formatCode="0.00">
                  <c:v>1.4312582548953128</c:v>
                </c:pt>
                <c:pt idx="3411" formatCode="0.00">
                  <c:v>0.67342201017691139</c:v>
                </c:pt>
                <c:pt idx="3412" formatCode="0.00">
                  <c:v>8.8024059031904286E-2</c:v>
                </c:pt>
                <c:pt idx="3415" formatCode="0.00">
                  <c:v>0.78200562064831081</c:v>
                </c:pt>
                <c:pt idx="3417" formatCode="0.00">
                  <c:v>0.52279572505586569</c:v>
                </c:pt>
                <c:pt idx="3418" formatCode="0.00">
                  <c:v>0.42479643039598569</c:v>
                </c:pt>
                <c:pt idx="3421" formatCode="0.00">
                  <c:v>0.4951826944637</c:v>
                </c:pt>
                <c:pt idx="3423" formatCode="0.00">
                  <c:v>0.73883651583276799</c:v>
                </c:pt>
                <c:pt idx="3425" formatCode="0.00">
                  <c:v>0.52682978664768765</c:v>
                </c:pt>
                <c:pt idx="3426" formatCode="0.00">
                  <c:v>0.99410044242002493</c:v>
                </c:pt>
                <c:pt idx="3428" formatCode="0.00">
                  <c:v>0.93302144024232048</c:v>
                </c:pt>
                <c:pt idx="3429" formatCode="0.00">
                  <c:v>0.23294966639770995</c:v>
                </c:pt>
                <c:pt idx="3430" formatCode="0.00">
                  <c:v>0.60664761904235875</c:v>
                </c:pt>
                <c:pt idx="3433" formatCode="0.00">
                  <c:v>2.4197002173830255</c:v>
                </c:pt>
                <c:pt idx="3435" formatCode="0.00">
                  <c:v>0.82739410821769943</c:v>
                </c:pt>
                <c:pt idx="3439" formatCode="0.00">
                  <c:v>1.2597765733918693</c:v>
                </c:pt>
                <c:pt idx="3443" formatCode="0.00">
                  <c:v>1.1272838103762313</c:v>
                </c:pt>
                <c:pt idx="3444" formatCode="0.00">
                  <c:v>0.88416564429262046</c:v>
                </c:pt>
                <c:pt idx="3445" formatCode="0.00">
                  <c:v>1.4107091705258816</c:v>
                </c:pt>
                <c:pt idx="3446" formatCode="0.00">
                  <c:v>0.75217165367649874</c:v>
                </c:pt>
                <c:pt idx="3449" formatCode="0.00">
                  <c:v>0.29208716964827885</c:v>
                </c:pt>
                <c:pt idx="3451" formatCode="0.00">
                  <c:v>0.9691405102424695</c:v>
                </c:pt>
                <c:pt idx="3452" formatCode="0.00">
                  <c:v>1.5563419312926376</c:v>
                </c:pt>
                <c:pt idx="3455" formatCode="0.00">
                  <c:v>2.4864901041278316</c:v>
                </c:pt>
                <c:pt idx="3456" formatCode="0.00">
                  <c:v>1.7662715867308831</c:v>
                </c:pt>
                <c:pt idx="3457" formatCode="0.00">
                  <c:v>0.55446577871870939</c:v>
                </c:pt>
                <c:pt idx="3460" formatCode="0.00">
                  <c:v>0.75286783107097088</c:v>
                </c:pt>
                <c:pt idx="3461" formatCode="0.00">
                  <c:v>1.2171485553472405</c:v>
                </c:pt>
                <c:pt idx="3462" formatCode="0.00">
                  <c:v>5.9256487203730022E-2</c:v>
                </c:pt>
                <c:pt idx="3465" formatCode="0.00">
                  <c:v>0.91577887279062375</c:v>
                </c:pt>
                <c:pt idx="3470" formatCode="0.00">
                  <c:v>0.97168671557605124</c:v>
                </c:pt>
                <c:pt idx="3474" formatCode="0.00">
                  <c:v>2.6006993994389656</c:v>
                </c:pt>
                <c:pt idx="3475" formatCode="0.00">
                  <c:v>0.95706337666620744</c:v>
                </c:pt>
                <c:pt idx="3476" formatCode="0.00">
                  <c:v>0.72618394751554738</c:v>
                </c:pt>
                <c:pt idx="3479" formatCode="0.00">
                  <c:v>1.0938017934170619</c:v>
                </c:pt>
                <c:pt idx="3480" formatCode="0.00">
                  <c:v>1.2932735156081008</c:v>
                </c:pt>
                <c:pt idx="3483" formatCode="0.00">
                  <c:v>1.0635360569922891</c:v>
                </c:pt>
                <c:pt idx="3484" formatCode="0.00">
                  <c:v>0.28079134401184291</c:v>
                </c:pt>
                <c:pt idx="3488" formatCode="0.00">
                  <c:v>0.50290505347476877</c:v>
                </c:pt>
                <c:pt idx="3489" formatCode="0.00">
                  <c:v>1.188995419842948</c:v>
                </c:pt>
                <c:pt idx="3492" formatCode="0.00">
                  <c:v>0.90706037290774477</c:v>
                </c:pt>
                <c:pt idx="3495" formatCode="0.00">
                  <c:v>1.9480213814098353</c:v>
                </c:pt>
                <c:pt idx="3496" formatCode="0.00">
                  <c:v>1.0113508481845728</c:v>
                </c:pt>
                <c:pt idx="3497" formatCode="0.00">
                  <c:v>1.6185847712973149</c:v>
                </c:pt>
                <c:pt idx="3500" formatCode="0.00">
                  <c:v>-0.38377085024355861</c:v>
                </c:pt>
                <c:pt idx="3501" formatCode="0.00">
                  <c:v>2.3684858022466373</c:v>
                </c:pt>
                <c:pt idx="3502" formatCode="0.00">
                  <c:v>1.34432811073949</c:v>
                </c:pt>
                <c:pt idx="3505" formatCode="0.00">
                  <c:v>1.0173481139020439</c:v>
                </c:pt>
                <c:pt idx="3506" formatCode="0.00">
                  <c:v>1.6137057049126999</c:v>
                </c:pt>
                <c:pt idx="3509" formatCode="0.00">
                  <c:v>1.0609267378323524</c:v>
                </c:pt>
                <c:pt idx="3510" formatCode="0.00">
                  <c:v>0.50539271033016642</c:v>
                </c:pt>
                <c:pt idx="3511" formatCode="0.00">
                  <c:v>1.072738002824805</c:v>
                </c:pt>
                <c:pt idx="3512" formatCode="0.00">
                  <c:v>0.54334060174000365</c:v>
                </c:pt>
                <c:pt idx="3513" formatCode="0.00">
                  <c:v>0.31637145690139223</c:v>
                </c:pt>
                <c:pt idx="3515" formatCode="0.00">
                  <c:v>0.4452643056251579</c:v>
                </c:pt>
                <c:pt idx="3516" formatCode="0.00">
                  <c:v>2.2832282958612509</c:v>
                </c:pt>
                <c:pt idx="3517" formatCode="0.00">
                  <c:v>1.0286591044774718</c:v>
                </c:pt>
                <c:pt idx="3520" formatCode="0.00">
                  <c:v>1.0563116281854645</c:v>
                </c:pt>
                <c:pt idx="3521" formatCode="0.00">
                  <c:v>1.3384671876586938</c:v>
                </c:pt>
                <c:pt idx="3522" formatCode="0.00">
                  <c:v>1.6292661610059633</c:v>
                </c:pt>
                <c:pt idx="3525" formatCode="0.00">
                  <c:v>1.0856692432782609</c:v>
                </c:pt>
                <c:pt idx="3526" formatCode="0.00">
                  <c:v>1.8687707436498979</c:v>
                </c:pt>
                <c:pt idx="3527" formatCode="0.00">
                  <c:v>1.0413869427382145</c:v>
                </c:pt>
                <c:pt idx="3528" formatCode="0.00">
                  <c:v>0.9737276723299404</c:v>
                </c:pt>
                <c:pt idx="3530" formatCode="0.00">
                  <c:v>1.1870549499795946</c:v>
                </c:pt>
                <c:pt idx="3531" formatCode="0.00">
                  <c:v>1.1076678710583334</c:v>
                </c:pt>
                <c:pt idx="3532" formatCode="0.00">
                  <c:v>1.8031843016178404</c:v>
                </c:pt>
                <c:pt idx="3533" formatCode="0.00">
                  <c:v>2.1427093476113188</c:v>
                </c:pt>
                <c:pt idx="3534" formatCode="0.00">
                  <c:v>1.9422181608939557</c:v>
                </c:pt>
                <c:pt idx="3536" formatCode="0.00">
                  <c:v>1.3979589301934709</c:v>
                </c:pt>
                <c:pt idx="3540" formatCode="0.00">
                  <c:v>1.7095896761784817</c:v>
                </c:pt>
                <c:pt idx="3542" formatCode="0.00">
                  <c:v>1.6984622287618096</c:v>
                </c:pt>
                <c:pt idx="3543" formatCode="0.00">
                  <c:v>0.99026158672281595</c:v>
                </c:pt>
                <c:pt idx="3548" formatCode="0.00">
                  <c:v>1.1480246287274134</c:v>
                </c:pt>
                <c:pt idx="3549" formatCode="0.00">
                  <c:v>1.0248875405315843</c:v>
                </c:pt>
                <c:pt idx="3550" formatCode="0.00">
                  <c:v>1.1320525049572727</c:v>
                </c:pt>
                <c:pt idx="3554" formatCode="0.00">
                  <c:v>1.1291244688494038</c:v>
                </c:pt>
                <c:pt idx="3556" formatCode="0.00">
                  <c:v>1.3868679047426853</c:v>
                </c:pt>
                <c:pt idx="3557" formatCode="0.00">
                  <c:v>1.5266083947311255</c:v>
                </c:pt>
                <c:pt idx="3558" formatCode="0.00">
                  <c:v>1.1297350934602914</c:v>
                </c:pt>
                <c:pt idx="3562" formatCode="0.00">
                  <c:v>0.93772569993200239</c:v>
                </c:pt>
                <c:pt idx="3564" formatCode="0.00">
                  <c:v>2.2795934600144747</c:v>
                </c:pt>
                <c:pt idx="3565" formatCode="0.00">
                  <c:v>1.4073270259656219</c:v>
                </c:pt>
                <c:pt idx="3566" formatCode="0.00">
                  <c:v>2.2452431447923473</c:v>
                </c:pt>
                <c:pt idx="3567" formatCode="0.00">
                  <c:v>1.4411943194359909</c:v>
                </c:pt>
                <c:pt idx="3569" formatCode="0.00">
                  <c:v>1.5884300136459544</c:v>
                </c:pt>
                <c:pt idx="3572" formatCode="0.00">
                  <c:v>1.2511104301296354</c:v>
                </c:pt>
                <c:pt idx="3574" formatCode="0.00">
                  <c:v>2.0021479304122871</c:v>
                </c:pt>
                <c:pt idx="3575" formatCode="0.00">
                  <c:v>1.6175109461064234</c:v>
                </c:pt>
                <c:pt idx="3576" formatCode="0.00">
                  <c:v>2.4323572380835556</c:v>
                </c:pt>
                <c:pt idx="3584" formatCode="0.00">
                  <c:v>1.794575917785487</c:v>
                </c:pt>
                <c:pt idx="3585" formatCode="0.00">
                  <c:v>2.1416283108882483</c:v>
                </c:pt>
                <c:pt idx="3586" formatCode="0.00">
                  <c:v>1.4264430939363844</c:v>
                </c:pt>
                <c:pt idx="3587" formatCode="0.00">
                  <c:v>1.7955911822846382</c:v>
                </c:pt>
                <c:pt idx="3591" formatCode="0.00">
                  <c:v>2.07128538718908</c:v>
                </c:pt>
                <c:pt idx="3593" formatCode="0.00">
                  <c:v>1.6745064112645112</c:v>
                </c:pt>
                <c:pt idx="3597" formatCode="0.00">
                  <c:v>3.1526692960716618</c:v>
                </c:pt>
                <c:pt idx="3599" formatCode="0.00">
                  <c:v>0.693172495168904</c:v>
                </c:pt>
                <c:pt idx="3601" formatCode="0.00">
                  <c:v>1.3285948651136619</c:v>
                </c:pt>
                <c:pt idx="3605" formatCode="0.00">
                  <c:v>2.1048728278644626</c:v>
                </c:pt>
                <c:pt idx="3607" formatCode="0.00">
                  <c:v>1.5657936963576156</c:v>
                </c:pt>
                <c:pt idx="3608" formatCode="0.00">
                  <c:v>0.87169776246293362</c:v>
                </c:pt>
                <c:pt idx="3609" formatCode="0.00">
                  <c:v>1.6632024805206</c:v>
                </c:pt>
                <c:pt idx="3610" formatCode="0.00">
                  <c:v>2.0758355390047267</c:v>
                </c:pt>
                <c:pt idx="3611" formatCode="0.00">
                  <c:v>0.90261054523305617</c:v>
                </c:pt>
                <c:pt idx="3612" formatCode="0.00">
                  <c:v>1.4940039450890059</c:v>
                </c:pt>
                <c:pt idx="3613" formatCode="0.00">
                  <c:v>0.98796759112828136</c:v>
                </c:pt>
                <c:pt idx="3614" formatCode="0.00">
                  <c:v>1.4646094362592494</c:v>
                </c:pt>
                <c:pt idx="3616" formatCode="0.00">
                  <c:v>1.4366357465017447</c:v>
                </c:pt>
                <c:pt idx="3617" formatCode="0.00">
                  <c:v>1.3092877117870307</c:v>
                </c:pt>
                <c:pt idx="3619" formatCode="0.00">
                  <c:v>1.2491140139512309</c:v>
                </c:pt>
                <c:pt idx="3620" formatCode="0.00">
                  <c:v>1.0717173913379532</c:v>
                </c:pt>
                <c:pt idx="3621" formatCode="0.00">
                  <c:v>1.9063227249411956</c:v>
                </c:pt>
                <c:pt idx="3623" formatCode="0.00">
                  <c:v>0.71758405274111581</c:v>
                </c:pt>
                <c:pt idx="3624" formatCode="0.00">
                  <c:v>1.7518524786901213</c:v>
                </c:pt>
                <c:pt idx="3628" formatCode="0.00">
                  <c:v>1.5473764481607963</c:v>
                </c:pt>
                <c:pt idx="3631" formatCode="0.00">
                  <c:v>2.1596848917194316</c:v>
                </c:pt>
                <c:pt idx="3633" formatCode="0.00">
                  <c:v>1.4969913862688051</c:v>
                </c:pt>
                <c:pt idx="3634" formatCode="0.00">
                  <c:v>1.4500864963706026</c:v>
                </c:pt>
                <c:pt idx="3637" formatCode="0.00">
                  <c:v>1.2922181521448948</c:v>
                </c:pt>
                <c:pt idx="3639" formatCode="0.00">
                  <c:v>9.9003361914776072E-2</c:v>
                </c:pt>
                <c:pt idx="3640" formatCode="0.00">
                  <c:v>0.87871411414903511</c:v>
                </c:pt>
                <c:pt idx="3646" formatCode="0.00">
                  <c:v>3.6680560706112098</c:v>
                </c:pt>
                <c:pt idx="3647" formatCode="0.00">
                  <c:v>2.1321175790900706</c:v>
                </c:pt>
                <c:pt idx="3651" formatCode="0.00">
                  <c:v>2.3176502868012192</c:v>
                </c:pt>
                <c:pt idx="3652" formatCode="0.00">
                  <c:v>2.2820795207792073</c:v>
                </c:pt>
                <c:pt idx="3655" formatCode="0.00">
                  <c:v>1.2435450166908648</c:v>
                </c:pt>
                <c:pt idx="3656" formatCode="0.00">
                  <c:v>1.038366033557879</c:v>
                </c:pt>
                <c:pt idx="3657" formatCode="0.00">
                  <c:v>1.8562338943489662</c:v>
                </c:pt>
                <c:pt idx="3658" formatCode="0.00">
                  <c:v>2.1903721448680891</c:v>
                </c:pt>
                <c:pt idx="3659" formatCode="0.00">
                  <c:v>1.0457165332804563</c:v>
                </c:pt>
                <c:pt idx="3660" formatCode="0.00">
                  <c:v>1.0796000113066313</c:v>
                </c:pt>
                <c:pt idx="3661" formatCode="0.00">
                  <c:v>1.7878900212522708</c:v>
                </c:pt>
                <c:pt idx="3663" formatCode="0.00">
                  <c:v>1.7813129461509944</c:v>
                </c:pt>
                <c:pt idx="3665" formatCode="0.00">
                  <c:v>1.9858989518335857</c:v>
                </c:pt>
                <c:pt idx="3666" formatCode="0.00">
                  <c:v>1.9324030866762933</c:v>
                </c:pt>
                <c:pt idx="3668" formatCode="0.00">
                  <c:v>3.1191612687288779</c:v>
                </c:pt>
                <c:pt idx="3669" formatCode="0.00">
                  <c:v>1.0866337112865865</c:v>
                </c:pt>
                <c:pt idx="3670" formatCode="0.00">
                  <c:v>2.0335192671876268</c:v>
                </c:pt>
                <c:pt idx="3671" formatCode="0.00">
                  <c:v>2.0524712448522044</c:v>
                </c:pt>
                <c:pt idx="3676" formatCode="0.00">
                  <c:v>2.2646062137126206</c:v>
                </c:pt>
                <c:pt idx="3679" formatCode="0.00">
                  <c:v>3.306538951533915</c:v>
                </c:pt>
                <c:pt idx="3680" formatCode="0.00">
                  <c:v>1.6940983967821746</c:v>
                </c:pt>
                <c:pt idx="3681" formatCode="0.00">
                  <c:v>1.8261035616405732</c:v>
                </c:pt>
                <c:pt idx="3683" formatCode="0.00">
                  <c:v>1.9992915534147271</c:v>
                </c:pt>
                <c:pt idx="3689" formatCode="0.00">
                  <c:v>2.0656277003827817</c:v>
                </c:pt>
                <c:pt idx="3690" formatCode="0.00">
                  <c:v>2.7143654939535411</c:v>
                </c:pt>
                <c:pt idx="3691" formatCode="0.00">
                  <c:v>2.1699906598737218</c:v>
                </c:pt>
                <c:pt idx="3692" formatCode="0.00">
                  <c:v>1.123238878667248</c:v>
                </c:pt>
                <c:pt idx="3693" formatCode="0.00">
                  <c:v>2.1880215022865031</c:v>
                </c:pt>
                <c:pt idx="3694" formatCode="0.00">
                  <c:v>1.7640100084657451</c:v>
                </c:pt>
                <c:pt idx="3695" formatCode="0.00">
                  <c:v>2.8320849106519894</c:v>
                </c:pt>
                <c:pt idx="3698" formatCode="0.00">
                  <c:v>2.4603011301367546</c:v>
                </c:pt>
                <c:pt idx="3699" formatCode="0.00">
                  <c:v>1.0890558074913581</c:v>
                </c:pt>
                <c:pt idx="3702" formatCode="0.00">
                  <c:v>1.8183555857225497</c:v>
                </c:pt>
                <c:pt idx="3708" formatCode="0.00">
                  <c:v>1.3899516238659235</c:v>
                </c:pt>
                <c:pt idx="3712" formatCode="0.00">
                  <c:v>1.9697995697953501</c:v>
                </c:pt>
                <c:pt idx="3714" formatCode="0.00">
                  <c:v>1.9462513068678329</c:v>
                </c:pt>
                <c:pt idx="3715" formatCode="0.00">
                  <c:v>0.90889588349120554</c:v>
                </c:pt>
                <c:pt idx="3717" formatCode="0.00">
                  <c:v>2.2329324926492262</c:v>
                </c:pt>
                <c:pt idx="3718" formatCode="0.00">
                  <c:v>2.1150297753983924</c:v>
                </c:pt>
                <c:pt idx="3719" formatCode="0.00">
                  <c:v>1.8238267123065912</c:v>
                </c:pt>
                <c:pt idx="3720" formatCode="0.00">
                  <c:v>1.5073307417417503</c:v>
                </c:pt>
                <c:pt idx="3722" formatCode="0.00">
                  <c:v>-7.772711245797639E-3</c:v>
                </c:pt>
                <c:pt idx="3723" formatCode="0.00">
                  <c:v>3.2702517992297659</c:v>
                </c:pt>
                <c:pt idx="3727" formatCode="0.00">
                  <c:v>0.90545448846462839</c:v>
                </c:pt>
                <c:pt idx="3729" formatCode="0.00">
                  <c:v>3.3908753510105534</c:v>
                </c:pt>
                <c:pt idx="3730" formatCode="0.00">
                  <c:v>2.2063515098021238</c:v>
                </c:pt>
                <c:pt idx="3731" formatCode="0.00">
                  <c:v>2.2461616256112764</c:v>
                </c:pt>
                <c:pt idx="3732" formatCode="0.00">
                  <c:v>2.4408383481444473</c:v>
                </c:pt>
                <c:pt idx="3734" formatCode="0.00">
                  <c:v>3.8422815333797922</c:v>
                </c:pt>
                <c:pt idx="3736" formatCode="0.00">
                  <c:v>3.0903591651386413</c:v>
                </c:pt>
                <c:pt idx="3739" formatCode="0.00">
                  <c:v>3.2747067230818838</c:v>
                </c:pt>
                <c:pt idx="3740" formatCode="0.00">
                  <c:v>2.5798307372557461</c:v>
                </c:pt>
                <c:pt idx="3741" formatCode="0.00">
                  <c:v>1.1392746778378</c:v>
                </c:pt>
                <c:pt idx="3742" formatCode="0.00">
                  <c:v>2.7501068020031876</c:v>
                </c:pt>
                <c:pt idx="3747" formatCode="0.00">
                  <c:v>1.5263929754381722</c:v>
                </c:pt>
                <c:pt idx="3749" formatCode="0.00">
                  <c:v>1.290546135425886</c:v>
                </c:pt>
                <c:pt idx="3751" formatCode="0.00">
                  <c:v>2.5116865003583038</c:v>
                </c:pt>
                <c:pt idx="3752" formatCode="0.00">
                  <c:v>2.643335322305993</c:v>
                </c:pt>
                <c:pt idx="3753" formatCode="0.00">
                  <c:v>1.7871985328330673</c:v>
                </c:pt>
                <c:pt idx="3755" formatCode="0.00">
                  <c:v>1.8780583649676188</c:v>
                </c:pt>
                <c:pt idx="3760" formatCode="0.00">
                  <c:v>3.0379151408549774</c:v>
                </c:pt>
                <c:pt idx="3761" formatCode="0.00">
                  <c:v>1.9689594755655402</c:v>
                </c:pt>
                <c:pt idx="3765" formatCode="0.00">
                  <c:v>2.598397106368779</c:v>
                </c:pt>
                <c:pt idx="3767" formatCode="0.00">
                  <c:v>1.7116590889881635</c:v>
                </c:pt>
                <c:pt idx="3769" formatCode="0.00">
                  <c:v>1.6726817362502759</c:v>
                </c:pt>
                <c:pt idx="3770" formatCode="0.00">
                  <c:v>1.6408109386846075</c:v>
                </c:pt>
                <c:pt idx="3773" formatCode="0.00">
                  <c:v>1.4062652161036737</c:v>
                </c:pt>
                <c:pt idx="3776" formatCode="0.00">
                  <c:v>1.4475478596477342</c:v>
                </c:pt>
                <c:pt idx="3778" formatCode="0.00">
                  <c:v>0.61814819317795433</c:v>
                </c:pt>
                <c:pt idx="3780" formatCode="0.00">
                  <c:v>1.9720955444685391</c:v>
                </c:pt>
                <c:pt idx="3781" formatCode="0.00">
                  <c:v>2.0815774085977328</c:v>
                </c:pt>
                <c:pt idx="3782" formatCode="0.00">
                  <c:v>1.6838974814790695</c:v>
                </c:pt>
                <c:pt idx="3783" formatCode="0.00">
                  <c:v>1.7408852164737019</c:v>
                </c:pt>
                <c:pt idx="3786" formatCode="0.00">
                  <c:v>1.1749387778104434</c:v>
                </c:pt>
                <c:pt idx="3787" formatCode="0.00">
                  <c:v>1.2904761887456808</c:v>
                </c:pt>
                <c:pt idx="3789" formatCode="0.00">
                  <c:v>3.2855943115220163</c:v>
                </c:pt>
                <c:pt idx="3790" formatCode="0.00">
                  <c:v>0.62543684340670935</c:v>
                </c:pt>
                <c:pt idx="3791" formatCode="0.00">
                  <c:v>1.0307929041123329</c:v>
                </c:pt>
                <c:pt idx="3792" formatCode="0.00">
                  <c:v>2.1643143020796316</c:v>
                </c:pt>
                <c:pt idx="3793" formatCode="0.00">
                  <c:v>1.4233756583150372</c:v>
                </c:pt>
                <c:pt idx="3794" formatCode="0.00">
                  <c:v>1.4689124805233611</c:v>
                </c:pt>
                <c:pt idx="3796" formatCode="0.00">
                  <c:v>2.1246597975202346</c:v>
                </c:pt>
                <c:pt idx="3797" formatCode="0.00">
                  <c:v>1.8692792692543809</c:v>
                </c:pt>
                <c:pt idx="3798" formatCode="0.00">
                  <c:v>2.2204013034137531</c:v>
                </c:pt>
                <c:pt idx="3801" formatCode="0.00">
                  <c:v>2.0510880711588202</c:v>
                </c:pt>
                <c:pt idx="3802" formatCode="0.00">
                  <c:v>1.5045792205639643</c:v>
                </c:pt>
                <c:pt idx="3804" formatCode="0.00">
                  <c:v>1.9640719203992545</c:v>
                </c:pt>
                <c:pt idx="3807" formatCode="0.00">
                  <c:v>1.680585893112446</c:v>
                </c:pt>
                <c:pt idx="3811" formatCode="0.00">
                  <c:v>1.6062132921306336</c:v>
                </c:pt>
                <c:pt idx="3812" formatCode="0.00">
                  <c:v>0.86337418370347441</c:v>
                </c:pt>
                <c:pt idx="3815" formatCode="0.00">
                  <c:v>1.9962944708987371</c:v>
                </c:pt>
                <c:pt idx="3817" formatCode="0.00">
                  <c:v>0.12264611228808342</c:v>
                </c:pt>
                <c:pt idx="3819" formatCode="0.00">
                  <c:v>2.8195888918604974</c:v>
                </c:pt>
                <c:pt idx="3822" formatCode="0.00">
                  <c:v>2.1570104747258942</c:v>
                </c:pt>
                <c:pt idx="3823" formatCode="0.00">
                  <c:v>3.2613064426193668</c:v>
                </c:pt>
                <c:pt idx="3824" formatCode="0.00">
                  <c:v>2.0417186827684701</c:v>
                </c:pt>
                <c:pt idx="3825" formatCode="0.00">
                  <c:v>1.4931035934319918</c:v>
                </c:pt>
                <c:pt idx="3827" formatCode="0.00">
                  <c:v>0.57329108901144898</c:v>
                </c:pt>
                <c:pt idx="3828" formatCode="0.00">
                  <c:v>0.50397402745921105</c:v>
                </c:pt>
                <c:pt idx="3829" formatCode="0.00">
                  <c:v>1.8908491533315572</c:v>
                </c:pt>
                <c:pt idx="3834" formatCode="0.00">
                  <c:v>1.7674915181875785</c:v>
                </c:pt>
                <c:pt idx="3835" formatCode="0.00">
                  <c:v>1.8644774915656135</c:v>
                </c:pt>
                <c:pt idx="3836" formatCode="0.00">
                  <c:v>1.311426543137111</c:v>
                </c:pt>
                <c:pt idx="3841" formatCode="0.00">
                  <c:v>2.8637974986010963</c:v>
                </c:pt>
                <c:pt idx="3846" formatCode="0.00">
                  <c:v>1.8466874262902402</c:v>
                </c:pt>
                <c:pt idx="3847" formatCode="0.00">
                  <c:v>1.2403963858644553</c:v>
                </c:pt>
                <c:pt idx="3850" formatCode="0.00">
                  <c:v>0.18310872980369092</c:v>
                </c:pt>
                <c:pt idx="3851" formatCode="0.00">
                  <c:v>1.7583689962147007</c:v>
                </c:pt>
                <c:pt idx="3852" formatCode="0.00">
                  <c:v>2.1249552823640636</c:v>
                </c:pt>
                <c:pt idx="3857" formatCode="0.00">
                  <c:v>0.96556918024813243</c:v>
                </c:pt>
                <c:pt idx="3861" formatCode="0.00">
                  <c:v>1.5844261338558983</c:v>
                </c:pt>
                <c:pt idx="3862" formatCode="0.00">
                  <c:v>0.52086382741136328</c:v>
                </c:pt>
                <c:pt idx="3863" formatCode="0.00">
                  <c:v>0.87008673572828632</c:v>
                </c:pt>
                <c:pt idx="3864" formatCode="0.00">
                  <c:v>1.3214081386640633</c:v>
                </c:pt>
                <c:pt idx="3867" formatCode="0.00">
                  <c:v>0.58600486837881005</c:v>
                </c:pt>
                <c:pt idx="3868" formatCode="0.00">
                  <c:v>2.2108915473812738</c:v>
                </c:pt>
                <c:pt idx="3873" formatCode="0.00">
                  <c:v>3.4200218533807294</c:v>
                </c:pt>
                <c:pt idx="3874" formatCode="0.00">
                  <c:v>2.6921627379456865</c:v>
                </c:pt>
                <c:pt idx="3875" formatCode="0.00">
                  <c:v>1.5120561350169048</c:v>
                </c:pt>
                <c:pt idx="3877" formatCode="0.00">
                  <c:v>1.2069437464214769</c:v>
                </c:pt>
                <c:pt idx="3879" formatCode="0.00">
                  <c:v>2.1669326918586265</c:v>
                </c:pt>
                <c:pt idx="3883" formatCode="0.00">
                  <c:v>2.9539827428724528</c:v>
                </c:pt>
                <c:pt idx="3884" formatCode="0.00">
                  <c:v>2.4162479143342415</c:v>
                </c:pt>
                <c:pt idx="3886" formatCode="0.00">
                  <c:v>1.7287896684321886</c:v>
                </c:pt>
                <c:pt idx="3887" formatCode="0.00">
                  <c:v>2.3519520189843868</c:v>
                </c:pt>
                <c:pt idx="3888" formatCode="0.00">
                  <c:v>3.0590377091366996</c:v>
                </c:pt>
                <c:pt idx="3891" formatCode="0.00">
                  <c:v>0.79333288153387693</c:v>
                </c:pt>
                <c:pt idx="3892" formatCode="0.00">
                  <c:v>1.7065121740003708</c:v>
                </c:pt>
                <c:pt idx="3893" formatCode="0.00">
                  <c:v>1.5072770573344145</c:v>
                </c:pt>
                <c:pt idx="3897" formatCode="0.00">
                  <c:v>1.103370934640532</c:v>
                </c:pt>
                <c:pt idx="3901" formatCode="0.00">
                  <c:v>2.0676142442620313</c:v>
                </c:pt>
                <c:pt idx="3902" formatCode="0.00">
                  <c:v>2.6595862243724095</c:v>
                </c:pt>
                <c:pt idx="3903" formatCode="0.00">
                  <c:v>1.4343186831604968</c:v>
                </c:pt>
                <c:pt idx="3908" formatCode="0.00">
                  <c:v>1.4620431068331612</c:v>
                </c:pt>
                <c:pt idx="3910" formatCode="0.00">
                  <c:v>1.850784128207047</c:v>
                </c:pt>
                <c:pt idx="3912" formatCode="0.00">
                  <c:v>1.7084673585405594</c:v>
                </c:pt>
                <c:pt idx="3913" formatCode="0.00">
                  <c:v>1.3624811492197655</c:v>
                </c:pt>
                <c:pt idx="3914" formatCode="0.00">
                  <c:v>2.0011235473454136</c:v>
                </c:pt>
                <c:pt idx="3915" formatCode="0.00">
                  <c:v>0.57010633271737077</c:v>
                </c:pt>
                <c:pt idx="3916" formatCode="0.00">
                  <c:v>1.7155459005757805</c:v>
                </c:pt>
                <c:pt idx="3920" formatCode="0.00">
                  <c:v>2.348437052469702</c:v>
                </c:pt>
                <c:pt idx="3922" formatCode="0.00">
                  <c:v>1.7812335860153263</c:v>
                </c:pt>
                <c:pt idx="3923" formatCode="0.00">
                  <c:v>1.7487267677265854</c:v>
                </c:pt>
                <c:pt idx="3924" formatCode="0.00">
                  <c:v>1.474915864361104</c:v>
                </c:pt>
                <c:pt idx="3926" formatCode="0.00">
                  <c:v>2.8606793860095396</c:v>
                </c:pt>
                <c:pt idx="3927" formatCode="0.00">
                  <c:v>2.0545660876755982</c:v>
                </c:pt>
                <c:pt idx="3931" formatCode="0.00">
                  <c:v>1.710149095881536</c:v>
                </c:pt>
                <c:pt idx="3935" formatCode="0.00">
                  <c:v>2.4007805870743386</c:v>
                </c:pt>
                <c:pt idx="3936" formatCode="0.00">
                  <c:v>1.7597451590200017</c:v>
                </c:pt>
                <c:pt idx="3937" formatCode="0.00">
                  <c:v>0.62504562069480252</c:v>
                </c:pt>
                <c:pt idx="3938" formatCode="0.00">
                  <c:v>1.7449476873743925</c:v>
                </c:pt>
                <c:pt idx="3940" formatCode="0.00">
                  <c:v>2.3978582734319285</c:v>
                </c:pt>
                <c:pt idx="3941" formatCode="0.00">
                  <c:v>1.2510430815009346</c:v>
                </c:pt>
                <c:pt idx="3942" formatCode="0.00">
                  <c:v>2.6483456734543376</c:v>
                </c:pt>
                <c:pt idx="3944" formatCode="0.00">
                  <c:v>2.9117638908868138</c:v>
                </c:pt>
                <c:pt idx="3947" formatCode="0.00">
                  <c:v>0.77697006134762281</c:v>
                </c:pt>
                <c:pt idx="3951" formatCode="0.00">
                  <c:v>2.4991515077915878</c:v>
                </c:pt>
                <c:pt idx="3953" formatCode="0.00">
                  <c:v>1.5964074483979456</c:v>
                </c:pt>
                <c:pt idx="3954" formatCode="0.00">
                  <c:v>1.7415796541728177</c:v>
                </c:pt>
                <c:pt idx="3956" formatCode="0.00">
                  <c:v>2.04213685202145</c:v>
                </c:pt>
                <c:pt idx="3957" formatCode="0.00">
                  <c:v>2.5702831397762913</c:v>
                </c:pt>
                <c:pt idx="3958" formatCode="0.00">
                  <c:v>2.5955525628238538</c:v>
                </c:pt>
                <c:pt idx="3959" formatCode="0.00">
                  <c:v>2.0542360669858146</c:v>
                </c:pt>
                <c:pt idx="3960" formatCode="0.00">
                  <c:v>1.0156428163561064</c:v>
                </c:pt>
                <c:pt idx="3963" formatCode="0.00">
                  <c:v>1.3730506761411092</c:v>
                </c:pt>
                <c:pt idx="3964" formatCode="0.00">
                  <c:v>1.9485559849996497</c:v>
                </c:pt>
                <c:pt idx="3965" formatCode="0.00">
                  <c:v>3.3273863506779429</c:v>
                </c:pt>
                <c:pt idx="3967" formatCode="0.00">
                  <c:v>2.0654450490094254</c:v>
                </c:pt>
                <c:pt idx="3968" formatCode="0.00">
                  <c:v>1.3642054585005248</c:v>
                </c:pt>
                <c:pt idx="3970" formatCode="0.00">
                  <c:v>1.4591886526928284</c:v>
                </c:pt>
                <c:pt idx="3975" formatCode="0.00">
                  <c:v>1.8202780669247358</c:v>
                </c:pt>
                <c:pt idx="3976" formatCode="0.00">
                  <c:v>2.3842486307476123</c:v>
                </c:pt>
                <c:pt idx="3977" formatCode="0.00">
                  <c:v>1.0300353683978503</c:v>
                </c:pt>
                <c:pt idx="3978" formatCode="0.00">
                  <c:v>2.7170801939986662</c:v>
                </c:pt>
                <c:pt idx="3979" formatCode="0.00">
                  <c:v>1.8533243777730597</c:v>
                </c:pt>
                <c:pt idx="3981" formatCode="0.00">
                  <c:v>2.7746586145389847</c:v>
                </c:pt>
                <c:pt idx="3983" formatCode="0.00">
                  <c:v>0.53080366882815977</c:v>
                </c:pt>
                <c:pt idx="3984" formatCode="0.00">
                  <c:v>1.3842216475669871</c:v>
                </c:pt>
                <c:pt idx="3985" formatCode="0.00">
                  <c:v>1.6410254212194786</c:v>
                </c:pt>
                <c:pt idx="3986" formatCode="0.00">
                  <c:v>0.15423236308045168</c:v>
                </c:pt>
                <c:pt idx="3988" formatCode="0.00">
                  <c:v>1.8758490002324184</c:v>
                </c:pt>
                <c:pt idx="3991" formatCode="0.00">
                  <c:v>1.3547814040772392</c:v>
                </c:pt>
                <c:pt idx="3992" formatCode="0.00">
                  <c:v>1.8046876170641812</c:v>
                </c:pt>
                <c:pt idx="3993" formatCode="0.00">
                  <c:v>3.6117400217477549</c:v>
                </c:pt>
                <c:pt idx="3994" formatCode="0.00">
                  <c:v>1.7115708641644023</c:v>
                </c:pt>
                <c:pt idx="3996" formatCode="0.00">
                  <c:v>3.4374099776343368</c:v>
                </c:pt>
                <c:pt idx="3997" formatCode="0.00">
                  <c:v>3.1739651860636986</c:v>
                </c:pt>
                <c:pt idx="3998" formatCode="0.00">
                  <c:v>2.9711056086683469</c:v>
                </c:pt>
                <c:pt idx="3999" formatCode="0.00">
                  <c:v>0.73010131565457292</c:v>
                </c:pt>
                <c:pt idx="4000" formatCode="0.00">
                  <c:v>2.101044558703959</c:v>
                </c:pt>
                <c:pt idx="4005" formatCode="0.00">
                  <c:v>2.4644495860268716</c:v>
                </c:pt>
                <c:pt idx="4006" formatCode="0.00">
                  <c:v>1.8406022586757811</c:v>
                </c:pt>
                <c:pt idx="4007" formatCode="0.00">
                  <c:v>1.8908164894104529</c:v>
                </c:pt>
                <c:pt idx="4010" formatCode="0.00">
                  <c:v>2.6489901266056419</c:v>
                </c:pt>
                <c:pt idx="4013" formatCode="0.00">
                  <c:v>1.3196134251226834</c:v>
                </c:pt>
                <c:pt idx="4018" formatCode="0.00">
                  <c:v>2.3716649053861483</c:v>
                </c:pt>
                <c:pt idx="4020" formatCode="0.00">
                  <c:v>1.8639918494566918</c:v>
                </c:pt>
                <c:pt idx="4021" formatCode="0.00">
                  <c:v>1.0957460365844078</c:v>
                </c:pt>
                <c:pt idx="4023" formatCode="0.00">
                  <c:v>1.7197510229081965</c:v>
                </c:pt>
                <c:pt idx="4025" formatCode="0.00">
                  <c:v>1.7350883475047094</c:v>
                </c:pt>
                <c:pt idx="4027" formatCode="0.00">
                  <c:v>1.1598519703552839</c:v>
                </c:pt>
                <c:pt idx="4028" formatCode="0.00">
                  <c:v>2.4675609150774491</c:v>
                </c:pt>
                <c:pt idx="4033" formatCode="0.00">
                  <c:v>2.4075345715076897</c:v>
                </c:pt>
                <c:pt idx="4039" formatCode="0.00">
                  <c:v>1.9868339033734692</c:v>
                </c:pt>
                <c:pt idx="4043" formatCode="0.00">
                  <c:v>1.8427201282081724</c:v>
                </c:pt>
                <c:pt idx="4044" formatCode="0.00">
                  <c:v>2.1530551577483479</c:v>
                </c:pt>
                <c:pt idx="4045" formatCode="0.00">
                  <c:v>0.26350994596060195</c:v>
                </c:pt>
                <c:pt idx="4048" formatCode="0.00">
                  <c:v>1.7258824079396164</c:v>
                </c:pt>
                <c:pt idx="4049" formatCode="0.00">
                  <c:v>2.0569951730826497</c:v>
                </c:pt>
                <c:pt idx="4053" formatCode="0.00">
                  <c:v>1.6474950125041647</c:v>
                </c:pt>
                <c:pt idx="4054" formatCode="0.00">
                  <c:v>1.2045423395642512</c:v>
                </c:pt>
                <c:pt idx="4057" formatCode="0.00">
                  <c:v>1.9763933494493566</c:v>
                </c:pt>
                <c:pt idx="4058" formatCode="0.00">
                  <c:v>2.6178013357806873</c:v>
                </c:pt>
                <c:pt idx="4060" formatCode="0.00">
                  <c:v>2.7838501104739177</c:v>
                </c:pt>
                <c:pt idx="4061" formatCode="0.00">
                  <c:v>1.7226713896790284</c:v>
                </c:pt>
                <c:pt idx="4062" formatCode="0.00">
                  <c:v>1.4211482418572861</c:v>
                </c:pt>
                <c:pt idx="4064" formatCode="0.00">
                  <c:v>1.2753248401980302</c:v>
                </c:pt>
                <c:pt idx="4065" formatCode="0.00">
                  <c:v>1.0288250163452739</c:v>
                </c:pt>
                <c:pt idx="4066" formatCode="0.00">
                  <c:v>2.3281484401083983</c:v>
                </c:pt>
                <c:pt idx="4067" formatCode="0.00">
                  <c:v>1.5459770055164288</c:v>
                </c:pt>
                <c:pt idx="4068" formatCode="0.00">
                  <c:v>1.0801931987461819</c:v>
                </c:pt>
                <c:pt idx="4069" formatCode="0.00">
                  <c:v>2.3022427076894747</c:v>
                </c:pt>
                <c:pt idx="4070" formatCode="0.00">
                  <c:v>3.0886665676338856</c:v>
                </c:pt>
                <c:pt idx="4071" formatCode="0.00">
                  <c:v>1.8647736729827549</c:v>
                </c:pt>
                <c:pt idx="4072" formatCode="0.00">
                  <c:v>1.5923768913820853</c:v>
                </c:pt>
                <c:pt idx="4073" formatCode="0.00">
                  <c:v>2.0175004460461547</c:v>
                </c:pt>
                <c:pt idx="4074" formatCode="0.00">
                  <c:v>1.3261512254392753</c:v>
                </c:pt>
                <c:pt idx="4075" formatCode="0.00">
                  <c:v>0.82918964266341166</c:v>
                </c:pt>
                <c:pt idx="4077" formatCode="0.00">
                  <c:v>1.1078803337232765</c:v>
                </c:pt>
                <c:pt idx="4078" formatCode="0.00">
                  <c:v>1.5647987930891865</c:v>
                </c:pt>
                <c:pt idx="4079" formatCode="0.00">
                  <c:v>0.55887488224881254</c:v>
                </c:pt>
                <c:pt idx="4082" formatCode="0.00">
                  <c:v>1.9581589061627942</c:v>
                </c:pt>
                <c:pt idx="4084" formatCode="0.00">
                  <c:v>1.2799439624066318</c:v>
                </c:pt>
                <c:pt idx="4085" formatCode="0.00">
                  <c:v>2.1120428985562043</c:v>
                </c:pt>
                <c:pt idx="4087" formatCode="0.00">
                  <c:v>1.4656236396342446</c:v>
                </c:pt>
                <c:pt idx="4091" formatCode="0.00">
                  <c:v>1.0407650490915068</c:v>
                </c:pt>
                <c:pt idx="4092" formatCode="0.00">
                  <c:v>1.9260653640559098</c:v>
                </c:pt>
                <c:pt idx="4094" formatCode="0.00">
                  <c:v>2.2688087363495355</c:v>
                </c:pt>
                <c:pt idx="4095" formatCode="0.00">
                  <c:v>1.5961912405898913</c:v>
                </c:pt>
                <c:pt idx="4096" formatCode="0.00">
                  <c:v>1.991344205728538</c:v>
                </c:pt>
                <c:pt idx="4101" formatCode="0.00">
                  <c:v>3.2623013135682637</c:v>
                </c:pt>
                <c:pt idx="4102" formatCode="0.00">
                  <c:v>1.0341406855358197</c:v>
                </c:pt>
                <c:pt idx="4103" formatCode="0.00">
                  <c:v>2.814185988581162</c:v>
                </c:pt>
                <c:pt idx="4106" formatCode="0.00">
                  <c:v>2.1339858024645637</c:v>
                </c:pt>
                <c:pt idx="4108" formatCode="0.00">
                  <c:v>0.49762311370747603</c:v>
                </c:pt>
                <c:pt idx="4110" formatCode="0.00">
                  <c:v>1.5585118296614633</c:v>
                </c:pt>
                <c:pt idx="4113" formatCode="0.00">
                  <c:v>2.656675761092417</c:v>
                </c:pt>
                <c:pt idx="4116" formatCode="0.00">
                  <c:v>2.6062064675755403</c:v>
                </c:pt>
                <c:pt idx="4119" formatCode="0.00">
                  <c:v>2.3382607379831288</c:v>
                </c:pt>
                <c:pt idx="4121" formatCode="0.00">
                  <c:v>2.1976822518584296</c:v>
                </c:pt>
                <c:pt idx="4122" formatCode="0.00">
                  <c:v>2.0328773189243527</c:v>
                </c:pt>
                <c:pt idx="4125" formatCode="0.00">
                  <c:v>2.973344297361554</c:v>
                </c:pt>
                <c:pt idx="4128" formatCode="0.00">
                  <c:v>1.0687077941710026</c:v>
                </c:pt>
                <c:pt idx="4132" formatCode="0.00">
                  <c:v>1.9389745115551371</c:v>
                </c:pt>
                <c:pt idx="4135" formatCode="0.00">
                  <c:v>0.93609220516518388</c:v>
                </c:pt>
                <c:pt idx="4136" formatCode="0.00">
                  <c:v>1.640934178131316</c:v>
                </c:pt>
                <c:pt idx="4137" formatCode="0.00">
                  <c:v>1.5426137742332757</c:v>
                </c:pt>
                <c:pt idx="4139" formatCode="0.00">
                  <c:v>1.5725342300246832</c:v>
                </c:pt>
                <c:pt idx="4140" formatCode="0.00">
                  <c:v>1.2871285709003653</c:v>
                </c:pt>
                <c:pt idx="4145" formatCode="0.00">
                  <c:v>4.6703055792071551</c:v>
                </c:pt>
                <c:pt idx="4148" formatCode="0.00">
                  <c:v>2.0809565678960644</c:v>
                </c:pt>
                <c:pt idx="4149" formatCode="0.00">
                  <c:v>1.8187984570755882</c:v>
                </c:pt>
                <c:pt idx="4150" formatCode="0.00">
                  <c:v>2.2332918209030463</c:v>
                </c:pt>
                <c:pt idx="4151" formatCode="0.00">
                  <c:v>1.879154578498178</c:v>
                </c:pt>
                <c:pt idx="4152" formatCode="0.00">
                  <c:v>1.2799957895243377</c:v>
                </c:pt>
                <c:pt idx="4154" formatCode="0.00">
                  <c:v>2.2446982009189385</c:v>
                </c:pt>
                <c:pt idx="4155" formatCode="0.00">
                  <c:v>1.7497455043667185</c:v>
                </c:pt>
                <c:pt idx="4156" formatCode="0.00">
                  <c:v>2.5574809999508799</c:v>
                </c:pt>
                <c:pt idx="4157" formatCode="0.00">
                  <c:v>2.1568798955998174</c:v>
                </c:pt>
                <c:pt idx="4158" formatCode="0.00">
                  <c:v>2.7333957436722955</c:v>
                </c:pt>
                <c:pt idx="4162" formatCode="0.00">
                  <c:v>3.1860070604746582</c:v>
                </c:pt>
                <c:pt idx="4163" formatCode="0.00">
                  <c:v>1.4043420030041576</c:v>
                </c:pt>
                <c:pt idx="4166" formatCode="0.00">
                  <c:v>1.7515297510595793</c:v>
                </c:pt>
                <c:pt idx="4167" formatCode="0.00">
                  <c:v>0.62750068665736702</c:v>
                </c:pt>
                <c:pt idx="4170" formatCode="0.00">
                  <c:v>0.78200755368862906</c:v>
                </c:pt>
                <c:pt idx="4171" formatCode="0.00">
                  <c:v>2.4470629909744765</c:v>
                </c:pt>
                <c:pt idx="4172" formatCode="0.00">
                  <c:v>2.1483050813902569</c:v>
                </c:pt>
                <c:pt idx="4174" formatCode="0.00">
                  <c:v>4.3016842759490048</c:v>
                </c:pt>
                <c:pt idx="4175" formatCode="0.00">
                  <c:v>1.7049344978194558</c:v>
                </c:pt>
                <c:pt idx="4178" formatCode="0.00">
                  <c:v>3.1538072215022321</c:v>
                </c:pt>
                <c:pt idx="4179" formatCode="0.00">
                  <c:v>0.90147657037858553</c:v>
                </c:pt>
                <c:pt idx="4180" formatCode="0.00">
                  <c:v>2.7954602767084102</c:v>
                </c:pt>
                <c:pt idx="4181" formatCode="0.00">
                  <c:v>2.1856133603388113</c:v>
                </c:pt>
                <c:pt idx="4186" formatCode="0.00">
                  <c:v>2.9601892803988932</c:v>
                </c:pt>
                <c:pt idx="4189" formatCode="0.00">
                  <c:v>3.3005899231051492</c:v>
                </c:pt>
                <c:pt idx="4193" formatCode="0.00">
                  <c:v>2.59782980733993</c:v>
                </c:pt>
                <c:pt idx="4197" formatCode="0.00">
                  <c:v>3.5028350028312683</c:v>
                </c:pt>
                <c:pt idx="4201" formatCode="0.00">
                  <c:v>3.5345926773108829</c:v>
                </c:pt>
                <c:pt idx="4202" formatCode="0.00">
                  <c:v>1.7718078685717531</c:v>
                </c:pt>
                <c:pt idx="4205" formatCode="0.00">
                  <c:v>2.2990952008893317</c:v>
                </c:pt>
                <c:pt idx="4209" formatCode="0.00">
                  <c:v>1.9173690441355555</c:v>
                </c:pt>
                <c:pt idx="4211" formatCode="0.00">
                  <c:v>2.0519359859180542</c:v>
                </c:pt>
                <c:pt idx="4212" formatCode="0.00">
                  <c:v>2.4956019897739496</c:v>
                </c:pt>
                <c:pt idx="4214" formatCode="0.00">
                  <c:v>2.0696108945786298</c:v>
                </c:pt>
                <c:pt idx="4215" formatCode="0.00">
                  <c:v>1.229294746192503</c:v>
                </c:pt>
                <c:pt idx="4217" formatCode="0.00">
                  <c:v>2.2738252809275581</c:v>
                </c:pt>
                <c:pt idx="4219" formatCode="0.00">
                  <c:v>0.91153170394356553</c:v>
                </c:pt>
                <c:pt idx="4220" formatCode="0.00">
                  <c:v>2.9426900243333329</c:v>
                </c:pt>
                <c:pt idx="4223" formatCode="0.00">
                  <c:v>3.1141186448355689</c:v>
                </c:pt>
                <c:pt idx="4224" formatCode="0.00">
                  <c:v>3.2556471215346399</c:v>
                </c:pt>
                <c:pt idx="4225" formatCode="0.00">
                  <c:v>2.6091861158362688</c:v>
                </c:pt>
                <c:pt idx="4228" formatCode="0.00">
                  <c:v>1.3881017112323137</c:v>
                </c:pt>
                <c:pt idx="4230" formatCode="0.00">
                  <c:v>4.0956174148655853</c:v>
                </c:pt>
                <c:pt idx="4231" formatCode="0.00">
                  <c:v>1.9384204673531458</c:v>
                </c:pt>
                <c:pt idx="4233" formatCode="0.00">
                  <c:v>2.7644211382970023</c:v>
                </c:pt>
                <c:pt idx="4234" formatCode="0.00">
                  <c:v>2.6013856261986863</c:v>
                </c:pt>
                <c:pt idx="4235" formatCode="0.00">
                  <c:v>1.9456286532756117</c:v>
                </c:pt>
                <c:pt idx="4237" formatCode="0.00">
                  <c:v>0.73257751403035054</c:v>
                </c:pt>
                <c:pt idx="4238" formatCode="0.00">
                  <c:v>1.8999930952911523</c:v>
                </c:pt>
                <c:pt idx="4239" formatCode="0.00">
                  <c:v>3.0111812843492642</c:v>
                </c:pt>
                <c:pt idx="4240" formatCode="0.00">
                  <c:v>1.6456308994360831</c:v>
                </c:pt>
                <c:pt idx="4241" formatCode="0.00">
                  <c:v>2.5007479595709317</c:v>
                </c:pt>
                <c:pt idx="4243" formatCode="0.00">
                  <c:v>2.9129713361290293</c:v>
                </c:pt>
                <c:pt idx="4244" formatCode="0.00">
                  <c:v>3.0401750944449311</c:v>
                </c:pt>
                <c:pt idx="4245" formatCode="0.00">
                  <c:v>2.2307442871841694</c:v>
                </c:pt>
                <c:pt idx="4246" formatCode="0.00">
                  <c:v>3.2879698572612228</c:v>
                </c:pt>
                <c:pt idx="4247" formatCode="0.00">
                  <c:v>3.4274327159141031</c:v>
                </c:pt>
                <c:pt idx="4250" formatCode="0.00">
                  <c:v>2.5308924850438359</c:v>
                </c:pt>
                <c:pt idx="4251" formatCode="0.00">
                  <c:v>1.8188522407474352</c:v>
                </c:pt>
                <c:pt idx="4252" formatCode="0.00">
                  <c:v>2.4115914227490505</c:v>
                </c:pt>
                <c:pt idx="4253" formatCode="0.00">
                  <c:v>3.9573112315139145</c:v>
                </c:pt>
                <c:pt idx="4254" formatCode="0.00">
                  <c:v>3.2791471932027729</c:v>
                </c:pt>
                <c:pt idx="4256" formatCode="0.00">
                  <c:v>3.0813029528103226</c:v>
                </c:pt>
                <c:pt idx="4257" formatCode="0.00">
                  <c:v>2.4000371565502805</c:v>
                </c:pt>
                <c:pt idx="4261" formatCode="0.00">
                  <c:v>2.8528802306113272</c:v>
                </c:pt>
                <c:pt idx="4262" formatCode="0.00">
                  <c:v>3.0190392036590437</c:v>
                </c:pt>
                <c:pt idx="4264" formatCode="0.00">
                  <c:v>2.7178813380127251</c:v>
                </c:pt>
                <c:pt idx="4265" formatCode="0.00">
                  <c:v>2.3417212577522788</c:v>
                </c:pt>
                <c:pt idx="4268" formatCode="0.00">
                  <c:v>2.1022496156296353</c:v>
                </c:pt>
                <c:pt idx="4271" formatCode="0.00">
                  <c:v>3.3067814262656263</c:v>
                </c:pt>
                <c:pt idx="4272" formatCode="0.00">
                  <c:v>2.662211419467075</c:v>
                </c:pt>
                <c:pt idx="4276" formatCode="0.00">
                  <c:v>2.3231374683056583</c:v>
                </c:pt>
                <c:pt idx="4277" formatCode="0.00">
                  <c:v>3.0040340342581731</c:v>
                </c:pt>
                <c:pt idx="4285" formatCode="0.00">
                  <c:v>2.9246921270026136</c:v>
                </c:pt>
                <c:pt idx="4287" formatCode="0.00">
                  <c:v>3.1848522408359963</c:v>
                </c:pt>
                <c:pt idx="4292" formatCode="0.00">
                  <c:v>3.6106856864245631</c:v>
                </c:pt>
                <c:pt idx="4293" formatCode="0.00">
                  <c:v>3.9489702125700528</c:v>
                </c:pt>
                <c:pt idx="4294" formatCode="0.00">
                  <c:v>3.5070033564710807</c:v>
                </c:pt>
                <c:pt idx="4296" formatCode="0.00">
                  <c:v>3.5822430137498835</c:v>
                </c:pt>
                <c:pt idx="4297" formatCode="0.00">
                  <c:v>2.9114779490176792</c:v>
                </c:pt>
                <c:pt idx="4298" formatCode="0.00">
                  <c:v>3.1876516505567678</c:v>
                </c:pt>
                <c:pt idx="4299" formatCode="0.00">
                  <c:v>3.3985719381064894</c:v>
                </c:pt>
                <c:pt idx="4300" formatCode="0.00">
                  <c:v>3.8814953540241333</c:v>
                </c:pt>
                <c:pt idx="4301" formatCode="0.00">
                  <c:v>2.6376524574643407</c:v>
                </c:pt>
                <c:pt idx="4302" formatCode="0.00">
                  <c:v>3.4384856994238491</c:v>
                </c:pt>
                <c:pt idx="4303" formatCode="0.00">
                  <c:v>3.3491543815029718</c:v>
                </c:pt>
                <c:pt idx="4304" formatCode="0.00">
                  <c:v>3.3314209690517038</c:v>
                </c:pt>
                <c:pt idx="4306" formatCode="0.00">
                  <c:v>4.9175941151798028</c:v>
                </c:pt>
                <c:pt idx="4307" formatCode="0.00">
                  <c:v>3.5139609448463553</c:v>
                </c:pt>
                <c:pt idx="4308" formatCode="0.00">
                  <c:v>3.6555343712967927</c:v>
                </c:pt>
                <c:pt idx="4309" formatCode="0.00">
                  <c:v>4.641119815840006</c:v>
                </c:pt>
                <c:pt idx="4310" formatCode="0.00">
                  <c:v>3.7534332613608696</c:v>
                </c:pt>
                <c:pt idx="4311" formatCode="0.00">
                  <c:v>3.9149786844951886</c:v>
                </c:pt>
                <c:pt idx="4312" formatCode="0.00">
                  <c:v>3.436084962369224</c:v>
                </c:pt>
                <c:pt idx="4314" formatCode="0.00">
                  <c:v>3.8933611077610784</c:v>
                </c:pt>
                <c:pt idx="4315" formatCode="0.00">
                  <c:v>4.1661989979378404</c:v>
                </c:pt>
                <c:pt idx="4316" formatCode="0.00">
                  <c:v>4.1516992521717349</c:v>
                </c:pt>
                <c:pt idx="4317" formatCode="0.00">
                  <c:v>4.6480257193135701</c:v>
                </c:pt>
                <c:pt idx="4318" formatCode="0.00">
                  <c:v>4.9252702885597195</c:v>
                </c:pt>
                <c:pt idx="4320" formatCode="0.00">
                  <c:v>4.2165086205304139</c:v>
                </c:pt>
                <c:pt idx="4321" formatCode="0.00">
                  <c:v>4.266607021933785</c:v>
                </c:pt>
                <c:pt idx="4322" formatCode="0.00">
                  <c:v>4.1318036889202876</c:v>
                </c:pt>
                <c:pt idx="4323" formatCode="0.00">
                  <c:v>4.5884247577708139</c:v>
                </c:pt>
                <c:pt idx="4324" formatCode="0.00">
                  <c:v>4.4504442314112751</c:v>
                </c:pt>
                <c:pt idx="4325" formatCode="0.00">
                  <c:v>4.6307305527963862</c:v>
                </c:pt>
                <c:pt idx="4329" formatCode="0.00">
                  <c:v>4.3996008335674546</c:v>
                </c:pt>
                <c:pt idx="4330" formatCode="0.00">
                  <c:v>4.681773267774906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1'!$AO$2756:$AO$4332</c:f>
              <c:numCache>
                <c:formatCode>0.000</c:formatCode>
                <c:ptCount val="1577"/>
                <c:pt idx="0">
                  <c:v>2745.8873472256928</c:v>
                </c:pt>
                <c:pt idx="1">
                  <c:v>2745.4048785844689</c:v>
                </c:pt>
                <c:pt idx="2">
                  <c:v>2744.4931744454748</c:v>
                </c:pt>
                <c:pt idx="3">
                  <c:v>2744.4088159193275</c:v>
                </c:pt>
                <c:pt idx="4">
                  <c:v>2744.2107444083276</c:v>
                </c:pt>
                <c:pt idx="5">
                  <c:v>2743.1229906624089</c:v>
                </c:pt>
                <c:pt idx="6">
                  <c:v>2742.4730085806495</c:v>
                </c:pt>
                <c:pt idx="7">
                  <c:v>2742.0669261758799</c:v>
                </c:pt>
                <c:pt idx="8">
                  <c:v>2739.4100570865667</c:v>
                </c:pt>
                <c:pt idx="10">
                  <c:v>2736.4677564740728</c:v>
                </c:pt>
                <c:pt idx="11">
                  <c:v>2736.2109334063721</c:v>
                </c:pt>
                <c:pt idx="12">
                  <c:v>2735.183374899003</c:v>
                </c:pt>
                <c:pt idx="14">
                  <c:v>2734.5550960895312</c:v>
                </c:pt>
                <c:pt idx="15">
                  <c:v>2734.0937941812467</c:v>
                </c:pt>
                <c:pt idx="16">
                  <c:v>2733.7679113056347</c:v>
                </c:pt>
                <c:pt idx="17">
                  <c:v>2733.474982006901</c:v>
                </c:pt>
                <c:pt idx="21">
                  <c:v>2731.0666754424942</c:v>
                </c:pt>
                <c:pt idx="22">
                  <c:v>2730.5312439672321</c:v>
                </c:pt>
                <c:pt idx="23">
                  <c:v>2729.9945318209529</c:v>
                </c:pt>
                <c:pt idx="24">
                  <c:v>2729.3336222787857</c:v>
                </c:pt>
                <c:pt idx="25">
                  <c:v>2729.1399552093549</c:v>
                </c:pt>
                <c:pt idx="27">
                  <c:v>2727.8177948648286</c:v>
                </c:pt>
                <c:pt idx="28">
                  <c:v>2727.2189266811738</c:v>
                </c:pt>
                <c:pt idx="31">
                  <c:v>2724.8431580278238</c:v>
                </c:pt>
                <c:pt idx="33">
                  <c:v>2722.9748827350868</c:v>
                </c:pt>
                <c:pt idx="34">
                  <c:v>2721.8853737856302</c:v>
                </c:pt>
                <c:pt idx="36">
                  <c:v>2721.2135741752481</c:v>
                </c:pt>
                <c:pt idx="40">
                  <c:v>2719.5617806929058</c:v>
                </c:pt>
                <c:pt idx="41">
                  <c:v>2719.463417234218</c:v>
                </c:pt>
                <c:pt idx="44">
                  <c:v>2716.2671535666082</c:v>
                </c:pt>
                <c:pt idx="45">
                  <c:v>2714.916893678967</c:v>
                </c:pt>
                <c:pt idx="46">
                  <c:v>2714.9301611365349</c:v>
                </c:pt>
                <c:pt idx="47">
                  <c:v>2713.3139602716569</c:v>
                </c:pt>
                <c:pt idx="48">
                  <c:v>2713.1895469488963</c:v>
                </c:pt>
                <c:pt idx="50">
                  <c:v>2712.7332170655873</c:v>
                </c:pt>
                <c:pt idx="51">
                  <c:v>2712.5087885284752</c:v>
                </c:pt>
                <c:pt idx="52">
                  <c:v>2712.3469287010785</c:v>
                </c:pt>
                <c:pt idx="54">
                  <c:v>2711.7754237759254</c:v>
                </c:pt>
                <c:pt idx="55">
                  <c:v>2711.5511536836693</c:v>
                </c:pt>
                <c:pt idx="56">
                  <c:v>2711.1056648010649</c:v>
                </c:pt>
                <c:pt idx="57">
                  <c:v>2710.8859148060728</c:v>
                </c:pt>
                <c:pt idx="58">
                  <c:v>2710.5361521825107</c:v>
                </c:pt>
                <c:pt idx="59">
                  <c:v>2710.2863769894516</c:v>
                </c:pt>
                <c:pt idx="61">
                  <c:v>2708.9207740903653</c:v>
                </c:pt>
                <c:pt idx="62">
                  <c:v>2708.2245529804554</c:v>
                </c:pt>
                <c:pt idx="63">
                  <c:v>2707.8461466807762</c:v>
                </c:pt>
                <c:pt idx="65">
                  <c:v>2707.4150683893049</c:v>
                </c:pt>
                <c:pt idx="68">
                  <c:v>2706.4639561249714</c:v>
                </c:pt>
                <c:pt idx="69">
                  <c:v>2706.0648053811719</c:v>
                </c:pt>
                <c:pt idx="70">
                  <c:v>2705.203919624063</c:v>
                </c:pt>
                <c:pt idx="73">
                  <c:v>2704.3487008849706</c:v>
                </c:pt>
                <c:pt idx="75">
                  <c:v>2703.619010334854</c:v>
                </c:pt>
                <c:pt idx="79">
                  <c:v>2701.6227837575188</c:v>
                </c:pt>
                <c:pt idx="80">
                  <c:v>2701.4045682912374</c:v>
                </c:pt>
                <c:pt idx="82">
                  <c:v>2700.0952863626562</c:v>
                </c:pt>
                <c:pt idx="89">
                  <c:v>2693.5388467559555</c:v>
                </c:pt>
                <c:pt idx="92">
                  <c:v>2692.1944130504662</c:v>
                </c:pt>
                <c:pt idx="93">
                  <c:v>2692.0523614952522</c:v>
                </c:pt>
                <c:pt idx="96">
                  <c:v>2688.9845211295024</c:v>
                </c:pt>
                <c:pt idx="97">
                  <c:v>2688.7777407921458</c:v>
                </c:pt>
                <c:pt idx="99">
                  <c:v>2688.3057356347026</c:v>
                </c:pt>
                <c:pt idx="100">
                  <c:v>2688.0484794919375</c:v>
                </c:pt>
                <c:pt idx="101">
                  <c:v>2687.6720782048073</c:v>
                </c:pt>
                <c:pt idx="102">
                  <c:v>2687.2560643307602</c:v>
                </c:pt>
                <c:pt idx="103">
                  <c:v>2687.154247221953</c:v>
                </c:pt>
                <c:pt idx="105">
                  <c:v>2686.0939305558768</c:v>
                </c:pt>
                <c:pt idx="106">
                  <c:v>2685.4490554201498</c:v>
                </c:pt>
                <c:pt idx="107">
                  <c:v>2685.0272409438735</c:v>
                </c:pt>
                <c:pt idx="108">
                  <c:v>2684.9501028872878</c:v>
                </c:pt>
                <c:pt idx="109">
                  <c:v>2684.3554956407411</c:v>
                </c:pt>
                <c:pt idx="111">
                  <c:v>2684.0781023782538</c:v>
                </c:pt>
                <c:pt idx="113">
                  <c:v>2683.7791582541372</c:v>
                </c:pt>
                <c:pt idx="114">
                  <c:v>2683.664640678774</c:v>
                </c:pt>
                <c:pt idx="116">
                  <c:v>2681.9502069124583</c:v>
                </c:pt>
                <c:pt idx="119">
                  <c:v>2681.1692901014444</c:v>
                </c:pt>
                <c:pt idx="120">
                  <c:v>2680.2688524080472</c:v>
                </c:pt>
                <c:pt idx="121">
                  <c:v>2679.407068650964</c:v>
                </c:pt>
                <c:pt idx="122">
                  <c:v>2678.2940338322105</c:v>
                </c:pt>
                <c:pt idx="124">
                  <c:v>2677.4894359654304</c:v>
                </c:pt>
                <c:pt idx="125">
                  <c:v>2676.2956214733113</c:v>
                </c:pt>
                <c:pt idx="126">
                  <c:v>2676.2984864996802</c:v>
                </c:pt>
                <c:pt idx="128">
                  <c:v>2675.5645240478398</c:v>
                </c:pt>
                <c:pt idx="129">
                  <c:v>2673.8618506493076</c:v>
                </c:pt>
                <c:pt idx="131">
                  <c:v>2673.4207969681261</c:v>
                </c:pt>
                <c:pt idx="132">
                  <c:v>2673.1692399484828</c:v>
                </c:pt>
                <c:pt idx="133">
                  <c:v>2672.8477161050837</c:v>
                </c:pt>
                <c:pt idx="134">
                  <c:v>2672.4741311185298</c:v>
                </c:pt>
                <c:pt idx="137">
                  <c:v>2670.026628175563</c:v>
                </c:pt>
                <c:pt idx="138">
                  <c:v>2670.0194991524027</c:v>
                </c:pt>
                <c:pt idx="140">
                  <c:v>2668.9897553497231</c:v>
                </c:pt>
                <c:pt idx="142">
                  <c:v>2668.60229286309</c:v>
                </c:pt>
                <c:pt idx="143">
                  <c:v>2668.3146177746044</c:v>
                </c:pt>
                <c:pt idx="144">
                  <c:v>2667.0108888720574</c:v>
                </c:pt>
                <c:pt idx="145">
                  <c:v>2666.8003622581614</c:v>
                </c:pt>
                <c:pt idx="146">
                  <c:v>2666.5450722113733</c:v>
                </c:pt>
                <c:pt idx="148">
                  <c:v>2665.7809165274684</c:v>
                </c:pt>
                <c:pt idx="149">
                  <c:v>2664.9071173273333</c:v>
                </c:pt>
                <c:pt idx="150">
                  <c:v>2664.2134589136995</c:v>
                </c:pt>
                <c:pt idx="151">
                  <c:v>2663.3314654501992</c:v>
                </c:pt>
                <c:pt idx="152">
                  <c:v>2662.1445704230414</c:v>
                </c:pt>
                <c:pt idx="154">
                  <c:v>2661.6613238251693</c:v>
                </c:pt>
                <c:pt idx="156">
                  <c:v>2660.6351840800367</c:v>
                </c:pt>
                <c:pt idx="159">
                  <c:v>2658.1951758542309</c:v>
                </c:pt>
                <c:pt idx="163">
                  <c:v>2656.8540191559173</c:v>
                </c:pt>
                <c:pt idx="164">
                  <c:v>2656.657091188958</c:v>
                </c:pt>
                <c:pt idx="165">
                  <c:v>2654.3906408309513</c:v>
                </c:pt>
                <c:pt idx="168">
                  <c:v>2651.4621222727064</c:v>
                </c:pt>
                <c:pt idx="169">
                  <c:v>2651.2118689452946</c:v>
                </c:pt>
                <c:pt idx="170">
                  <c:v>2650.9953957511962</c:v>
                </c:pt>
                <c:pt idx="171">
                  <c:v>2650.843604468686</c:v>
                </c:pt>
                <c:pt idx="173">
                  <c:v>2650.2422321400181</c:v>
                </c:pt>
                <c:pt idx="174">
                  <c:v>2649.743637303091</c:v>
                </c:pt>
                <c:pt idx="177">
                  <c:v>2648.133264658411</c:v>
                </c:pt>
                <c:pt idx="178">
                  <c:v>2647.8072184520397</c:v>
                </c:pt>
                <c:pt idx="179">
                  <c:v>2647.5583554956033</c:v>
                </c:pt>
                <c:pt idx="182">
                  <c:v>2645.4067670034174</c:v>
                </c:pt>
                <c:pt idx="183">
                  <c:v>2645.1492591598217</c:v>
                </c:pt>
                <c:pt idx="185">
                  <c:v>2643.1475870177042</c:v>
                </c:pt>
                <c:pt idx="186">
                  <c:v>2642.6355956143875</c:v>
                </c:pt>
                <c:pt idx="187">
                  <c:v>2642.6362939668616</c:v>
                </c:pt>
                <c:pt idx="188">
                  <c:v>2642.5364333104403</c:v>
                </c:pt>
                <c:pt idx="189">
                  <c:v>2641.0729094587377</c:v>
                </c:pt>
                <c:pt idx="190">
                  <c:v>2640.6949041454163</c:v>
                </c:pt>
                <c:pt idx="193">
                  <c:v>2639.6667473524803</c:v>
                </c:pt>
                <c:pt idx="196">
                  <c:v>2637.4931787832661</c:v>
                </c:pt>
                <c:pt idx="197">
                  <c:v>2635.4864027350022</c:v>
                </c:pt>
                <c:pt idx="198">
                  <c:v>2633.8156113099208</c:v>
                </c:pt>
                <c:pt idx="199">
                  <c:v>2632.0970548939631</c:v>
                </c:pt>
                <c:pt idx="200">
                  <c:v>2631.9772070773865</c:v>
                </c:pt>
                <c:pt idx="203">
                  <c:v>2630.7045842395019</c:v>
                </c:pt>
                <c:pt idx="204">
                  <c:v>2630.2015523449568</c:v>
                </c:pt>
                <c:pt idx="210">
                  <c:v>2627.7265619272371</c:v>
                </c:pt>
                <c:pt idx="211">
                  <c:v>2626.9907007156189</c:v>
                </c:pt>
                <c:pt idx="213">
                  <c:v>2626.5470362043243</c:v>
                </c:pt>
                <c:pt idx="214">
                  <c:v>2626.0304215120213</c:v>
                </c:pt>
                <c:pt idx="215">
                  <c:v>2625.6877332595345</c:v>
                </c:pt>
                <c:pt idx="216">
                  <c:v>2625.4085463874244</c:v>
                </c:pt>
                <c:pt idx="218">
                  <c:v>2623.515778742124</c:v>
                </c:pt>
                <c:pt idx="219">
                  <c:v>2623.2343009920019</c:v>
                </c:pt>
                <c:pt idx="220">
                  <c:v>2622.7815857652199</c:v>
                </c:pt>
                <c:pt idx="221">
                  <c:v>2622.4583134026502</c:v>
                </c:pt>
                <c:pt idx="224">
                  <c:v>2620.7270683105612</c:v>
                </c:pt>
                <c:pt idx="225">
                  <c:v>2620.4908231721611</c:v>
                </c:pt>
                <c:pt idx="226">
                  <c:v>2620.2676655825749</c:v>
                </c:pt>
                <c:pt idx="227">
                  <c:v>2619.9498174811961</c:v>
                </c:pt>
                <c:pt idx="228">
                  <c:v>2619.6773395814375</c:v>
                </c:pt>
                <c:pt idx="231">
                  <c:v>2618.9247166519876</c:v>
                </c:pt>
                <c:pt idx="232">
                  <c:v>2618.523540264775</c:v>
                </c:pt>
                <c:pt idx="236">
                  <c:v>2616.9830686429423</c:v>
                </c:pt>
                <c:pt idx="237">
                  <c:v>2616.8330928899854</c:v>
                </c:pt>
                <c:pt idx="238">
                  <c:v>2616.4161273796958</c:v>
                </c:pt>
                <c:pt idx="239">
                  <c:v>2615.3288082914291</c:v>
                </c:pt>
                <c:pt idx="241">
                  <c:v>2614.4440188710569</c:v>
                </c:pt>
                <c:pt idx="242">
                  <c:v>2614.159017201689</c:v>
                </c:pt>
                <c:pt idx="244">
                  <c:v>2612.311773140576</c:v>
                </c:pt>
                <c:pt idx="246">
                  <c:v>2612.1132048069157</c:v>
                </c:pt>
                <c:pt idx="247">
                  <c:v>2611.9446842354773</c:v>
                </c:pt>
                <c:pt idx="249">
                  <c:v>2611.1269519479529</c:v>
                </c:pt>
                <c:pt idx="250">
                  <c:v>2610.8488078342175</c:v>
                </c:pt>
                <c:pt idx="251">
                  <c:v>2610.0229055610193</c:v>
                </c:pt>
                <c:pt idx="252">
                  <c:v>2609.7327372703758</c:v>
                </c:pt>
                <c:pt idx="253">
                  <c:v>2609.7286508537986</c:v>
                </c:pt>
                <c:pt idx="255">
                  <c:v>2609.0266582516865</c:v>
                </c:pt>
                <c:pt idx="258">
                  <c:v>2607.2947413733091</c:v>
                </c:pt>
                <c:pt idx="259">
                  <c:v>2607.207730058054</c:v>
                </c:pt>
                <c:pt idx="260">
                  <c:v>2605.2379350779925</c:v>
                </c:pt>
                <c:pt idx="261">
                  <c:v>2604.4210046554026</c:v>
                </c:pt>
                <c:pt idx="262">
                  <c:v>2604.3253677437633</c:v>
                </c:pt>
                <c:pt idx="263">
                  <c:v>2604.0988515924064</c:v>
                </c:pt>
                <c:pt idx="264">
                  <c:v>2604.0452801809492</c:v>
                </c:pt>
                <c:pt idx="265">
                  <c:v>2603.4642737011577</c:v>
                </c:pt>
                <c:pt idx="266">
                  <c:v>2603.3971729710097</c:v>
                </c:pt>
                <c:pt idx="267">
                  <c:v>2603.2202876246038</c:v>
                </c:pt>
                <c:pt idx="268">
                  <c:v>2603.224353684474</c:v>
                </c:pt>
                <c:pt idx="269">
                  <c:v>2603.0027719376521</c:v>
                </c:pt>
                <c:pt idx="273">
                  <c:v>2600.7403267414093</c:v>
                </c:pt>
                <c:pt idx="274">
                  <c:v>2599.6950557699579</c:v>
                </c:pt>
                <c:pt idx="275">
                  <c:v>2599.434207150472</c:v>
                </c:pt>
                <c:pt idx="276">
                  <c:v>2599.3044781077479</c:v>
                </c:pt>
                <c:pt idx="277">
                  <c:v>2598.8066279964237</c:v>
                </c:pt>
                <c:pt idx="278">
                  <c:v>2598.563514089411</c:v>
                </c:pt>
                <c:pt idx="281">
                  <c:v>2596.2265404969799</c:v>
                </c:pt>
                <c:pt idx="282">
                  <c:v>2596.0782603368043</c:v>
                </c:pt>
                <c:pt idx="283">
                  <c:v>2595.2064460775791</c:v>
                </c:pt>
                <c:pt idx="285">
                  <c:v>2594.7438274287779</c:v>
                </c:pt>
                <c:pt idx="288">
                  <c:v>2593.6085186553069</c:v>
                </c:pt>
                <c:pt idx="289">
                  <c:v>2593.1989209180651</c:v>
                </c:pt>
                <c:pt idx="292">
                  <c:v>2591.1394432055922</c:v>
                </c:pt>
                <c:pt idx="293">
                  <c:v>2591.0212821306077</c:v>
                </c:pt>
                <c:pt idx="295">
                  <c:v>2590.676259768145</c:v>
                </c:pt>
                <c:pt idx="296">
                  <c:v>2590.6782732507545</c:v>
                </c:pt>
                <c:pt idx="297">
                  <c:v>2590.3595108157865</c:v>
                </c:pt>
                <c:pt idx="298">
                  <c:v>2590.2266603741423</c:v>
                </c:pt>
                <c:pt idx="299">
                  <c:v>2590.0461934738601</c:v>
                </c:pt>
                <c:pt idx="301">
                  <c:v>2589.4150925612321</c:v>
                </c:pt>
                <c:pt idx="302">
                  <c:v>2588.5926417183287</c:v>
                </c:pt>
                <c:pt idx="303">
                  <c:v>2588.4901233570854</c:v>
                </c:pt>
                <c:pt idx="304">
                  <c:v>2587.9729649992187</c:v>
                </c:pt>
                <c:pt idx="309">
                  <c:v>2586.8308579948857</c:v>
                </c:pt>
                <c:pt idx="311">
                  <c:v>2586.3926262980781</c:v>
                </c:pt>
                <c:pt idx="312">
                  <c:v>2586.1344401988736</c:v>
                </c:pt>
                <c:pt idx="313">
                  <c:v>2585.5446850638509</c:v>
                </c:pt>
                <c:pt idx="315">
                  <c:v>2585.0881773577294</c:v>
                </c:pt>
                <c:pt idx="316">
                  <c:v>2584.1389171062501</c:v>
                </c:pt>
                <c:pt idx="318">
                  <c:v>2583.4853283868197</c:v>
                </c:pt>
                <c:pt idx="319">
                  <c:v>2583.0388884253771</c:v>
                </c:pt>
                <c:pt idx="320">
                  <c:v>2582.9114577952269</c:v>
                </c:pt>
                <c:pt idx="321">
                  <c:v>2582.7973813533918</c:v>
                </c:pt>
                <c:pt idx="322">
                  <c:v>2582.2198155933538</c:v>
                </c:pt>
                <c:pt idx="323">
                  <c:v>2582.2231495272467</c:v>
                </c:pt>
                <c:pt idx="324">
                  <c:v>2581.6611698797592</c:v>
                </c:pt>
                <c:pt idx="327">
                  <c:v>2580.7537194467795</c:v>
                </c:pt>
                <c:pt idx="328">
                  <c:v>2580.1597583319162</c:v>
                </c:pt>
                <c:pt idx="330">
                  <c:v>2579.5474390382001</c:v>
                </c:pt>
                <c:pt idx="331">
                  <c:v>2579.4409783922811</c:v>
                </c:pt>
                <c:pt idx="333">
                  <c:v>2578.6368191173951</c:v>
                </c:pt>
                <c:pt idx="334">
                  <c:v>2577.6976056540243</c:v>
                </c:pt>
                <c:pt idx="335">
                  <c:v>2577.4139156639235</c:v>
                </c:pt>
                <c:pt idx="337">
                  <c:v>2576.8785960340797</c:v>
                </c:pt>
                <c:pt idx="340">
                  <c:v>2575.6845590028811</c:v>
                </c:pt>
                <c:pt idx="343">
                  <c:v>2574.5115121856779</c:v>
                </c:pt>
                <c:pt idx="345">
                  <c:v>2573.4746308157632</c:v>
                </c:pt>
                <c:pt idx="347">
                  <c:v>2572.925720149045</c:v>
                </c:pt>
                <c:pt idx="348">
                  <c:v>2572.8509169254739</c:v>
                </c:pt>
                <c:pt idx="349">
                  <c:v>2572.5914562694184</c:v>
                </c:pt>
                <c:pt idx="351">
                  <c:v>2571.8477826171379</c:v>
                </c:pt>
                <c:pt idx="352">
                  <c:v>2571.7148400290498</c:v>
                </c:pt>
                <c:pt idx="353">
                  <c:v>2571.7155014009422</c:v>
                </c:pt>
                <c:pt idx="355">
                  <c:v>2570.9399459279912</c:v>
                </c:pt>
                <c:pt idx="357">
                  <c:v>2569.9739661637232</c:v>
                </c:pt>
                <c:pt idx="358">
                  <c:v>2569.8960322861176</c:v>
                </c:pt>
                <c:pt idx="360">
                  <c:v>2569.0740517611894</c:v>
                </c:pt>
                <c:pt idx="361">
                  <c:v>2569.0760318051612</c:v>
                </c:pt>
                <c:pt idx="364">
                  <c:v>2566.5691028198385</c:v>
                </c:pt>
                <c:pt idx="365">
                  <c:v>2566.4663454135198</c:v>
                </c:pt>
                <c:pt idx="366">
                  <c:v>2566.301687240707</c:v>
                </c:pt>
                <c:pt idx="367">
                  <c:v>2566.1140026939065</c:v>
                </c:pt>
                <c:pt idx="369">
                  <c:v>2565.2779876317686</c:v>
                </c:pt>
                <c:pt idx="371">
                  <c:v>2564.6753415955209</c:v>
                </c:pt>
                <c:pt idx="372">
                  <c:v>2564.2426111990217</c:v>
                </c:pt>
                <c:pt idx="373">
                  <c:v>2562.5328484679508</c:v>
                </c:pt>
                <c:pt idx="374">
                  <c:v>2562.1966839538077</c:v>
                </c:pt>
                <c:pt idx="375">
                  <c:v>2562.0706449987233</c:v>
                </c:pt>
                <c:pt idx="376">
                  <c:v>2562.0673628999325</c:v>
                </c:pt>
                <c:pt idx="378">
                  <c:v>2560.6942144443124</c:v>
                </c:pt>
                <c:pt idx="379">
                  <c:v>2560.6365127818008</c:v>
                </c:pt>
                <c:pt idx="380">
                  <c:v>2560.0478421740754</c:v>
                </c:pt>
                <c:pt idx="382">
                  <c:v>2559.4450304151655</c:v>
                </c:pt>
                <c:pt idx="384">
                  <c:v>2558.6853679274413</c:v>
                </c:pt>
                <c:pt idx="385">
                  <c:v>2558.0903957519331</c:v>
                </c:pt>
                <c:pt idx="386">
                  <c:v>2557.9785012138886</c:v>
                </c:pt>
                <c:pt idx="387">
                  <c:v>2557.5807332328204</c:v>
                </c:pt>
                <c:pt idx="388">
                  <c:v>2557.3681612778655</c:v>
                </c:pt>
                <c:pt idx="390">
                  <c:v>2556.9731983183297</c:v>
                </c:pt>
                <c:pt idx="391">
                  <c:v>2556.4711699076756</c:v>
                </c:pt>
                <c:pt idx="392">
                  <c:v>2556.1163390790571</c:v>
                </c:pt>
                <c:pt idx="393">
                  <c:v>2556.1254863348249</c:v>
                </c:pt>
                <c:pt idx="396">
                  <c:v>2555.7478897828614</c:v>
                </c:pt>
                <c:pt idx="397">
                  <c:v>2555.6557940550329</c:v>
                </c:pt>
                <c:pt idx="400">
                  <c:v>2554.1492409834696</c:v>
                </c:pt>
                <c:pt idx="402">
                  <c:v>2553.1045751633987</c:v>
                </c:pt>
                <c:pt idx="407">
                  <c:v>2552.2874365692769</c:v>
                </c:pt>
                <c:pt idx="408">
                  <c:v>2552.0575070430409</c:v>
                </c:pt>
                <c:pt idx="411">
                  <c:v>2551.4493380392264</c:v>
                </c:pt>
                <c:pt idx="414">
                  <c:v>2550.9097819737412</c:v>
                </c:pt>
                <c:pt idx="415">
                  <c:v>2550.2930541748547</c:v>
                </c:pt>
                <c:pt idx="417">
                  <c:v>2549.3665716347787</c:v>
                </c:pt>
                <c:pt idx="419">
                  <c:v>2548.6505532483188</c:v>
                </c:pt>
                <c:pt idx="421">
                  <c:v>2546.9569722183032</c:v>
                </c:pt>
                <c:pt idx="423">
                  <c:v>2546.5548423504292</c:v>
                </c:pt>
                <c:pt idx="430">
                  <c:v>2544.322738179776</c:v>
                </c:pt>
                <c:pt idx="436">
                  <c:v>2541.8438331818402</c:v>
                </c:pt>
                <c:pt idx="439">
                  <c:v>2541.0732731183675</c:v>
                </c:pt>
                <c:pt idx="441">
                  <c:v>2540.5910227708091</c:v>
                </c:pt>
                <c:pt idx="442">
                  <c:v>2540.519378700742</c:v>
                </c:pt>
                <c:pt idx="445">
                  <c:v>2539.1292513275835</c:v>
                </c:pt>
                <c:pt idx="446">
                  <c:v>2539.1253830270634</c:v>
                </c:pt>
                <c:pt idx="448">
                  <c:v>2537.8623686783117</c:v>
                </c:pt>
                <c:pt idx="450">
                  <c:v>2537.4115965799751</c:v>
                </c:pt>
                <c:pt idx="452">
                  <c:v>2536.7112857270422</c:v>
                </c:pt>
                <c:pt idx="454">
                  <c:v>2535.5258870854254</c:v>
                </c:pt>
                <c:pt idx="459">
                  <c:v>2533.4183210732776</c:v>
                </c:pt>
                <c:pt idx="461">
                  <c:v>2532.6868565709033</c:v>
                </c:pt>
                <c:pt idx="462">
                  <c:v>2532.3969542355353</c:v>
                </c:pt>
                <c:pt idx="463">
                  <c:v>2532.085319121245</c:v>
                </c:pt>
                <c:pt idx="466">
                  <c:v>2531.4142175866964</c:v>
                </c:pt>
                <c:pt idx="467">
                  <c:v>2531.2283975476448</c:v>
                </c:pt>
                <c:pt idx="468">
                  <c:v>2530.5302144042339</c:v>
                </c:pt>
                <c:pt idx="469">
                  <c:v>2530.4828287761452</c:v>
                </c:pt>
                <c:pt idx="470">
                  <c:v>2530.1908700086606</c:v>
                </c:pt>
                <c:pt idx="471">
                  <c:v>2529.8676170873332</c:v>
                </c:pt>
                <c:pt idx="473">
                  <c:v>2529.4804624193825</c:v>
                </c:pt>
                <c:pt idx="474">
                  <c:v>2529.0927865974272</c:v>
                </c:pt>
                <c:pt idx="475">
                  <c:v>2528.9188189241022</c:v>
                </c:pt>
                <c:pt idx="476">
                  <c:v>2528.7109845182194</c:v>
                </c:pt>
                <c:pt idx="478">
                  <c:v>2527.396983298961</c:v>
                </c:pt>
                <c:pt idx="479">
                  <c:v>2525.881444218182</c:v>
                </c:pt>
                <c:pt idx="480">
                  <c:v>2525.5133674159779</c:v>
                </c:pt>
                <c:pt idx="481">
                  <c:v>2525.1760047675325</c:v>
                </c:pt>
                <c:pt idx="487">
                  <c:v>2522.4370778070943</c:v>
                </c:pt>
                <c:pt idx="488">
                  <c:v>2521.7857067203572</c:v>
                </c:pt>
                <c:pt idx="490">
                  <c:v>2521.4925723132551</c:v>
                </c:pt>
                <c:pt idx="491">
                  <c:v>2521.4181867876678</c:v>
                </c:pt>
                <c:pt idx="492">
                  <c:v>2520.8683786556062</c:v>
                </c:pt>
                <c:pt idx="493">
                  <c:v>2520.6739374666167</c:v>
                </c:pt>
                <c:pt idx="496">
                  <c:v>2519.6266316472161</c:v>
                </c:pt>
                <c:pt idx="498">
                  <c:v>2519.0814119249785</c:v>
                </c:pt>
                <c:pt idx="500">
                  <c:v>2518.27385422317</c:v>
                </c:pt>
                <c:pt idx="501">
                  <c:v>2518.2136094839952</c:v>
                </c:pt>
                <c:pt idx="503">
                  <c:v>2517.0980175587724</c:v>
                </c:pt>
                <c:pt idx="505">
                  <c:v>2516.2480426735538</c:v>
                </c:pt>
                <c:pt idx="506">
                  <c:v>2515.801117871069</c:v>
                </c:pt>
                <c:pt idx="507">
                  <c:v>2515.6555534228387</c:v>
                </c:pt>
                <c:pt idx="508">
                  <c:v>2515.6599833966438</c:v>
                </c:pt>
                <c:pt idx="510">
                  <c:v>2514.9001546915083</c:v>
                </c:pt>
                <c:pt idx="517">
                  <c:v>2512.5123113103259</c:v>
                </c:pt>
                <c:pt idx="518">
                  <c:v>2512.0395776859541</c:v>
                </c:pt>
                <c:pt idx="519">
                  <c:v>2511.8698409333306</c:v>
                </c:pt>
                <c:pt idx="521">
                  <c:v>2511.1829253623696</c:v>
                </c:pt>
                <c:pt idx="522">
                  <c:v>2511.0965355907751</c:v>
                </c:pt>
                <c:pt idx="524">
                  <c:v>2510.8474888637634</c:v>
                </c:pt>
                <c:pt idx="525">
                  <c:v>2510.0017293911915</c:v>
                </c:pt>
                <c:pt idx="529">
                  <c:v>2509.3366142073119</c:v>
                </c:pt>
                <c:pt idx="531">
                  <c:v>2508.0307143473401</c:v>
                </c:pt>
                <c:pt idx="534">
                  <c:v>2506.1136642840211</c:v>
                </c:pt>
                <c:pt idx="537">
                  <c:v>2505.5981326278243</c:v>
                </c:pt>
                <c:pt idx="541">
                  <c:v>2504.3745161861484</c:v>
                </c:pt>
                <c:pt idx="542">
                  <c:v>2504.2867127806026</c:v>
                </c:pt>
                <c:pt idx="543">
                  <c:v>2504.2189829314939</c:v>
                </c:pt>
                <c:pt idx="544">
                  <c:v>2504.1462401371073</c:v>
                </c:pt>
                <c:pt idx="547">
                  <c:v>2503.7687979831644</c:v>
                </c:pt>
                <c:pt idx="548">
                  <c:v>2503.6634855952971</c:v>
                </c:pt>
                <c:pt idx="549">
                  <c:v>2503.5757320392845</c:v>
                </c:pt>
                <c:pt idx="550">
                  <c:v>2503.4021234858174</c:v>
                </c:pt>
                <c:pt idx="551">
                  <c:v>2503.3595084603535</c:v>
                </c:pt>
                <c:pt idx="552">
                  <c:v>2503.2792958775999</c:v>
                </c:pt>
                <c:pt idx="558">
                  <c:v>2501.730572123266</c:v>
                </c:pt>
                <c:pt idx="559">
                  <c:v>2501.597269856803</c:v>
                </c:pt>
                <c:pt idx="561">
                  <c:v>2501.1448990775525</c:v>
                </c:pt>
                <c:pt idx="562">
                  <c:v>2501.0191653098632</c:v>
                </c:pt>
                <c:pt idx="563">
                  <c:v>2500.7208327800486</c:v>
                </c:pt>
                <c:pt idx="564">
                  <c:v>2500.4388270141403</c:v>
                </c:pt>
                <c:pt idx="565">
                  <c:v>2500.3456727892631</c:v>
                </c:pt>
                <c:pt idx="566">
                  <c:v>2499.9831251139053</c:v>
                </c:pt>
                <c:pt idx="569">
                  <c:v>2499.0491118129548</c:v>
                </c:pt>
                <c:pt idx="570">
                  <c:v>2499.0497363377581</c:v>
                </c:pt>
                <c:pt idx="572">
                  <c:v>2498.8455333635861</c:v>
                </c:pt>
                <c:pt idx="576">
                  <c:v>2497.8905314461936</c:v>
                </c:pt>
                <c:pt idx="579">
                  <c:v>2496.6812864000526</c:v>
                </c:pt>
                <c:pt idx="580">
                  <c:v>2496.3353796626552</c:v>
                </c:pt>
                <c:pt idx="581">
                  <c:v>2496.2606016187751</c:v>
                </c:pt>
                <c:pt idx="582">
                  <c:v>2496.1216509847823</c:v>
                </c:pt>
                <c:pt idx="585">
                  <c:v>2495.6021251549455</c:v>
                </c:pt>
                <c:pt idx="586">
                  <c:v>2495.3243859318595</c:v>
                </c:pt>
                <c:pt idx="589">
                  <c:v>2494.9502207531955</c:v>
                </c:pt>
                <c:pt idx="591">
                  <c:v>2494.4355379237763</c:v>
                </c:pt>
                <c:pt idx="592">
                  <c:v>2494.273770990249</c:v>
                </c:pt>
                <c:pt idx="593">
                  <c:v>2493.6536514570416</c:v>
                </c:pt>
                <c:pt idx="594">
                  <c:v>2493.5118820828202</c:v>
                </c:pt>
                <c:pt idx="595">
                  <c:v>2493.3433964672809</c:v>
                </c:pt>
                <c:pt idx="596">
                  <c:v>2493.0947508139329</c:v>
                </c:pt>
                <c:pt idx="597">
                  <c:v>2492.7224966709691</c:v>
                </c:pt>
                <c:pt idx="599">
                  <c:v>2492.0770639942962</c:v>
                </c:pt>
                <c:pt idx="603">
                  <c:v>2490.9435519808858</c:v>
                </c:pt>
                <c:pt idx="607">
                  <c:v>2489.4732623103209</c:v>
                </c:pt>
                <c:pt idx="608">
                  <c:v>2489.3784445218366</c:v>
                </c:pt>
                <c:pt idx="613">
                  <c:v>2488.4994000227948</c:v>
                </c:pt>
                <c:pt idx="614">
                  <c:v>2488.3780304089746</c:v>
                </c:pt>
                <c:pt idx="615">
                  <c:v>2488.0864201984846</c:v>
                </c:pt>
                <c:pt idx="617">
                  <c:v>2487.8945272042561</c:v>
                </c:pt>
                <c:pt idx="619">
                  <c:v>2487.2732446255623</c:v>
                </c:pt>
                <c:pt idx="620">
                  <c:v>2485.9073910004181</c:v>
                </c:pt>
                <c:pt idx="623">
                  <c:v>2485.4495569313349</c:v>
                </c:pt>
                <c:pt idx="624">
                  <c:v>2485.34886842066</c:v>
                </c:pt>
                <c:pt idx="629">
                  <c:v>2484.0542348529202</c:v>
                </c:pt>
                <c:pt idx="631">
                  <c:v>2483.8401360746984</c:v>
                </c:pt>
                <c:pt idx="632">
                  <c:v>2483.453987806241</c:v>
                </c:pt>
                <c:pt idx="633">
                  <c:v>2483.3226260739439</c:v>
                </c:pt>
                <c:pt idx="635">
                  <c:v>2483.1296173795236</c:v>
                </c:pt>
                <c:pt idx="636">
                  <c:v>2483.129617379524</c:v>
                </c:pt>
                <c:pt idx="641">
                  <c:v>2482.5187237768441</c:v>
                </c:pt>
                <c:pt idx="643">
                  <c:v>2481.7732369048617</c:v>
                </c:pt>
                <c:pt idx="644">
                  <c:v>2481.4425320242567</c:v>
                </c:pt>
                <c:pt idx="645">
                  <c:v>2481.2368866630536</c:v>
                </c:pt>
                <c:pt idx="647">
                  <c:v>2480.9980360419545</c:v>
                </c:pt>
                <c:pt idx="649">
                  <c:v>2480.726614748366</c:v>
                </c:pt>
                <c:pt idx="650">
                  <c:v>2480.0350974566986</c:v>
                </c:pt>
                <c:pt idx="653">
                  <c:v>2479.0747498055789</c:v>
                </c:pt>
                <c:pt idx="654">
                  <c:v>2478.9758061877219</c:v>
                </c:pt>
                <c:pt idx="655">
                  <c:v>2478.5217501436923</c:v>
                </c:pt>
                <c:pt idx="657">
                  <c:v>2477.9284716211528</c:v>
                </c:pt>
                <c:pt idx="658">
                  <c:v>2477.0084079573394</c:v>
                </c:pt>
                <c:pt idx="660">
                  <c:v>2476.693693173811</c:v>
                </c:pt>
                <c:pt idx="661">
                  <c:v>2476.4403844029821</c:v>
                </c:pt>
                <c:pt idx="663">
                  <c:v>2476.0902534897396</c:v>
                </c:pt>
                <c:pt idx="664">
                  <c:v>2475.7972252750178</c:v>
                </c:pt>
                <c:pt idx="665">
                  <c:v>2475.7959993612444</c:v>
                </c:pt>
                <c:pt idx="667">
                  <c:v>2475.0833360559245</c:v>
                </c:pt>
                <c:pt idx="669">
                  <c:v>2474.171505115226</c:v>
                </c:pt>
                <c:pt idx="671">
                  <c:v>2473.1270019963081</c:v>
                </c:pt>
                <c:pt idx="672">
                  <c:v>2471.9018912026986</c:v>
                </c:pt>
                <c:pt idx="674">
                  <c:v>2470.5394348739865</c:v>
                </c:pt>
                <c:pt idx="675">
                  <c:v>2470.0512461532035</c:v>
                </c:pt>
                <c:pt idx="676">
                  <c:v>2469.7181681112461</c:v>
                </c:pt>
                <c:pt idx="677">
                  <c:v>2469.3754233435498</c:v>
                </c:pt>
                <c:pt idx="679">
                  <c:v>2468.9425543729049</c:v>
                </c:pt>
                <c:pt idx="681">
                  <c:v>2468.6085564441173</c:v>
                </c:pt>
                <c:pt idx="684">
                  <c:v>2468.020013667895</c:v>
                </c:pt>
                <c:pt idx="685">
                  <c:v>2467.4628017645318</c:v>
                </c:pt>
                <c:pt idx="686">
                  <c:v>2467.4634106019507</c:v>
                </c:pt>
                <c:pt idx="687">
                  <c:v>2467.242422358348</c:v>
                </c:pt>
                <c:pt idx="689">
                  <c:v>2466.9271412804237</c:v>
                </c:pt>
                <c:pt idx="690">
                  <c:v>2466.6593982436398</c:v>
                </c:pt>
                <c:pt idx="691">
                  <c:v>2466.2645833307643</c:v>
                </c:pt>
                <c:pt idx="692">
                  <c:v>2466.0237413969685</c:v>
                </c:pt>
                <c:pt idx="695">
                  <c:v>2465.0164860302589</c:v>
                </c:pt>
                <c:pt idx="697">
                  <c:v>2464.0416245623555</c:v>
                </c:pt>
                <c:pt idx="698">
                  <c:v>2463.6415775978116</c:v>
                </c:pt>
                <c:pt idx="701">
                  <c:v>2462.920121835733</c:v>
                </c:pt>
                <c:pt idx="702">
                  <c:v>2461.4706006874394</c:v>
                </c:pt>
                <c:pt idx="703">
                  <c:v>2461.3669989265973</c:v>
                </c:pt>
                <c:pt idx="706">
                  <c:v>2460.5905663418271</c:v>
                </c:pt>
                <c:pt idx="707">
                  <c:v>2460.5197306616678</c:v>
                </c:pt>
                <c:pt idx="708">
                  <c:v>2460.1522981881717</c:v>
                </c:pt>
                <c:pt idx="711">
                  <c:v>2458.6854785610008</c:v>
                </c:pt>
                <c:pt idx="712">
                  <c:v>2457.4788576950173</c:v>
                </c:pt>
                <c:pt idx="714">
                  <c:v>2456.734449607954</c:v>
                </c:pt>
                <c:pt idx="715">
                  <c:v>2456.6608181761453</c:v>
                </c:pt>
                <c:pt idx="716">
                  <c:v>2456.4779657611189</c:v>
                </c:pt>
                <c:pt idx="717">
                  <c:v>2456.0972614515535</c:v>
                </c:pt>
                <c:pt idx="720">
                  <c:v>2455.5659207721474</c:v>
                </c:pt>
                <c:pt idx="721">
                  <c:v>2455.3440440351219</c:v>
                </c:pt>
                <c:pt idx="722">
                  <c:v>2454.5232076396542</c:v>
                </c:pt>
                <c:pt idx="723">
                  <c:v>2454.0389186032103</c:v>
                </c:pt>
                <c:pt idx="725">
                  <c:v>2453.5939508113293</c:v>
                </c:pt>
                <c:pt idx="726">
                  <c:v>2453.550004698548</c:v>
                </c:pt>
                <c:pt idx="727">
                  <c:v>2452.9198822402223</c:v>
                </c:pt>
                <c:pt idx="728">
                  <c:v>2452.9162721559665</c:v>
                </c:pt>
                <c:pt idx="729">
                  <c:v>2452.767064636299</c:v>
                </c:pt>
                <c:pt idx="730">
                  <c:v>2452.5914080817793</c:v>
                </c:pt>
                <c:pt idx="732">
                  <c:v>2452.1235144422722</c:v>
                </c:pt>
                <c:pt idx="734">
                  <c:v>2451.0290522924597</c:v>
                </c:pt>
                <c:pt idx="735">
                  <c:v>2450.9131121890773</c:v>
                </c:pt>
                <c:pt idx="736">
                  <c:v>2450.7575414098374</c:v>
                </c:pt>
                <c:pt idx="737">
                  <c:v>2450.7635476370842</c:v>
                </c:pt>
                <c:pt idx="738">
                  <c:v>2450.6506354904691</c:v>
                </c:pt>
                <c:pt idx="739">
                  <c:v>2450.663247501303</c:v>
                </c:pt>
                <c:pt idx="740">
                  <c:v>2450.3750053908248</c:v>
                </c:pt>
                <c:pt idx="741">
                  <c:v>2448.9000275746139</c:v>
                </c:pt>
                <c:pt idx="742">
                  <c:v>2448.2405229833475</c:v>
                </c:pt>
                <c:pt idx="743">
                  <c:v>2447.512482925541</c:v>
                </c:pt>
                <c:pt idx="744">
                  <c:v>2446.8070269361642</c:v>
                </c:pt>
                <c:pt idx="746">
                  <c:v>2446.2258404620429</c:v>
                </c:pt>
                <c:pt idx="747">
                  <c:v>2445.6748362804124</c:v>
                </c:pt>
                <c:pt idx="748">
                  <c:v>2445.6269866133712</c:v>
                </c:pt>
                <c:pt idx="749">
                  <c:v>2444.9076729515464</c:v>
                </c:pt>
                <c:pt idx="751">
                  <c:v>2443.7115481987889</c:v>
                </c:pt>
                <c:pt idx="752">
                  <c:v>2443.4374767109862</c:v>
                </c:pt>
                <c:pt idx="753">
                  <c:v>2443.0697562378291</c:v>
                </c:pt>
                <c:pt idx="754">
                  <c:v>2442.60310166627</c:v>
                </c:pt>
                <c:pt idx="755">
                  <c:v>2442.3829646719078</c:v>
                </c:pt>
                <c:pt idx="756">
                  <c:v>2442.1008416700547</c:v>
                </c:pt>
                <c:pt idx="757">
                  <c:v>2441.8939133840699</c:v>
                </c:pt>
                <c:pt idx="758">
                  <c:v>2441.7669113724073</c:v>
                </c:pt>
                <c:pt idx="759">
                  <c:v>2441.0754890389612</c:v>
                </c:pt>
                <c:pt idx="761">
                  <c:v>2440.4618818157519</c:v>
                </c:pt>
                <c:pt idx="762">
                  <c:v>2439.3676866232154</c:v>
                </c:pt>
                <c:pt idx="763">
                  <c:v>2439.0761462499322</c:v>
                </c:pt>
                <c:pt idx="765">
                  <c:v>2438.2768502437179</c:v>
                </c:pt>
                <c:pt idx="766">
                  <c:v>2437.8013274803347</c:v>
                </c:pt>
                <c:pt idx="767">
                  <c:v>2437.6272136702132</c:v>
                </c:pt>
                <c:pt idx="768">
                  <c:v>2436.6483609397474</c:v>
                </c:pt>
                <c:pt idx="770">
                  <c:v>2436.1384574420013</c:v>
                </c:pt>
                <c:pt idx="771">
                  <c:v>2435.4822486223084</c:v>
                </c:pt>
                <c:pt idx="772">
                  <c:v>2435.1252202266373</c:v>
                </c:pt>
                <c:pt idx="773">
                  <c:v>2434.9135435248099</c:v>
                </c:pt>
                <c:pt idx="774">
                  <c:v>2434.3557708716189</c:v>
                </c:pt>
                <c:pt idx="775">
                  <c:v>2433.8823685180241</c:v>
                </c:pt>
                <c:pt idx="776">
                  <c:v>2433.4132952942168</c:v>
                </c:pt>
                <c:pt idx="777">
                  <c:v>2432.8816607434105</c:v>
                </c:pt>
                <c:pt idx="778">
                  <c:v>2432.4508401685202</c:v>
                </c:pt>
                <c:pt idx="779">
                  <c:v>2432.0012451846378</c:v>
                </c:pt>
                <c:pt idx="780">
                  <c:v>2431.0552724726754</c:v>
                </c:pt>
                <c:pt idx="782">
                  <c:v>2430.4136126494277</c:v>
                </c:pt>
                <c:pt idx="783">
                  <c:v>2430.2972520872004</c:v>
                </c:pt>
                <c:pt idx="785">
                  <c:v>2429.3142434580996</c:v>
                </c:pt>
                <c:pt idx="786">
                  <c:v>2427.585135410699</c:v>
                </c:pt>
                <c:pt idx="787">
                  <c:v>2427.0578113035367</c:v>
                </c:pt>
                <c:pt idx="788">
                  <c:v>2426.8740381994826</c:v>
                </c:pt>
                <c:pt idx="789">
                  <c:v>2426.5383707299293</c:v>
                </c:pt>
                <c:pt idx="791">
                  <c:v>2426.1610029555491</c:v>
                </c:pt>
                <c:pt idx="794">
                  <c:v>2425.3754420549917</c:v>
                </c:pt>
                <c:pt idx="795">
                  <c:v>2425.2866203727954</c:v>
                </c:pt>
                <c:pt idx="796">
                  <c:v>2425.0660648622725</c:v>
                </c:pt>
                <c:pt idx="797">
                  <c:v>2424.7738170983407</c:v>
                </c:pt>
                <c:pt idx="800">
                  <c:v>2424.4357913637227</c:v>
                </c:pt>
                <c:pt idx="802">
                  <c:v>2423.9033715768728</c:v>
                </c:pt>
                <c:pt idx="803">
                  <c:v>2423.6166904787005</c:v>
                </c:pt>
                <c:pt idx="804">
                  <c:v>2423.4921698179742</c:v>
                </c:pt>
                <c:pt idx="805">
                  <c:v>2422.9854087818685</c:v>
                </c:pt>
                <c:pt idx="808">
                  <c:v>2421.8933344893835</c:v>
                </c:pt>
                <c:pt idx="810">
                  <c:v>2421.3890007436084</c:v>
                </c:pt>
                <c:pt idx="811">
                  <c:v>2420.9639988127592</c:v>
                </c:pt>
                <c:pt idx="812">
                  <c:v>2419.6863747702205</c:v>
                </c:pt>
                <c:pt idx="813">
                  <c:v>2418.4253052415497</c:v>
                </c:pt>
                <c:pt idx="815">
                  <c:v>2417.2590361372972</c:v>
                </c:pt>
                <c:pt idx="816">
                  <c:v>2416.4622943681197</c:v>
                </c:pt>
                <c:pt idx="818">
                  <c:v>2415.2693327214652</c:v>
                </c:pt>
                <c:pt idx="820">
                  <c:v>2414.5899181212558</c:v>
                </c:pt>
                <c:pt idx="821">
                  <c:v>2414.0717206223771</c:v>
                </c:pt>
                <c:pt idx="822">
                  <c:v>2413.1320716835362</c:v>
                </c:pt>
                <c:pt idx="824">
                  <c:v>2412.7379050052004</c:v>
                </c:pt>
                <c:pt idx="825">
                  <c:v>2412.6500065141554</c:v>
                </c:pt>
                <c:pt idx="828">
                  <c:v>2411.7103005352792</c:v>
                </c:pt>
                <c:pt idx="830">
                  <c:v>2411.034630413707</c:v>
                </c:pt>
                <c:pt idx="831">
                  <c:v>2410.5324842152309</c:v>
                </c:pt>
                <c:pt idx="832">
                  <c:v>2409.909741650446</c:v>
                </c:pt>
                <c:pt idx="833">
                  <c:v>2408.9182006055535</c:v>
                </c:pt>
                <c:pt idx="836">
                  <c:v>2408.1240472859236</c:v>
                </c:pt>
                <c:pt idx="837">
                  <c:v>2407.8839900756657</c:v>
                </c:pt>
                <c:pt idx="839">
                  <c:v>2407.6300686030104</c:v>
                </c:pt>
                <c:pt idx="843">
                  <c:v>2406.2975694950769</c:v>
                </c:pt>
                <c:pt idx="845">
                  <c:v>2403.2632469672621</c:v>
                </c:pt>
                <c:pt idx="847">
                  <c:v>2401.5692814312592</c:v>
                </c:pt>
                <c:pt idx="848">
                  <c:v>2401.4256783967508</c:v>
                </c:pt>
                <c:pt idx="849">
                  <c:v>2401.3051573791386</c:v>
                </c:pt>
                <c:pt idx="850">
                  <c:v>2400.6064892234376</c:v>
                </c:pt>
                <c:pt idx="851">
                  <c:v>2400.428428465912</c:v>
                </c:pt>
                <c:pt idx="853">
                  <c:v>2398.7879404294599</c:v>
                </c:pt>
                <c:pt idx="854">
                  <c:v>2398.5704520106015</c:v>
                </c:pt>
                <c:pt idx="855">
                  <c:v>2397.6267331544541</c:v>
                </c:pt>
                <c:pt idx="856">
                  <c:v>2396.172067199208</c:v>
                </c:pt>
                <c:pt idx="857">
                  <c:v>2395.540653163323</c:v>
                </c:pt>
                <c:pt idx="858">
                  <c:v>2395.3828516457961</c:v>
                </c:pt>
                <c:pt idx="859">
                  <c:v>2394.7937184560765</c:v>
                </c:pt>
                <c:pt idx="860">
                  <c:v>2394.7524269019782</c:v>
                </c:pt>
                <c:pt idx="861">
                  <c:v>2394.4617058528306</c:v>
                </c:pt>
                <c:pt idx="862">
                  <c:v>2393.6358011319503</c:v>
                </c:pt>
                <c:pt idx="863">
                  <c:v>2392.2048569413651</c:v>
                </c:pt>
                <c:pt idx="865">
                  <c:v>2391.2598495993211</c:v>
                </c:pt>
                <c:pt idx="866">
                  <c:v>2391.016282342679</c:v>
                </c:pt>
                <c:pt idx="867">
                  <c:v>2390.8150623261577</c:v>
                </c:pt>
                <c:pt idx="869">
                  <c:v>2390.1996079594605</c:v>
                </c:pt>
                <c:pt idx="870">
                  <c:v>2390.0573613766728</c:v>
                </c:pt>
                <c:pt idx="872">
                  <c:v>2389.5707661824122</c:v>
                </c:pt>
                <c:pt idx="873">
                  <c:v>2388.1549425374096</c:v>
                </c:pt>
                <c:pt idx="874">
                  <c:v>2387.9331053971587</c:v>
                </c:pt>
                <c:pt idx="876">
                  <c:v>2387.5020950330886</c:v>
                </c:pt>
                <c:pt idx="877">
                  <c:v>2385.4796806033542</c:v>
                </c:pt>
                <c:pt idx="878">
                  <c:v>2385.2310310924408</c:v>
                </c:pt>
                <c:pt idx="879">
                  <c:v>2385.0654831653733</c:v>
                </c:pt>
                <c:pt idx="880">
                  <c:v>2383.7055608751921</c:v>
                </c:pt>
                <c:pt idx="882">
                  <c:v>2383.3209480088067</c:v>
                </c:pt>
                <c:pt idx="883">
                  <c:v>2382.9336200479065</c:v>
                </c:pt>
                <c:pt idx="885">
                  <c:v>2382.1689886858881</c:v>
                </c:pt>
                <c:pt idx="886">
                  <c:v>2381.7701220276103</c:v>
                </c:pt>
                <c:pt idx="887">
                  <c:v>2380.7726892994024</c:v>
                </c:pt>
                <c:pt idx="892">
                  <c:v>2379.6996390709555</c:v>
                </c:pt>
                <c:pt idx="893">
                  <c:v>2379.5926137445267</c:v>
                </c:pt>
                <c:pt idx="895">
                  <c:v>2379.2251767704824</c:v>
                </c:pt>
                <c:pt idx="897">
                  <c:v>2378.7899476142879</c:v>
                </c:pt>
                <c:pt idx="898">
                  <c:v>2378.3780698320347</c:v>
                </c:pt>
                <c:pt idx="901">
                  <c:v>2377.6587574640653</c:v>
                </c:pt>
                <c:pt idx="902">
                  <c:v>2377.2817447346188</c:v>
                </c:pt>
                <c:pt idx="903">
                  <c:v>2377.2772235684215</c:v>
                </c:pt>
                <c:pt idx="904">
                  <c:v>2376.8297132236112</c:v>
                </c:pt>
                <c:pt idx="905">
                  <c:v>2376.752320066777</c:v>
                </c:pt>
                <c:pt idx="906">
                  <c:v>2376.5478456118472</c:v>
                </c:pt>
                <c:pt idx="907">
                  <c:v>2376.3129128843684</c:v>
                </c:pt>
                <c:pt idx="908">
                  <c:v>2375.1366891164589</c:v>
                </c:pt>
                <c:pt idx="909">
                  <c:v>2374.733970426963</c:v>
                </c:pt>
                <c:pt idx="911">
                  <c:v>2373.9790999627999</c:v>
                </c:pt>
                <c:pt idx="912">
                  <c:v>2372.8491012715381</c:v>
                </c:pt>
                <c:pt idx="914">
                  <c:v>2372.6498013973487</c:v>
                </c:pt>
                <c:pt idx="915">
                  <c:v>2372.216411609912</c:v>
                </c:pt>
                <c:pt idx="916">
                  <c:v>2372.0588545754763</c:v>
                </c:pt>
                <c:pt idx="917">
                  <c:v>2372.0611052428958</c:v>
                </c:pt>
                <c:pt idx="919">
                  <c:v>2370.8935826786305</c:v>
                </c:pt>
                <c:pt idx="922">
                  <c:v>2370.2186763750824</c:v>
                </c:pt>
                <c:pt idx="924">
                  <c:v>2369.8080763533203</c:v>
                </c:pt>
                <c:pt idx="925">
                  <c:v>2369.4997985925174</c:v>
                </c:pt>
                <c:pt idx="926">
                  <c:v>2369.3066745264464</c:v>
                </c:pt>
                <c:pt idx="927">
                  <c:v>2369.0933763939747</c:v>
                </c:pt>
                <c:pt idx="929">
                  <c:v>2368.5473959360938</c:v>
                </c:pt>
                <c:pt idx="930">
                  <c:v>2368.5513229543417</c:v>
                </c:pt>
                <c:pt idx="933">
                  <c:v>2368.2175728848556</c:v>
                </c:pt>
                <c:pt idx="935">
                  <c:v>2366.5199897577018</c:v>
                </c:pt>
                <c:pt idx="936">
                  <c:v>2366.2388822266125</c:v>
                </c:pt>
                <c:pt idx="937">
                  <c:v>2365.8268612196498</c:v>
                </c:pt>
                <c:pt idx="938">
                  <c:v>2365.7736896156966</c:v>
                </c:pt>
                <c:pt idx="939">
                  <c:v>2365.2230842934759</c:v>
                </c:pt>
                <c:pt idx="940">
                  <c:v>2364.9959783243389</c:v>
                </c:pt>
                <c:pt idx="941">
                  <c:v>2364.4882242575213</c:v>
                </c:pt>
                <c:pt idx="944">
                  <c:v>2363.0349497595134</c:v>
                </c:pt>
                <c:pt idx="945">
                  <c:v>2362.9439351381343</c:v>
                </c:pt>
                <c:pt idx="948">
                  <c:v>2362.4214347221618</c:v>
                </c:pt>
                <c:pt idx="949">
                  <c:v>2361.812700695034</c:v>
                </c:pt>
                <c:pt idx="950">
                  <c:v>2361.5048264435641</c:v>
                </c:pt>
                <c:pt idx="953">
                  <c:v>2361.0130634852803</c:v>
                </c:pt>
                <c:pt idx="954">
                  <c:v>2361.0113911716594</c:v>
                </c:pt>
                <c:pt idx="955">
                  <c:v>2360.4457276876515</c:v>
                </c:pt>
                <c:pt idx="957">
                  <c:v>2360.1036746342193</c:v>
                </c:pt>
                <c:pt idx="958">
                  <c:v>2359.9995185600983</c:v>
                </c:pt>
                <c:pt idx="960">
                  <c:v>2359.3948152298935</c:v>
                </c:pt>
                <c:pt idx="961">
                  <c:v>2358.3476190240358</c:v>
                </c:pt>
                <c:pt idx="963">
                  <c:v>2358.1652059798357</c:v>
                </c:pt>
                <c:pt idx="964">
                  <c:v>2357.8955310806004</c:v>
                </c:pt>
                <c:pt idx="965">
                  <c:v>2356.9429883774428</c:v>
                </c:pt>
                <c:pt idx="966">
                  <c:v>2356.8013397944255</c:v>
                </c:pt>
                <c:pt idx="968">
                  <c:v>2355.7586638325315</c:v>
                </c:pt>
                <c:pt idx="969">
                  <c:v>2355.6632145992703</c:v>
                </c:pt>
                <c:pt idx="971">
                  <c:v>2355.1361633748538</c:v>
                </c:pt>
                <c:pt idx="973">
                  <c:v>2354.8438903339784</c:v>
                </c:pt>
                <c:pt idx="975">
                  <c:v>2354.4164261041687</c:v>
                </c:pt>
                <c:pt idx="976">
                  <c:v>2354.0617098444741</c:v>
                </c:pt>
                <c:pt idx="977">
                  <c:v>2353.9492206074137</c:v>
                </c:pt>
                <c:pt idx="978">
                  <c:v>2353.2678654213173</c:v>
                </c:pt>
                <c:pt idx="979">
                  <c:v>2352.9157096182016</c:v>
                </c:pt>
                <c:pt idx="980">
                  <c:v>2350.7729341407457</c:v>
                </c:pt>
                <c:pt idx="982">
                  <c:v>2349.5020582812781</c:v>
                </c:pt>
                <c:pt idx="985">
                  <c:v>2347.4222486802787</c:v>
                </c:pt>
                <c:pt idx="986">
                  <c:v>2346.6025887719761</c:v>
                </c:pt>
                <c:pt idx="987">
                  <c:v>2346.5106330956082</c:v>
                </c:pt>
                <c:pt idx="988">
                  <c:v>2345.7180207675801</c:v>
                </c:pt>
                <c:pt idx="993">
                  <c:v>2342.3970826849772</c:v>
                </c:pt>
                <c:pt idx="995">
                  <c:v>2341.3358632247778</c:v>
                </c:pt>
                <c:pt idx="997">
                  <c:v>2340.4804585094839</c:v>
                </c:pt>
                <c:pt idx="998">
                  <c:v>2340.3911729806518</c:v>
                </c:pt>
                <c:pt idx="999">
                  <c:v>2340.3922684673335</c:v>
                </c:pt>
                <c:pt idx="1001">
                  <c:v>2339.9152810273354</c:v>
                </c:pt>
                <c:pt idx="1006">
                  <c:v>2338.1858483639717</c:v>
                </c:pt>
                <c:pt idx="1007">
                  <c:v>2338.1175114480075</c:v>
                </c:pt>
                <c:pt idx="1008">
                  <c:v>2338.0065408070986</c:v>
                </c:pt>
                <c:pt idx="1010">
                  <c:v>2337.6376254931542</c:v>
                </c:pt>
                <c:pt idx="1011">
                  <c:v>2336.8455342764996</c:v>
                </c:pt>
                <c:pt idx="1013">
                  <c:v>2336.5845349414017</c:v>
                </c:pt>
                <c:pt idx="1015">
                  <c:v>2335.3480380857895</c:v>
                </c:pt>
                <c:pt idx="1016">
                  <c:v>2334.438690053074</c:v>
                </c:pt>
                <c:pt idx="1019">
                  <c:v>2333.2991893885287</c:v>
                </c:pt>
                <c:pt idx="1022">
                  <c:v>2332.8452243508914</c:v>
                </c:pt>
                <c:pt idx="1023">
                  <c:v>2332.544855420706</c:v>
                </c:pt>
                <c:pt idx="1024">
                  <c:v>2331.481127009999</c:v>
                </c:pt>
                <c:pt idx="1025">
                  <c:v>2331.1088338767922</c:v>
                </c:pt>
                <c:pt idx="1026">
                  <c:v>2330.2771748185592</c:v>
                </c:pt>
                <c:pt idx="1027">
                  <c:v>2330.1696619832592</c:v>
                </c:pt>
                <c:pt idx="1028">
                  <c:v>2330.1066792740971</c:v>
                </c:pt>
                <c:pt idx="1029">
                  <c:v>2329.9014661370952</c:v>
                </c:pt>
                <c:pt idx="1032">
                  <c:v>2329.6762076226069</c:v>
                </c:pt>
                <c:pt idx="1033">
                  <c:v>2329.5226225765687</c:v>
                </c:pt>
                <c:pt idx="1035">
                  <c:v>2329.2703094901458</c:v>
                </c:pt>
                <c:pt idx="1036">
                  <c:v>2329.1520395918578</c:v>
                </c:pt>
                <c:pt idx="1037">
                  <c:v>2328.791878664354</c:v>
                </c:pt>
                <c:pt idx="1038">
                  <c:v>2327.4866867761521</c:v>
                </c:pt>
                <c:pt idx="1039">
                  <c:v>2327.4000148953605</c:v>
                </c:pt>
                <c:pt idx="1040">
                  <c:v>2327.0257748355898</c:v>
                </c:pt>
                <c:pt idx="1042">
                  <c:v>2326.8438434155091</c:v>
                </c:pt>
                <c:pt idx="1043">
                  <c:v>2326.7826645384362</c:v>
                </c:pt>
                <c:pt idx="1044">
                  <c:v>2326.5450178318042</c:v>
                </c:pt>
                <c:pt idx="1045">
                  <c:v>2326.4454263595107</c:v>
                </c:pt>
                <c:pt idx="1047">
                  <c:v>2325.7268884960476</c:v>
                </c:pt>
                <c:pt idx="1048">
                  <c:v>2325.518119623257</c:v>
                </c:pt>
                <c:pt idx="1050">
                  <c:v>2325.1515126854456</c:v>
                </c:pt>
                <c:pt idx="1051">
                  <c:v>2324.2084907984586</c:v>
                </c:pt>
                <c:pt idx="1053">
                  <c:v>2323.9999944224005</c:v>
                </c:pt>
                <c:pt idx="1056">
                  <c:v>2322.4299119682942</c:v>
                </c:pt>
                <c:pt idx="1057">
                  <c:v>2322.3867633244035</c:v>
                </c:pt>
                <c:pt idx="1058">
                  <c:v>2322.2913026475053</c:v>
                </c:pt>
                <c:pt idx="1060">
                  <c:v>2321.6135957406746</c:v>
                </c:pt>
                <c:pt idx="1061">
                  <c:v>2321.1178317788426</c:v>
                </c:pt>
                <c:pt idx="1062">
                  <c:v>2321.1151379879743</c:v>
                </c:pt>
                <c:pt idx="1063">
                  <c:v>2320.9330522219216</c:v>
                </c:pt>
                <c:pt idx="1065">
                  <c:v>2320.1150962696961</c:v>
                </c:pt>
                <c:pt idx="1066">
                  <c:v>2320.0036748858206</c:v>
                </c:pt>
                <c:pt idx="1068">
                  <c:v>2319.6845414598379</c:v>
                </c:pt>
                <c:pt idx="1069">
                  <c:v>2319.5247386591477</c:v>
                </c:pt>
                <c:pt idx="1070">
                  <c:v>2319.3515093179949</c:v>
                </c:pt>
                <c:pt idx="1071">
                  <c:v>2319.0739659365136</c:v>
                </c:pt>
                <c:pt idx="1073">
                  <c:v>2318.7728312169888</c:v>
                </c:pt>
                <c:pt idx="1074">
                  <c:v>2318.3325624877566</c:v>
                </c:pt>
                <c:pt idx="1075">
                  <c:v>2317.9091161743004</c:v>
                </c:pt>
                <c:pt idx="1076">
                  <c:v>2317.7817901155872</c:v>
                </c:pt>
                <c:pt idx="1077">
                  <c:v>2317.5894844475843</c:v>
                </c:pt>
                <c:pt idx="1080">
                  <c:v>2316.4846141408411</c:v>
                </c:pt>
                <c:pt idx="1081">
                  <c:v>2316.169666839839</c:v>
                </c:pt>
                <c:pt idx="1082">
                  <c:v>2315.9862106181017</c:v>
                </c:pt>
                <c:pt idx="1087">
                  <c:v>2314.8914420083811</c:v>
                </c:pt>
                <c:pt idx="1090">
                  <c:v>2314.5683561472624</c:v>
                </c:pt>
                <c:pt idx="1091">
                  <c:v>2314.3696201031698</c:v>
                </c:pt>
                <c:pt idx="1092">
                  <c:v>2314.0134805169318</c:v>
                </c:pt>
                <c:pt idx="1093">
                  <c:v>2313.8523165248157</c:v>
                </c:pt>
                <c:pt idx="1096">
                  <c:v>2312.7114251876019</c:v>
                </c:pt>
                <c:pt idx="1097">
                  <c:v>2312.1526279695554</c:v>
                </c:pt>
                <c:pt idx="1098">
                  <c:v>2311.9997410560291</c:v>
                </c:pt>
                <c:pt idx="1100">
                  <c:v>2311.7212822378201</c:v>
                </c:pt>
                <c:pt idx="1103">
                  <c:v>2310.9568008223309</c:v>
                </c:pt>
                <c:pt idx="1105">
                  <c:v>2310.658838154523</c:v>
                </c:pt>
                <c:pt idx="1107">
                  <c:v>2310.0988976439071</c:v>
                </c:pt>
                <c:pt idx="1108">
                  <c:v>2309.9404127771127</c:v>
                </c:pt>
                <c:pt idx="1109">
                  <c:v>2309.8086254259574</c:v>
                </c:pt>
                <c:pt idx="1110">
                  <c:v>2309.8059578210955</c:v>
                </c:pt>
                <c:pt idx="1113">
                  <c:v>2309.3765537774125</c:v>
                </c:pt>
                <c:pt idx="1114">
                  <c:v>2309.1200543843952</c:v>
                </c:pt>
                <c:pt idx="1119">
                  <c:v>2308.4771899368861</c:v>
                </c:pt>
                <c:pt idx="1120">
                  <c:v>2308.2970815276676</c:v>
                </c:pt>
                <c:pt idx="1121">
                  <c:v>2308.0940936102957</c:v>
                </c:pt>
                <c:pt idx="1122">
                  <c:v>2307.9822257672831</c:v>
                </c:pt>
                <c:pt idx="1123">
                  <c:v>2307.8709013943694</c:v>
                </c:pt>
                <c:pt idx="1125">
                  <c:v>2307.6445572010857</c:v>
                </c:pt>
                <c:pt idx="1126">
                  <c:v>2307.3037932305097</c:v>
                </c:pt>
                <c:pt idx="1129">
                  <c:v>2305.8284887876785</c:v>
                </c:pt>
                <c:pt idx="1130">
                  <c:v>2305.7535237101788</c:v>
                </c:pt>
                <c:pt idx="1131">
                  <c:v>2305.1173143354781</c:v>
                </c:pt>
                <c:pt idx="1132">
                  <c:v>2304.9095726351916</c:v>
                </c:pt>
                <c:pt idx="1133">
                  <c:v>2304.5759891297762</c:v>
                </c:pt>
                <c:pt idx="1134">
                  <c:v>2304.4713657910438</c:v>
                </c:pt>
                <c:pt idx="1135">
                  <c:v>2304.372062069644</c:v>
                </c:pt>
                <c:pt idx="1136">
                  <c:v>2304.290819935803</c:v>
                </c:pt>
                <c:pt idx="1137">
                  <c:v>2304.2170166887527</c:v>
                </c:pt>
                <c:pt idx="1138">
                  <c:v>2304.1548981955243</c:v>
                </c:pt>
                <c:pt idx="1139">
                  <c:v>2303.7758886815495</c:v>
                </c:pt>
                <c:pt idx="1140">
                  <c:v>2303.7466984430125</c:v>
                </c:pt>
                <c:pt idx="1142">
                  <c:v>2303.6071262547175</c:v>
                </c:pt>
                <c:pt idx="1143">
                  <c:v>2303.3030978735678</c:v>
                </c:pt>
                <c:pt idx="1147">
                  <c:v>2301.7936957553543</c:v>
                </c:pt>
                <c:pt idx="1148">
                  <c:v>2301.3365472265327</c:v>
                </c:pt>
                <c:pt idx="1149">
                  <c:v>2301.0447663657214</c:v>
                </c:pt>
                <c:pt idx="1154">
                  <c:v>2299.646728269603</c:v>
                </c:pt>
                <c:pt idx="1156">
                  <c:v>2299.2887610075582</c:v>
                </c:pt>
                <c:pt idx="1158">
                  <c:v>2299.0609255743398</c:v>
                </c:pt>
                <c:pt idx="1159">
                  <c:v>2298.6270530474853</c:v>
                </c:pt>
                <c:pt idx="1160">
                  <c:v>2298.5219124989485</c:v>
                </c:pt>
                <c:pt idx="1161">
                  <c:v>2298.3074344729566</c:v>
                </c:pt>
                <c:pt idx="1162">
                  <c:v>2298.229788505404</c:v>
                </c:pt>
                <c:pt idx="1165">
                  <c:v>2297.2446158903626</c:v>
                </c:pt>
                <c:pt idx="1166">
                  <c:v>2296.5629867995854</c:v>
                </c:pt>
                <c:pt idx="1167">
                  <c:v>2296.0720635993594</c:v>
                </c:pt>
                <c:pt idx="1168">
                  <c:v>2295.6466963004045</c:v>
                </c:pt>
                <c:pt idx="1169">
                  <c:v>2295.6424803131436</c:v>
                </c:pt>
                <c:pt idx="1170">
                  <c:v>2295.5650143036655</c:v>
                </c:pt>
                <c:pt idx="1172">
                  <c:v>2295.3105199360339</c:v>
                </c:pt>
                <c:pt idx="1173">
                  <c:v>2295.2199061668198</c:v>
                </c:pt>
                <c:pt idx="1176">
                  <c:v>2294.7711573884862</c:v>
                </c:pt>
                <c:pt idx="1177">
                  <c:v>2294.2873163537724</c:v>
                </c:pt>
                <c:pt idx="1178">
                  <c:v>2294.1846777370251</c:v>
                </c:pt>
                <c:pt idx="1179">
                  <c:v>2294.0499455966055</c:v>
                </c:pt>
                <c:pt idx="1181">
                  <c:v>2293.6169100117754</c:v>
                </c:pt>
                <c:pt idx="1182">
                  <c:v>2293.2687059635073</c:v>
                </c:pt>
                <c:pt idx="1183">
                  <c:v>2293.2134869388883</c:v>
                </c:pt>
                <c:pt idx="1184">
                  <c:v>2292.7718304550258</c:v>
                </c:pt>
                <c:pt idx="1186">
                  <c:v>2291.9730748171064</c:v>
                </c:pt>
                <c:pt idx="1187">
                  <c:v>2291.9074124411154</c:v>
                </c:pt>
                <c:pt idx="1188">
                  <c:v>2291.4342293070308</c:v>
                </c:pt>
                <c:pt idx="1190">
                  <c:v>2290.9481203343412</c:v>
                </c:pt>
                <c:pt idx="1192">
                  <c:v>2290.62171367366</c:v>
                </c:pt>
                <c:pt idx="1193">
                  <c:v>2289.9487280479789</c:v>
                </c:pt>
                <c:pt idx="1195">
                  <c:v>2289.1330732572942</c:v>
                </c:pt>
                <c:pt idx="1196">
                  <c:v>2289.1304531951796</c:v>
                </c:pt>
                <c:pt idx="1197">
                  <c:v>2288.8401874560109</c:v>
                </c:pt>
                <c:pt idx="1199">
                  <c:v>2288.3185229544661</c:v>
                </c:pt>
                <c:pt idx="1200">
                  <c:v>2288.2117053469792</c:v>
                </c:pt>
                <c:pt idx="1202">
                  <c:v>2287.9373764084826</c:v>
                </c:pt>
                <c:pt idx="1203">
                  <c:v>2287.5521704866878</c:v>
                </c:pt>
                <c:pt idx="1204">
                  <c:v>2287.3512449709719</c:v>
                </c:pt>
                <c:pt idx="1205">
                  <c:v>2287.2345778634121</c:v>
                </c:pt>
                <c:pt idx="1206">
                  <c:v>2286.8360114469865</c:v>
                </c:pt>
                <c:pt idx="1207">
                  <c:v>2286.38582989518</c:v>
                </c:pt>
                <c:pt idx="1209">
                  <c:v>2286.0570636419998</c:v>
                </c:pt>
                <c:pt idx="1210">
                  <c:v>2285.645324529637</c:v>
                </c:pt>
                <c:pt idx="1211">
                  <c:v>2285.3246052216014</c:v>
                </c:pt>
                <c:pt idx="1212">
                  <c:v>2284.78679283564</c:v>
                </c:pt>
                <c:pt idx="1213">
                  <c:v>2282.2463146286514</c:v>
                </c:pt>
                <c:pt idx="1214">
                  <c:v>2282.0062212053604</c:v>
                </c:pt>
                <c:pt idx="1215">
                  <c:v>2281.6204068129186</c:v>
                </c:pt>
                <c:pt idx="1216">
                  <c:v>2281.3013364091357</c:v>
                </c:pt>
                <c:pt idx="1219">
                  <c:v>2280.2775827507035</c:v>
                </c:pt>
                <c:pt idx="1221">
                  <c:v>2279.9375753091881</c:v>
                </c:pt>
                <c:pt idx="1222">
                  <c:v>2279.8538887239793</c:v>
                </c:pt>
                <c:pt idx="1223">
                  <c:v>2279.4355479341366</c:v>
                </c:pt>
                <c:pt idx="1224">
                  <c:v>2279.2370846460785</c:v>
                </c:pt>
                <c:pt idx="1225">
                  <c:v>2279.0142442948295</c:v>
                </c:pt>
                <c:pt idx="1227">
                  <c:v>2278.6346330133597</c:v>
                </c:pt>
                <c:pt idx="1228">
                  <c:v>2278.2961534386895</c:v>
                </c:pt>
                <c:pt idx="1229">
                  <c:v>2278.2971915658354</c:v>
                </c:pt>
                <c:pt idx="1230">
                  <c:v>2278.0999643932973</c:v>
                </c:pt>
                <c:pt idx="1231">
                  <c:v>2277.7154696057096</c:v>
                </c:pt>
                <c:pt idx="1232">
                  <c:v>2277.618458366615</c:v>
                </c:pt>
                <c:pt idx="1234">
                  <c:v>2276.8691046166709</c:v>
                </c:pt>
                <c:pt idx="1237">
                  <c:v>2275.6582170718511</c:v>
                </c:pt>
                <c:pt idx="1238">
                  <c:v>2274.9743269147211</c:v>
                </c:pt>
                <c:pt idx="1239">
                  <c:v>2274.5277682310798</c:v>
                </c:pt>
                <c:pt idx="1240">
                  <c:v>2274.2551586929767</c:v>
                </c:pt>
                <c:pt idx="1242">
                  <c:v>2273.8931597655528</c:v>
                </c:pt>
                <c:pt idx="1243">
                  <c:v>2273.830080316226</c:v>
                </c:pt>
                <c:pt idx="1244">
                  <c:v>2273.3431420512102</c:v>
                </c:pt>
                <c:pt idx="1245">
                  <c:v>2272.7649799644405</c:v>
                </c:pt>
                <c:pt idx="1246">
                  <c:v>2272.7639468727789</c:v>
                </c:pt>
                <c:pt idx="1247">
                  <c:v>2272.6751045032829</c:v>
                </c:pt>
                <c:pt idx="1250">
                  <c:v>2271.6157298485541</c:v>
                </c:pt>
                <c:pt idx="1251">
                  <c:v>2271.3758041238193</c:v>
                </c:pt>
                <c:pt idx="1252">
                  <c:v>2271.316475471031</c:v>
                </c:pt>
                <c:pt idx="1253">
                  <c:v>2271.1668778473336</c:v>
                </c:pt>
                <c:pt idx="1256">
                  <c:v>2268.9479274181708</c:v>
                </c:pt>
                <c:pt idx="1259">
                  <c:v>2268.4002991566313</c:v>
                </c:pt>
                <c:pt idx="1264">
                  <c:v>2267.3490177957424</c:v>
                </c:pt>
                <c:pt idx="1265">
                  <c:v>2267.0308425012063</c:v>
                </c:pt>
                <c:pt idx="1266">
                  <c:v>2266.8386441584698</c:v>
                </c:pt>
                <c:pt idx="1267">
                  <c:v>2266.7507782322109</c:v>
                </c:pt>
                <c:pt idx="1269">
                  <c:v>2265.919728887236</c:v>
                </c:pt>
                <c:pt idx="1271">
                  <c:v>2265.1929321450129</c:v>
                </c:pt>
                <c:pt idx="1273">
                  <c:v>2264.1553862671731</c:v>
                </c:pt>
                <c:pt idx="1274">
                  <c:v>2263.5972589648072</c:v>
                </c:pt>
                <c:pt idx="1277">
                  <c:v>2262.2289877950489</c:v>
                </c:pt>
                <c:pt idx="1279">
                  <c:v>2261.8278328319238</c:v>
                </c:pt>
                <c:pt idx="1281">
                  <c:v>2261.4774503560475</c:v>
                </c:pt>
                <c:pt idx="1285">
                  <c:v>2260.2925813128954</c:v>
                </c:pt>
                <c:pt idx="1286">
                  <c:v>2260.1137831682995</c:v>
                </c:pt>
                <c:pt idx="1287">
                  <c:v>2260.0376748280391</c:v>
                </c:pt>
                <c:pt idx="1289">
                  <c:v>2258.2477984342213</c:v>
                </c:pt>
                <c:pt idx="1290">
                  <c:v>2258.1305118143132</c:v>
                </c:pt>
                <c:pt idx="1291">
                  <c:v>2258.0372011628892</c:v>
                </c:pt>
                <c:pt idx="1293">
                  <c:v>2257.4255190667805</c:v>
                </c:pt>
                <c:pt idx="1294">
                  <c:v>2257.3210565165473</c:v>
                </c:pt>
                <c:pt idx="1295">
                  <c:v>2257.260421714936</c:v>
                </c:pt>
                <c:pt idx="1299">
                  <c:v>2256.4638098180094</c:v>
                </c:pt>
                <c:pt idx="1300">
                  <c:v>2256.4098398422861</c:v>
                </c:pt>
                <c:pt idx="1301">
                  <c:v>2256.1110151010535</c:v>
                </c:pt>
                <c:pt idx="1302">
                  <c:v>2255.7695253206748</c:v>
                </c:pt>
                <c:pt idx="1303">
                  <c:v>2255.7374682504951</c:v>
                </c:pt>
                <c:pt idx="1304">
                  <c:v>2255.1900944834442</c:v>
                </c:pt>
                <c:pt idx="1305">
                  <c:v>2255.0604119409054</c:v>
                </c:pt>
                <c:pt idx="1306">
                  <c:v>2254.9627784568975</c:v>
                </c:pt>
                <c:pt idx="1307">
                  <c:v>2254.4793122214874</c:v>
                </c:pt>
                <c:pt idx="1308">
                  <c:v>2254.1215485454377</c:v>
                </c:pt>
                <c:pt idx="1310">
                  <c:v>2253.8324730830423</c:v>
                </c:pt>
                <c:pt idx="1311">
                  <c:v>2253.7212318119059</c:v>
                </c:pt>
                <c:pt idx="1312">
                  <c:v>2253.5587072325256</c:v>
                </c:pt>
                <c:pt idx="1313">
                  <c:v>2253.0464003640923</c:v>
                </c:pt>
                <c:pt idx="1314">
                  <c:v>2252.8991996575592</c:v>
                </c:pt>
                <c:pt idx="1315">
                  <c:v>2252.248194147398</c:v>
                </c:pt>
                <c:pt idx="1316">
                  <c:v>2252.1437029836852</c:v>
                </c:pt>
                <c:pt idx="1317">
                  <c:v>2250.8069705691237</c:v>
                </c:pt>
                <c:pt idx="1318">
                  <c:v>2250.4463197663677</c:v>
                </c:pt>
                <c:pt idx="1319">
                  <c:v>2250.368835452131</c:v>
                </c:pt>
                <c:pt idx="1320">
                  <c:v>2249.8448169537505</c:v>
                </c:pt>
                <c:pt idx="1321">
                  <c:v>2249.7167606598327</c:v>
                </c:pt>
                <c:pt idx="1323">
                  <c:v>2249.5269807141308</c:v>
                </c:pt>
                <c:pt idx="1324">
                  <c:v>2249.3741678721435</c:v>
                </c:pt>
                <c:pt idx="1325">
                  <c:v>2248.4031278884954</c:v>
                </c:pt>
                <c:pt idx="1326">
                  <c:v>2247.8390960809602</c:v>
                </c:pt>
                <c:pt idx="1328">
                  <c:v>2247.5617326543297</c:v>
                </c:pt>
                <c:pt idx="1330">
                  <c:v>2247.427874982779</c:v>
                </c:pt>
                <c:pt idx="1331">
                  <c:v>2246.7881040658326</c:v>
                </c:pt>
                <c:pt idx="1333">
                  <c:v>2246.4564956851191</c:v>
                </c:pt>
                <c:pt idx="1335">
                  <c:v>2246.3172190772534</c:v>
                </c:pt>
                <c:pt idx="1336">
                  <c:v>2245.8873871638102</c:v>
                </c:pt>
                <c:pt idx="1337">
                  <c:v>2245.7476767740286</c:v>
                </c:pt>
                <c:pt idx="1338">
                  <c:v>2245.6790888651149</c:v>
                </c:pt>
                <c:pt idx="1339">
                  <c:v>2245.4395683726243</c:v>
                </c:pt>
                <c:pt idx="1340">
                  <c:v>2245.1496908653389</c:v>
                </c:pt>
                <c:pt idx="1341">
                  <c:v>2245.0972688391726</c:v>
                </c:pt>
                <c:pt idx="1342">
                  <c:v>2244.1243774518462</c:v>
                </c:pt>
                <c:pt idx="1347">
                  <c:v>2242.8469443116805</c:v>
                </c:pt>
                <c:pt idx="1348">
                  <c:v>2242.683972412296</c:v>
                </c:pt>
                <c:pt idx="1349">
                  <c:v>2242.6377007581241</c:v>
                </c:pt>
                <c:pt idx="1352">
                  <c:v>2242.1424119174353</c:v>
                </c:pt>
                <c:pt idx="1354">
                  <c:v>2241.9242525536638</c:v>
                </c:pt>
                <c:pt idx="1356">
                  <c:v>2241.4574135419443</c:v>
                </c:pt>
                <c:pt idx="1359">
                  <c:v>2240.108242030255</c:v>
                </c:pt>
                <c:pt idx="1360">
                  <c:v>2239.993835536965</c:v>
                </c:pt>
                <c:pt idx="1362">
                  <c:v>2239.7495064152031</c:v>
                </c:pt>
                <c:pt idx="1365">
                  <c:v>2239.2549909075051</c:v>
                </c:pt>
                <c:pt idx="1367">
                  <c:v>2238.6714827952496</c:v>
                </c:pt>
                <c:pt idx="1368">
                  <c:v>2238.2560940998669</c:v>
                </c:pt>
                <c:pt idx="1371">
                  <c:v>2237.9555470413779</c:v>
                </c:pt>
                <c:pt idx="1374">
                  <c:v>2237.1559841349845</c:v>
                </c:pt>
                <c:pt idx="1378">
                  <c:v>2235.7175099383235</c:v>
                </c:pt>
                <c:pt idx="1381">
                  <c:v>2234.525519733877</c:v>
                </c:pt>
                <c:pt idx="1382">
                  <c:v>2233.9309992328676</c:v>
                </c:pt>
                <c:pt idx="1383">
                  <c:v>2233.2106109662254</c:v>
                </c:pt>
                <c:pt idx="1385">
                  <c:v>2232.5993439730087</c:v>
                </c:pt>
                <c:pt idx="1386">
                  <c:v>2232.1981638384345</c:v>
                </c:pt>
                <c:pt idx="1391">
                  <c:v>2231.044764797683</c:v>
                </c:pt>
                <c:pt idx="1394">
                  <c:v>2230.1073863609754</c:v>
                </c:pt>
                <c:pt idx="1395">
                  <c:v>2230.0516859079244</c:v>
                </c:pt>
                <c:pt idx="1396">
                  <c:v>2229.3884675963959</c:v>
                </c:pt>
                <c:pt idx="1397">
                  <c:v>2229.3432399402004</c:v>
                </c:pt>
                <c:pt idx="1398">
                  <c:v>2229.0530314006705</c:v>
                </c:pt>
                <c:pt idx="1399">
                  <c:v>2228.6064367948275</c:v>
                </c:pt>
                <c:pt idx="1400">
                  <c:v>2228.2707393513733</c:v>
                </c:pt>
                <c:pt idx="1401">
                  <c:v>2227.8929524171081</c:v>
                </c:pt>
                <c:pt idx="1402">
                  <c:v>2227.4577378874747</c:v>
                </c:pt>
                <c:pt idx="1403">
                  <c:v>2227.2587967813442</c:v>
                </c:pt>
                <c:pt idx="1404">
                  <c:v>2226.8873036915329</c:v>
                </c:pt>
                <c:pt idx="1405">
                  <c:v>2226.8481280669266</c:v>
                </c:pt>
                <c:pt idx="1406">
                  <c:v>2226.8506074959801</c:v>
                </c:pt>
                <c:pt idx="1408">
                  <c:v>2226.6944142479942</c:v>
                </c:pt>
                <c:pt idx="1409">
                  <c:v>2226.4346365545834</c:v>
                </c:pt>
                <c:pt idx="1411">
                  <c:v>2226.295353254076</c:v>
                </c:pt>
                <c:pt idx="1412">
                  <c:v>2225.8488719843085</c:v>
                </c:pt>
                <c:pt idx="1413">
                  <c:v>2225.6016747207482</c:v>
                </c:pt>
                <c:pt idx="1414">
                  <c:v>2225.5709646670584</c:v>
                </c:pt>
                <c:pt idx="1416">
                  <c:v>2224.9366449290355</c:v>
                </c:pt>
                <c:pt idx="1417">
                  <c:v>2224.3432570924856</c:v>
                </c:pt>
                <c:pt idx="1418">
                  <c:v>2224.1943412047572</c:v>
                </c:pt>
                <c:pt idx="1420">
                  <c:v>2223.9237710096854</c:v>
                </c:pt>
                <c:pt idx="1421">
                  <c:v>2223.7917250041369</c:v>
                </c:pt>
                <c:pt idx="1424">
                  <c:v>2223.1979591042737</c:v>
                </c:pt>
                <c:pt idx="1425">
                  <c:v>2222.9770464282092</c:v>
                </c:pt>
                <c:pt idx="1426">
                  <c:v>2222.1313617398755</c:v>
                </c:pt>
                <c:pt idx="1427">
                  <c:v>2221.7521982016247</c:v>
                </c:pt>
                <c:pt idx="1430">
                  <c:v>2219.2114919647897</c:v>
                </c:pt>
                <c:pt idx="1432">
                  <c:v>2218.1127985773915</c:v>
                </c:pt>
                <c:pt idx="1435">
                  <c:v>2217.8107502166245</c:v>
                </c:pt>
                <c:pt idx="1436">
                  <c:v>2217.8156689120569</c:v>
                </c:pt>
                <c:pt idx="1439">
                  <c:v>2217.1995262288051</c:v>
                </c:pt>
                <c:pt idx="1441">
                  <c:v>2216.4270044146792</c:v>
                </c:pt>
                <c:pt idx="1443">
                  <c:v>2215.9368404817978</c:v>
                </c:pt>
                <c:pt idx="1446">
                  <c:v>2215.2078895072023</c:v>
                </c:pt>
                <c:pt idx="1447">
                  <c:v>2215.1367381757109</c:v>
                </c:pt>
                <c:pt idx="1448">
                  <c:v>2215.06657271831</c:v>
                </c:pt>
                <c:pt idx="1450">
                  <c:v>2214.8497257683816</c:v>
                </c:pt>
                <c:pt idx="1451">
                  <c:v>2214.7653533624893</c:v>
                </c:pt>
                <c:pt idx="1453">
                  <c:v>2214.3779114917575</c:v>
                </c:pt>
                <c:pt idx="1454">
                  <c:v>2213.9205122834951</c:v>
                </c:pt>
                <c:pt idx="1455">
                  <c:v>2213.9185517076176</c:v>
                </c:pt>
                <c:pt idx="1457">
                  <c:v>2212.2998117554089</c:v>
                </c:pt>
                <c:pt idx="1458">
                  <c:v>2212.0252772552481</c:v>
                </c:pt>
                <c:pt idx="1460">
                  <c:v>2209.6268581028457</c:v>
                </c:pt>
                <c:pt idx="1461">
                  <c:v>2209.3442003610066</c:v>
                </c:pt>
                <c:pt idx="1463">
                  <c:v>2209.1611704577717</c:v>
                </c:pt>
                <c:pt idx="1465">
                  <c:v>2207.8301136546788</c:v>
                </c:pt>
                <c:pt idx="1466">
                  <c:v>2207.787706199093</c:v>
                </c:pt>
                <c:pt idx="1469">
                  <c:v>2207.2014804141772</c:v>
                </c:pt>
                <c:pt idx="1470">
                  <c:v>2206.9491532156794</c:v>
                </c:pt>
                <c:pt idx="1471">
                  <c:v>2206.804992145981</c:v>
                </c:pt>
                <c:pt idx="1473">
                  <c:v>2206.6360164923981</c:v>
                </c:pt>
                <c:pt idx="1474">
                  <c:v>2206.6433203803372</c:v>
                </c:pt>
                <c:pt idx="1476">
                  <c:v>2206.1667213428318</c:v>
                </c:pt>
                <c:pt idx="1477">
                  <c:v>2205.9545330711194</c:v>
                </c:pt>
                <c:pt idx="1479">
                  <c:v>2205.0458947227298</c:v>
                </c:pt>
                <c:pt idx="1480">
                  <c:v>2204.9836599685877</c:v>
                </c:pt>
                <c:pt idx="1481">
                  <c:v>2204.3663648080847</c:v>
                </c:pt>
                <c:pt idx="1483">
                  <c:v>2203.3051339653584</c:v>
                </c:pt>
                <c:pt idx="1484">
                  <c:v>2203.3104739871656</c:v>
                </c:pt>
                <c:pt idx="1485">
                  <c:v>2202.3176750748953</c:v>
                </c:pt>
                <c:pt idx="1486">
                  <c:v>2200.3047422067957</c:v>
                </c:pt>
                <c:pt idx="1487">
                  <c:v>2198.4593197087484</c:v>
                </c:pt>
                <c:pt idx="1489">
                  <c:v>2197.9422864314424</c:v>
                </c:pt>
                <c:pt idx="1490">
                  <c:v>2197.9418033365196</c:v>
                </c:pt>
                <c:pt idx="1491">
                  <c:v>2197.4655750536676</c:v>
                </c:pt>
                <c:pt idx="1492">
                  <c:v>2197.1256762478192</c:v>
                </c:pt>
                <c:pt idx="1493">
                  <c:v>2196.354534670445</c:v>
                </c:pt>
                <c:pt idx="1496">
                  <c:v>2195.0899350297282</c:v>
                </c:pt>
                <c:pt idx="1497">
                  <c:v>2195.0571702639991</c:v>
                </c:pt>
                <c:pt idx="1498">
                  <c:v>2195.0051341170088</c:v>
                </c:pt>
                <c:pt idx="1499">
                  <c:v>2194.9188944544712</c:v>
                </c:pt>
                <c:pt idx="1500">
                  <c:v>2194.6423950922531</c:v>
                </c:pt>
                <c:pt idx="1502">
                  <c:v>2194.1675953481013</c:v>
                </c:pt>
                <c:pt idx="1503">
                  <c:v>2192.9151297986459</c:v>
                </c:pt>
                <c:pt idx="1506">
                  <c:v>2191.6919533125783</c:v>
                </c:pt>
                <c:pt idx="1507">
                  <c:v>2191.580997765464</c:v>
                </c:pt>
                <c:pt idx="1508">
                  <c:v>2191.0019057334575</c:v>
                </c:pt>
                <c:pt idx="1510">
                  <c:v>2188.3739134449975</c:v>
                </c:pt>
                <c:pt idx="1511">
                  <c:v>2187.9358094640475</c:v>
                </c:pt>
                <c:pt idx="1512">
                  <c:v>2187.930065003402</c:v>
                </c:pt>
                <c:pt idx="1514">
                  <c:v>2185.5874061208251</c:v>
                </c:pt>
                <c:pt idx="1517">
                  <c:v>2181.9035537535942</c:v>
                </c:pt>
                <c:pt idx="1518">
                  <c:v>2181.8459507666462</c:v>
                </c:pt>
                <c:pt idx="1522">
                  <c:v>2178.2031566520145</c:v>
                </c:pt>
                <c:pt idx="1523">
                  <c:v>2177.3617952260906</c:v>
                </c:pt>
                <c:pt idx="1526">
                  <c:v>2175.5044722933189</c:v>
                </c:pt>
                <c:pt idx="1531">
                  <c:v>2171.8573332980041</c:v>
                </c:pt>
                <c:pt idx="1532">
                  <c:v>2171.3649938615513</c:v>
                </c:pt>
                <c:pt idx="1533">
                  <c:v>2169.7819672892347</c:v>
                </c:pt>
                <c:pt idx="1538">
                  <c:v>2164.2079821184484</c:v>
                </c:pt>
                <c:pt idx="1539">
                  <c:v>2163.4944069342591</c:v>
                </c:pt>
                <c:pt idx="1540">
                  <c:v>2163.2912832773691</c:v>
                </c:pt>
                <c:pt idx="1542">
                  <c:v>2156.2449597774066</c:v>
                </c:pt>
                <c:pt idx="1543">
                  <c:v>2155.6095751315083</c:v>
                </c:pt>
                <c:pt idx="1544">
                  <c:v>2152.9684051886543</c:v>
                </c:pt>
                <c:pt idx="1545">
                  <c:v>2150.672687403166</c:v>
                </c:pt>
                <c:pt idx="1546">
                  <c:v>2148.8818400789241</c:v>
                </c:pt>
                <c:pt idx="1547">
                  <c:v>2148.8176560611059</c:v>
                </c:pt>
                <c:pt idx="1548">
                  <c:v>2147.8387479990201</c:v>
                </c:pt>
                <c:pt idx="1549">
                  <c:v>2147.6593090722286</c:v>
                </c:pt>
                <c:pt idx="1550">
                  <c:v>2145.9126158631871</c:v>
                </c:pt>
                <c:pt idx="1552">
                  <c:v>2143.545527192161</c:v>
                </c:pt>
                <c:pt idx="1553">
                  <c:v>2143.2450702148521</c:v>
                </c:pt>
                <c:pt idx="1554">
                  <c:v>2142.6040094977348</c:v>
                </c:pt>
                <c:pt idx="1555">
                  <c:v>2142.2134077281203</c:v>
                </c:pt>
                <c:pt idx="1556">
                  <c:v>2141.2868148765474</c:v>
                </c:pt>
                <c:pt idx="1557">
                  <c:v>2141.157064148209</c:v>
                </c:pt>
                <c:pt idx="1558">
                  <c:v>2140.6249297607446</c:v>
                </c:pt>
                <c:pt idx="1560">
                  <c:v>2137.3609192532831</c:v>
                </c:pt>
                <c:pt idx="1561">
                  <c:v>2137.2841743724662</c:v>
                </c:pt>
                <c:pt idx="1562">
                  <c:v>2136.8334094758306</c:v>
                </c:pt>
                <c:pt idx="1563">
                  <c:v>2136.6156307535052</c:v>
                </c:pt>
                <c:pt idx="1564">
                  <c:v>2131.3163691917366</c:v>
                </c:pt>
                <c:pt idx="1565">
                  <c:v>2131.3195489531063</c:v>
                </c:pt>
                <c:pt idx="1566">
                  <c:v>2131.0738267905813</c:v>
                </c:pt>
                <c:pt idx="1567">
                  <c:v>2126.1590490285898</c:v>
                </c:pt>
                <c:pt idx="1568">
                  <c:v>2125.5412690841722</c:v>
                </c:pt>
                <c:pt idx="1569">
                  <c:v>2123.0403806526483</c:v>
                </c:pt>
                <c:pt idx="1570">
                  <c:v>2122.9389712365123</c:v>
                </c:pt>
                <c:pt idx="1571">
                  <c:v>2117.1844664716314</c:v>
                </c:pt>
                <c:pt idx="1575">
                  <c:v>2112.0091373963323</c:v>
                </c:pt>
                <c:pt idx="1576">
                  <c:v>2110.5902877810963</c:v>
                </c:pt>
              </c:numCache>
            </c:numRef>
          </c:xVal>
          <c:yVal>
            <c:numRef>
              <c:f>'Table 1'!$AT$2756:$AT$4332</c:f>
              <c:numCache>
                <c:formatCode>0.00</c:formatCode>
                <c:ptCount val="1577"/>
                <c:pt idx="0">
                  <c:v>-0.11711634076463558</c:v>
                </c:pt>
                <c:pt idx="2">
                  <c:v>9.3124449242789342E-3</c:v>
                </c:pt>
                <c:pt idx="3">
                  <c:v>0.19536375499997433</c:v>
                </c:pt>
                <c:pt idx="4">
                  <c:v>0.23550113587922306</c:v>
                </c:pt>
                <c:pt idx="5">
                  <c:v>-0.36631285719329099</c:v>
                </c:pt>
                <c:pt idx="8">
                  <c:v>-0.56310258280774317</c:v>
                </c:pt>
                <c:pt idx="12">
                  <c:v>0.36502235318430803</c:v>
                </c:pt>
                <c:pt idx="17">
                  <c:v>-0.35793771412508524</c:v>
                </c:pt>
                <c:pt idx="21">
                  <c:v>4.4991093062080913E-2</c:v>
                </c:pt>
                <c:pt idx="23">
                  <c:v>0.71285128707894196</c:v>
                </c:pt>
                <c:pt idx="24">
                  <c:v>-0.1051088610611404</c:v>
                </c:pt>
                <c:pt idx="27">
                  <c:v>0.94910071897520421</c:v>
                </c:pt>
                <c:pt idx="28">
                  <c:v>-0.55324777335871134</c:v>
                </c:pt>
                <c:pt idx="31">
                  <c:v>-0.11241595190127132</c:v>
                </c:pt>
                <c:pt idx="33">
                  <c:v>0.65033927034642103</c:v>
                </c:pt>
                <c:pt idx="34">
                  <c:v>0.18936497448599163</c:v>
                </c:pt>
                <c:pt idx="36">
                  <c:v>0.72537493879707826</c:v>
                </c:pt>
                <c:pt idx="40">
                  <c:v>-3.4674222264719667E-2</c:v>
                </c:pt>
                <c:pt idx="41">
                  <c:v>0.57647173358591974</c:v>
                </c:pt>
                <c:pt idx="44">
                  <c:v>0.79357154330386903</c:v>
                </c:pt>
                <c:pt idx="45">
                  <c:v>-0.42205972349921111</c:v>
                </c:pt>
                <c:pt idx="48">
                  <c:v>0.11557428265260461</c:v>
                </c:pt>
                <c:pt idx="50">
                  <c:v>0.55452311759517015</c:v>
                </c:pt>
                <c:pt idx="51">
                  <c:v>-4.8782219776639428E-2</c:v>
                </c:pt>
                <c:pt idx="54">
                  <c:v>-7.2246216377771996E-2</c:v>
                </c:pt>
                <c:pt idx="55">
                  <c:v>0.43298929360470778</c:v>
                </c:pt>
                <c:pt idx="56">
                  <c:v>-0.20564371024655206</c:v>
                </c:pt>
                <c:pt idx="57">
                  <c:v>0.26678454697132437</c:v>
                </c:pt>
                <c:pt idx="61">
                  <c:v>0.87382827724341927</c:v>
                </c:pt>
                <c:pt idx="63">
                  <c:v>0.44016817268147668</c:v>
                </c:pt>
                <c:pt idx="65">
                  <c:v>0.19423448353749195</c:v>
                </c:pt>
                <c:pt idx="73">
                  <c:v>0.14166384084858849</c:v>
                </c:pt>
                <c:pt idx="75">
                  <c:v>0.1544859241784802</c:v>
                </c:pt>
                <c:pt idx="79">
                  <c:v>0.48704502286122314</c:v>
                </c:pt>
                <c:pt idx="82">
                  <c:v>-0.54836756993561886</c:v>
                </c:pt>
                <c:pt idx="89">
                  <c:v>-0.78327045772777648</c:v>
                </c:pt>
                <c:pt idx="96">
                  <c:v>0.11342289831270586</c:v>
                </c:pt>
                <c:pt idx="97">
                  <c:v>0.42519066568632202</c:v>
                </c:pt>
                <c:pt idx="99">
                  <c:v>-1.1047463425716935</c:v>
                </c:pt>
                <c:pt idx="100">
                  <c:v>-0.57344517731045552</c:v>
                </c:pt>
                <c:pt idx="101">
                  <c:v>0.14674166410096642</c:v>
                </c:pt>
                <c:pt idx="102">
                  <c:v>0.38002979524473923</c:v>
                </c:pt>
                <c:pt idx="103">
                  <c:v>1.1007216359497882</c:v>
                </c:pt>
                <c:pt idx="107">
                  <c:v>0.85605121440387888</c:v>
                </c:pt>
                <c:pt idx="108">
                  <c:v>1.1935958590005837</c:v>
                </c:pt>
                <c:pt idx="111">
                  <c:v>-0.65673457604364927</c:v>
                </c:pt>
                <c:pt idx="113">
                  <c:v>-0.36887291139359341</c:v>
                </c:pt>
                <c:pt idx="114">
                  <c:v>-0.26378641012596088</c:v>
                </c:pt>
                <c:pt idx="120">
                  <c:v>-0.1265844767064068</c:v>
                </c:pt>
                <c:pt idx="122">
                  <c:v>0.35201196032252302</c:v>
                </c:pt>
                <c:pt idx="124">
                  <c:v>-0.25558674314808782</c:v>
                </c:pt>
                <c:pt idx="137">
                  <c:v>0.71597933077312315</c:v>
                </c:pt>
                <c:pt idx="140">
                  <c:v>0.62293997626240294</c:v>
                </c:pt>
                <c:pt idx="142">
                  <c:v>-0.90357969348620848</c:v>
                </c:pt>
                <c:pt idx="143">
                  <c:v>1.1787360161827505</c:v>
                </c:pt>
                <c:pt idx="144">
                  <c:v>0.23341719838733838</c:v>
                </c:pt>
                <c:pt idx="146">
                  <c:v>0.34495865840438139</c:v>
                </c:pt>
                <c:pt idx="149">
                  <c:v>0.73527166317030579</c:v>
                </c:pt>
                <c:pt idx="150">
                  <c:v>1.0832886520837097</c:v>
                </c:pt>
                <c:pt idx="154">
                  <c:v>1.6296856673129014</c:v>
                </c:pt>
                <c:pt idx="159">
                  <c:v>0.34362833299408879</c:v>
                </c:pt>
                <c:pt idx="165">
                  <c:v>0.69175900315235139</c:v>
                </c:pt>
                <c:pt idx="168">
                  <c:v>1.0609994556007898</c:v>
                </c:pt>
                <c:pt idx="170">
                  <c:v>6.8450422853335788E-2</c:v>
                </c:pt>
                <c:pt idx="173">
                  <c:v>1.025327230059087</c:v>
                </c:pt>
                <c:pt idx="174">
                  <c:v>0.990564480720591</c:v>
                </c:pt>
                <c:pt idx="177">
                  <c:v>0.8671805005429174</c:v>
                </c:pt>
                <c:pt idx="178">
                  <c:v>1.5036769138680532</c:v>
                </c:pt>
                <c:pt idx="179">
                  <c:v>1.4365644133236506</c:v>
                </c:pt>
                <c:pt idx="182">
                  <c:v>1.2689280801326028</c:v>
                </c:pt>
                <c:pt idx="183">
                  <c:v>0.18256326815889407</c:v>
                </c:pt>
                <c:pt idx="185">
                  <c:v>1.3121329964959647</c:v>
                </c:pt>
                <c:pt idx="190">
                  <c:v>1.0623733549649803</c:v>
                </c:pt>
                <c:pt idx="197">
                  <c:v>8.3918542734468179E-2</c:v>
                </c:pt>
                <c:pt idx="200">
                  <c:v>0.86676237993642979</c:v>
                </c:pt>
                <c:pt idx="203">
                  <c:v>1.242387516602409</c:v>
                </c:pt>
                <c:pt idx="204">
                  <c:v>0.67486961502074894</c:v>
                </c:pt>
                <c:pt idx="210">
                  <c:v>-0.4569013008768753</c:v>
                </c:pt>
                <c:pt idx="211">
                  <c:v>1.2851165406769522</c:v>
                </c:pt>
                <c:pt idx="213">
                  <c:v>0.6980002040838641</c:v>
                </c:pt>
                <c:pt idx="214">
                  <c:v>0.86509836002031326</c:v>
                </c:pt>
                <c:pt idx="215">
                  <c:v>0.74181570614890779</c:v>
                </c:pt>
                <c:pt idx="216">
                  <c:v>1.416490947333243</c:v>
                </c:pt>
                <c:pt idx="218">
                  <c:v>1.5510458919011252</c:v>
                </c:pt>
                <c:pt idx="219">
                  <c:v>0.94204046138354214</c:v>
                </c:pt>
                <c:pt idx="221">
                  <c:v>1.229926467646</c:v>
                </c:pt>
                <c:pt idx="225">
                  <c:v>1.1127856326366079</c:v>
                </c:pt>
                <c:pt idx="228">
                  <c:v>0.68737257391868312</c:v>
                </c:pt>
                <c:pt idx="231">
                  <c:v>0.34274695558784174</c:v>
                </c:pt>
                <c:pt idx="232">
                  <c:v>0.79728298478347825</c:v>
                </c:pt>
                <c:pt idx="236">
                  <c:v>0.50451188658792756</c:v>
                </c:pt>
                <c:pt idx="237">
                  <c:v>1.3492097524241933</c:v>
                </c:pt>
                <c:pt idx="238">
                  <c:v>1.363010663250694</c:v>
                </c:pt>
                <c:pt idx="239">
                  <c:v>1.5214747247588656</c:v>
                </c:pt>
                <c:pt idx="241">
                  <c:v>1.2721953282851823</c:v>
                </c:pt>
                <c:pt idx="242">
                  <c:v>-0.42371317400534037</c:v>
                </c:pt>
                <c:pt idx="247">
                  <c:v>0.73185090591338942</c:v>
                </c:pt>
                <c:pt idx="249">
                  <c:v>1.6059441227537037</c:v>
                </c:pt>
                <c:pt idx="250">
                  <c:v>0.88521523575408601</c:v>
                </c:pt>
                <c:pt idx="253">
                  <c:v>1.0239994813594739</c:v>
                </c:pt>
                <c:pt idx="258">
                  <c:v>1.1347948048253811</c:v>
                </c:pt>
                <c:pt idx="259">
                  <c:v>0.75307695740895642</c:v>
                </c:pt>
                <c:pt idx="260">
                  <c:v>0.79850703587406291</c:v>
                </c:pt>
                <c:pt idx="261">
                  <c:v>0.53709550079009594</c:v>
                </c:pt>
                <c:pt idx="265">
                  <c:v>0.35140788282386282</c:v>
                </c:pt>
                <c:pt idx="266">
                  <c:v>0.87966148743547812</c:v>
                </c:pt>
                <c:pt idx="268">
                  <c:v>0.73466059934338457</c:v>
                </c:pt>
                <c:pt idx="269">
                  <c:v>1.3006461163706518</c:v>
                </c:pt>
                <c:pt idx="273">
                  <c:v>1.6949525335090374</c:v>
                </c:pt>
                <c:pt idx="275">
                  <c:v>1.351445333057786</c:v>
                </c:pt>
                <c:pt idx="277">
                  <c:v>0.36890170052399091</c:v>
                </c:pt>
                <c:pt idx="281">
                  <c:v>1.5690582516666758</c:v>
                </c:pt>
                <c:pt idx="282">
                  <c:v>1.5728408586905245</c:v>
                </c:pt>
                <c:pt idx="285">
                  <c:v>0.78901149836674556</c:v>
                </c:pt>
                <c:pt idx="288">
                  <c:v>1.3158138511084878</c:v>
                </c:pt>
                <c:pt idx="289">
                  <c:v>0.65498616537269128</c:v>
                </c:pt>
                <c:pt idx="292">
                  <c:v>1.6452824531466759</c:v>
                </c:pt>
                <c:pt idx="293">
                  <c:v>0.25155002516037889</c:v>
                </c:pt>
                <c:pt idx="296">
                  <c:v>1.075339873217829</c:v>
                </c:pt>
                <c:pt idx="297">
                  <c:v>1.0240711930767465</c:v>
                </c:pt>
                <c:pt idx="298">
                  <c:v>1.2233272635652137</c:v>
                </c:pt>
                <c:pt idx="301">
                  <c:v>1.5317424407821392</c:v>
                </c:pt>
                <c:pt idx="302">
                  <c:v>1.2621804984532023</c:v>
                </c:pt>
                <c:pt idx="303">
                  <c:v>1.4777863274042551</c:v>
                </c:pt>
                <c:pt idx="304">
                  <c:v>1.5363418275217895</c:v>
                </c:pt>
                <c:pt idx="311">
                  <c:v>0.47900622607806298</c:v>
                </c:pt>
                <c:pt idx="312">
                  <c:v>1.0111488087258953</c:v>
                </c:pt>
                <c:pt idx="313">
                  <c:v>1.1173958181753352</c:v>
                </c:pt>
                <c:pt idx="315">
                  <c:v>0.78989061596757004</c:v>
                </c:pt>
                <c:pt idx="316">
                  <c:v>1.4953810207639671</c:v>
                </c:pt>
                <c:pt idx="318">
                  <c:v>0.67282845492273902</c:v>
                </c:pt>
                <c:pt idx="320">
                  <c:v>0.63770239128416795</c:v>
                </c:pt>
                <c:pt idx="322">
                  <c:v>0.12536848394157868</c:v>
                </c:pt>
                <c:pt idx="324">
                  <c:v>0.97792078017227324</c:v>
                </c:pt>
                <c:pt idx="328">
                  <c:v>1.800800699729622</c:v>
                </c:pt>
                <c:pt idx="330">
                  <c:v>1.685807916514225</c:v>
                </c:pt>
                <c:pt idx="331">
                  <c:v>6.1954828235064208E-2</c:v>
                </c:pt>
                <c:pt idx="333">
                  <c:v>1.4626492892106016</c:v>
                </c:pt>
                <c:pt idx="334">
                  <c:v>1.196632943417838</c:v>
                </c:pt>
                <c:pt idx="335">
                  <c:v>1.3574170418385989</c:v>
                </c:pt>
                <c:pt idx="337">
                  <c:v>-0.12879842641891187</c:v>
                </c:pt>
                <c:pt idx="343">
                  <c:v>1.0799544258959124</c:v>
                </c:pt>
                <c:pt idx="347">
                  <c:v>1.9362744433565242</c:v>
                </c:pt>
                <c:pt idx="348">
                  <c:v>0.73109542958091278</c:v>
                </c:pt>
                <c:pt idx="349">
                  <c:v>0.75343419221069119</c:v>
                </c:pt>
                <c:pt idx="352">
                  <c:v>0.9018781165094798</c:v>
                </c:pt>
                <c:pt idx="353">
                  <c:v>0.3884794367444987</c:v>
                </c:pt>
                <c:pt idx="355">
                  <c:v>1.0699333480420488</c:v>
                </c:pt>
                <c:pt idx="357">
                  <c:v>1.7818233557967753</c:v>
                </c:pt>
                <c:pt idx="358">
                  <c:v>-0.2256176592391502</c:v>
                </c:pt>
                <c:pt idx="361">
                  <c:v>1.0235491899781162</c:v>
                </c:pt>
                <c:pt idx="365">
                  <c:v>2.7236219580405177</c:v>
                </c:pt>
                <c:pt idx="366">
                  <c:v>0.8745199602949757</c:v>
                </c:pt>
                <c:pt idx="367">
                  <c:v>1.628881635440333</c:v>
                </c:pt>
                <c:pt idx="372">
                  <c:v>1.9746445410093625</c:v>
                </c:pt>
                <c:pt idx="374">
                  <c:v>0.45208159275722437</c:v>
                </c:pt>
                <c:pt idx="379">
                  <c:v>0.78992137573791932</c:v>
                </c:pt>
                <c:pt idx="380">
                  <c:v>1.8909623056613121</c:v>
                </c:pt>
                <c:pt idx="382">
                  <c:v>1.2409863604999651</c:v>
                </c:pt>
                <c:pt idx="385">
                  <c:v>1.5541780840575965</c:v>
                </c:pt>
                <c:pt idx="387">
                  <c:v>1.0583796932501335</c:v>
                </c:pt>
                <c:pt idx="388">
                  <c:v>1.5305916804199453</c:v>
                </c:pt>
                <c:pt idx="390">
                  <c:v>1.1742739313558437</c:v>
                </c:pt>
                <c:pt idx="391">
                  <c:v>1.6280265718240194</c:v>
                </c:pt>
                <c:pt idx="393">
                  <c:v>1.9563453585862003</c:v>
                </c:pt>
                <c:pt idx="396">
                  <c:v>0.77138984165745283</c:v>
                </c:pt>
                <c:pt idx="397">
                  <c:v>1.5181030527733927</c:v>
                </c:pt>
                <c:pt idx="400">
                  <c:v>1.5394782689852282</c:v>
                </c:pt>
                <c:pt idx="402">
                  <c:v>0.38605599400854351</c:v>
                </c:pt>
                <c:pt idx="407">
                  <c:v>1.6632056058798674</c:v>
                </c:pt>
                <c:pt idx="408">
                  <c:v>-6.8246856933231209E-2</c:v>
                </c:pt>
                <c:pt idx="411">
                  <c:v>1.0544111488343562</c:v>
                </c:pt>
                <c:pt idx="414">
                  <c:v>1.3404156270446241</c:v>
                </c:pt>
                <c:pt idx="415">
                  <c:v>0.24580828473163854</c:v>
                </c:pt>
                <c:pt idx="419">
                  <c:v>1.4328405436053817</c:v>
                </c:pt>
                <c:pt idx="421">
                  <c:v>1.2153532853545042</c:v>
                </c:pt>
                <c:pt idx="423">
                  <c:v>2.7851512389954243</c:v>
                </c:pt>
                <c:pt idx="430">
                  <c:v>1.5235699416918491</c:v>
                </c:pt>
                <c:pt idx="436">
                  <c:v>1.8095938942225585</c:v>
                </c:pt>
                <c:pt idx="439">
                  <c:v>1.1492895538464951</c:v>
                </c:pt>
                <c:pt idx="441">
                  <c:v>1.4450840639123197</c:v>
                </c:pt>
                <c:pt idx="442">
                  <c:v>0.30437482014466216</c:v>
                </c:pt>
                <c:pt idx="445">
                  <c:v>2.6035200884933416</c:v>
                </c:pt>
                <c:pt idx="446">
                  <c:v>-0.47954386050128317</c:v>
                </c:pt>
                <c:pt idx="448">
                  <c:v>0.63944628010648019</c:v>
                </c:pt>
                <c:pt idx="450">
                  <c:v>1.2681172671116758</c:v>
                </c:pt>
                <c:pt idx="452">
                  <c:v>1.6356767283494873</c:v>
                </c:pt>
                <c:pt idx="454">
                  <c:v>2.1978477354416928</c:v>
                </c:pt>
                <c:pt idx="459">
                  <c:v>0.99314546682123539</c:v>
                </c:pt>
                <c:pt idx="461">
                  <c:v>1.6024144754479055</c:v>
                </c:pt>
                <c:pt idx="463">
                  <c:v>2.1981590959817692</c:v>
                </c:pt>
                <c:pt idx="466">
                  <c:v>0.96561479140288786</c:v>
                </c:pt>
                <c:pt idx="467">
                  <c:v>1.2459081370679734</c:v>
                </c:pt>
                <c:pt idx="469">
                  <c:v>0.59851345261908573</c:v>
                </c:pt>
                <c:pt idx="470">
                  <c:v>1.5576225287460117</c:v>
                </c:pt>
                <c:pt idx="473">
                  <c:v>0.28844842787654096</c:v>
                </c:pt>
                <c:pt idx="474">
                  <c:v>1.4898084871085331</c:v>
                </c:pt>
                <c:pt idx="475">
                  <c:v>0.76917886577499028</c:v>
                </c:pt>
                <c:pt idx="476">
                  <c:v>0.17739881304069124</c:v>
                </c:pt>
                <c:pt idx="478">
                  <c:v>0.47264823750225188</c:v>
                </c:pt>
                <c:pt idx="479">
                  <c:v>1.3845489857513193</c:v>
                </c:pt>
                <c:pt idx="480">
                  <c:v>1.129966052037382</c:v>
                </c:pt>
                <c:pt idx="481">
                  <c:v>0.7620302237963138</c:v>
                </c:pt>
                <c:pt idx="487">
                  <c:v>2.0161284571465887</c:v>
                </c:pt>
                <c:pt idx="488">
                  <c:v>1.4657552552254509</c:v>
                </c:pt>
                <c:pt idx="491">
                  <c:v>1.5607104877741671</c:v>
                </c:pt>
                <c:pt idx="493">
                  <c:v>1.5067277263174659</c:v>
                </c:pt>
                <c:pt idx="498">
                  <c:v>0.99654793215965587</c:v>
                </c:pt>
                <c:pt idx="500">
                  <c:v>1.8800552404584616</c:v>
                </c:pt>
                <c:pt idx="501">
                  <c:v>2.1810318184611757</c:v>
                </c:pt>
                <c:pt idx="503">
                  <c:v>1.6854431399522465</c:v>
                </c:pt>
                <c:pt idx="505">
                  <c:v>1.5361937473092324</c:v>
                </c:pt>
                <c:pt idx="506">
                  <c:v>1.2562140477362109</c:v>
                </c:pt>
                <c:pt idx="508">
                  <c:v>1.7287963911125275</c:v>
                </c:pt>
                <c:pt idx="510">
                  <c:v>1.2577581845554184</c:v>
                </c:pt>
                <c:pt idx="517">
                  <c:v>1.1133169388549098</c:v>
                </c:pt>
                <c:pt idx="518">
                  <c:v>1.9879468202556669</c:v>
                </c:pt>
                <c:pt idx="519">
                  <c:v>2.8426793592584492</c:v>
                </c:pt>
                <c:pt idx="521">
                  <c:v>1.2534241942766635</c:v>
                </c:pt>
                <c:pt idx="522">
                  <c:v>1.3154904336178264</c:v>
                </c:pt>
                <c:pt idx="524">
                  <c:v>1.4721972810399218</c:v>
                </c:pt>
                <c:pt idx="525">
                  <c:v>1.8306013263109864</c:v>
                </c:pt>
                <c:pt idx="529">
                  <c:v>1.1536031950878092</c:v>
                </c:pt>
                <c:pt idx="531">
                  <c:v>1.2996995094515078</c:v>
                </c:pt>
                <c:pt idx="534">
                  <c:v>0.63529925581666646</c:v>
                </c:pt>
                <c:pt idx="537">
                  <c:v>1.5173014954812893</c:v>
                </c:pt>
                <c:pt idx="542">
                  <c:v>0.37895593064358402</c:v>
                </c:pt>
                <c:pt idx="544">
                  <c:v>1.2317197317926445</c:v>
                </c:pt>
                <c:pt idx="547">
                  <c:v>0.69819735730651666</c:v>
                </c:pt>
                <c:pt idx="548">
                  <c:v>1.0430326286612022</c:v>
                </c:pt>
                <c:pt idx="549">
                  <c:v>1.1526251484379826</c:v>
                </c:pt>
                <c:pt idx="551">
                  <c:v>0.96742357060456174</c:v>
                </c:pt>
                <c:pt idx="552">
                  <c:v>0.97941139754915052</c:v>
                </c:pt>
                <c:pt idx="558">
                  <c:v>0.45096136161351458</c:v>
                </c:pt>
                <c:pt idx="561">
                  <c:v>0.26216853594556583</c:v>
                </c:pt>
                <c:pt idx="563">
                  <c:v>1.8389195089363959</c:v>
                </c:pt>
                <c:pt idx="564">
                  <c:v>1.8865657502244626</c:v>
                </c:pt>
                <c:pt idx="565">
                  <c:v>-9.1322898193922794E-2</c:v>
                </c:pt>
                <c:pt idx="569">
                  <c:v>0.37898271106821396</c:v>
                </c:pt>
                <c:pt idx="576">
                  <c:v>0.97824964059453356</c:v>
                </c:pt>
                <c:pt idx="579">
                  <c:v>0.22358696622312879</c:v>
                </c:pt>
                <c:pt idx="581">
                  <c:v>1.2702233209827507</c:v>
                </c:pt>
                <c:pt idx="582">
                  <c:v>1.4557909680282022</c:v>
                </c:pt>
                <c:pt idx="589">
                  <c:v>0.8724590971557844</c:v>
                </c:pt>
                <c:pt idx="591">
                  <c:v>0.49265585537617862</c:v>
                </c:pt>
                <c:pt idx="593">
                  <c:v>0.46557774302603139</c:v>
                </c:pt>
                <c:pt idx="594">
                  <c:v>1.0218480185659495</c:v>
                </c:pt>
                <c:pt idx="595">
                  <c:v>-0.25989297598973954</c:v>
                </c:pt>
                <c:pt idx="596">
                  <c:v>-0.14674795973565841</c:v>
                </c:pt>
                <c:pt idx="597">
                  <c:v>0.79117798310322007</c:v>
                </c:pt>
                <c:pt idx="599">
                  <c:v>0.99216464431844498</c:v>
                </c:pt>
                <c:pt idx="607">
                  <c:v>3.0901032248662621</c:v>
                </c:pt>
                <c:pt idx="608">
                  <c:v>1.2479733582210868</c:v>
                </c:pt>
                <c:pt idx="613">
                  <c:v>1.0757488283043866</c:v>
                </c:pt>
                <c:pt idx="614">
                  <c:v>0.7470927449030661</c:v>
                </c:pt>
                <c:pt idx="615">
                  <c:v>0.66803318191555772</c:v>
                </c:pt>
                <c:pt idx="617">
                  <c:v>0.75025191166445959</c:v>
                </c:pt>
                <c:pt idx="620">
                  <c:v>1.8244320991786274</c:v>
                </c:pt>
                <c:pt idx="624">
                  <c:v>1.2708330464360031</c:v>
                </c:pt>
                <c:pt idx="629">
                  <c:v>0.666040559599131</c:v>
                </c:pt>
                <c:pt idx="633">
                  <c:v>0.93574287468242912</c:v>
                </c:pt>
                <c:pt idx="635">
                  <c:v>0.9089386744485447</c:v>
                </c:pt>
                <c:pt idx="641">
                  <c:v>0.99050560352137618</c:v>
                </c:pt>
                <c:pt idx="643">
                  <c:v>2.0178241630146463</c:v>
                </c:pt>
                <c:pt idx="644">
                  <c:v>0.5943192927681834</c:v>
                </c:pt>
                <c:pt idx="645">
                  <c:v>1.204538658572377</c:v>
                </c:pt>
                <c:pt idx="649">
                  <c:v>1.5378781058240805</c:v>
                </c:pt>
                <c:pt idx="650">
                  <c:v>2.3511619755456903E-2</c:v>
                </c:pt>
                <c:pt idx="653">
                  <c:v>1.2832221656691971</c:v>
                </c:pt>
                <c:pt idx="655">
                  <c:v>1.4312582548953128</c:v>
                </c:pt>
                <c:pt idx="657">
                  <c:v>0.67342201017691139</c:v>
                </c:pt>
                <c:pt idx="658">
                  <c:v>8.8024059031904286E-2</c:v>
                </c:pt>
                <c:pt idx="661">
                  <c:v>0.78200562064831081</c:v>
                </c:pt>
                <c:pt idx="663">
                  <c:v>0.52279572505586569</c:v>
                </c:pt>
                <c:pt idx="664">
                  <c:v>0.42479643039598569</c:v>
                </c:pt>
                <c:pt idx="667">
                  <c:v>0.4951826944637</c:v>
                </c:pt>
                <c:pt idx="669">
                  <c:v>0.73883651583276799</c:v>
                </c:pt>
                <c:pt idx="671">
                  <c:v>0.52682978664768765</c:v>
                </c:pt>
                <c:pt idx="672">
                  <c:v>0.99410044242002493</c:v>
                </c:pt>
                <c:pt idx="674">
                  <c:v>0.93302144024232048</c:v>
                </c:pt>
                <c:pt idx="675">
                  <c:v>0.23294966639770995</c:v>
                </c:pt>
                <c:pt idx="676">
                  <c:v>0.60664761904235875</c:v>
                </c:pt>
                <c:pt idx="679">
                  <c:v>2.4197002173830255</c:v>
                </c:pt>
                <c:pt idx="681">
                  <c:v>0.82739410821769943</c:v>
                </c:pt>
                <c:pt idx="685">
                  <c:v>1.2597765733918693</c:v>
                </c:pt>
                <c:pt idx="689">
                  <c:v>1.1272838103762313</c:v>
                </c:pt>
                <c:pt idx="690">
                  <c:v>0.88416564429262046</c:v>
                </c:pt>
                <c:pt idx="691">
                  <c:v>1.4107091705258816</c:v>
                </c:pt>
                <c:pt idx="692">
                  <c:v>0.75217165367649874</c:v>
                </c:pt>
                <c:pt idx="695">
                  <c:v>0.29208716964827885</c:v>
                </c:pt>
                <c:pt idx="697">
                  <c:v>0.9691405102424695</c:v>
                </c:pt>
                <c:pt idx="698">
                  <c:v>1.5563419312926376</c:v>
                </c:pt>
                <c:pt idx="701">
                  <c:v>2.4864901041278316</c:v>
                </c:pt>
                <c:pt idx="702">
                  <c:v>1.7662715867308831</c:v>
                </c:pt>
                <c:pt idx="703">
                  <c:v>0.55446577871870939</c:v>
                </c:pt>
                <c:pt idx="706">
                  <c:v>0.75286783107097088</c:v>
                </c:pt>
                <c:pt idx="707">
                  <c:v>1.2171485553472405</c:v>
                </c:pt>
                <c:pt idx="708">
                  <c:v>5.9256487203730022E-2</c:v>
                </c:pt>
                <c:pt idx="711">
                  <c:v>0.91577887279062375</c:v>
                </c:pt>
                <c:pt idx="716">
                  <c:v>0.97168671557605124</c:v>
                </c:pt>
                <c:pt idx="720">
                  <c:v>2.6006993994389656</c:v>
                </c:pt>
                <c:pt idx="721">
                  <c:v>0.95706337666620744</c:v>
                </c:pt>
                <c:pt idx="722">
                  <c:v>0.72618394751554738</c:v>
                </c:pt>
                <c:pt idx="725">
                  <c:v>1.0938017934170619</c:v>
                </c:pt>
                <c:pt idx="726">
                  <c:v>1.2932735156081008</c:v>
                </c:pt>
                <c:pt idx="729">
                  <c:v>1.0635360569922891</c:v>
                </c:pt>
                <c:pt idx="730">
                  <c:v>0.28079134401184291</c:v>
                </c:pt>
                <c:pt idx="734">
                  <c:v>0.50290505347476877</c:v>
                </c:pt>
                <c:pt idx="735">
                  <c:v>1.188995419842948</c:v>
                </c:pt>
                <c:pt idx="738">
                  <c:v>0.90706037290774477</c:v>
                </c:pt>
                <c:pt idx="741">
                  <c:v>1.9480213814098353</c:v>
                </c:pt>
                <c:pt idx="742">
                  <c:v>1.0113508481845728</c:v>
                </c:pt>
                <c:pt idx="743">
                  <c:v>1.6185847712973149</c:v>
                </c:pt>
                <c:pt idx="746">
                  <c:v>-0.38377085024355861</c:v>
                </c:pt>
                <c:pt idx="747">
                  <c:v>2.3684858022466373</c:v>
                </c:pt>
                <c:pt idx="748">
                  <c:v>1.34432811073949</c:v>
                </c:pt>
                <c:pt idx="751">
                  <c:v>1.0173481139020439</c:v>
                </c:pt>
                <c:pt idx="752">
                  <c:v>1.6137057049126999</c:v>
                </c:pt>
                <c:pt idx="755">
                  <c:v>1.0609267378323524</c:v>
                </c:pt>
                <c:pt idx="756">
                  <c:v>0.50539271033016642</c:v>
                </c:pt>
                <c:pt idx="757">
                  <c:v>1.072738002824805</c:v>
                </c:pt>
                <c:pt idx="758">
                  <c:v>0.54334060174000365</c:v>
                </c:pt>
                <c:pt idx="759">
                  <c:v>0.31637145690139223</c:v>
                </c:pt>
                <c:pt idx="761">
                  <c:v>0.4452643056251579</c:v>
                </c:pt>
                <c:pt idx="762">
                  <c:v>2.2832282958612509</c:v>
                </c:pt>
                <c:pt idx="763">
                  <c:v>1.0286591044774718</c:v>
                </c:pt>
                <c:pt idx="766">
                  <c:v>1.0563116281854645</c:v>
                </c:pt>
                <c:pt idx="767">
                  <c:v>1.3384671876586938</c:v>
                </c:pt>
                <c:pt idx="768">
                  <c:v>1.6292661610059633</c:v>
                </c:pt>
                <c:pt idx="771">
                  <c:v>1.0856692432782609</c:v>
                </c:pt>
                <c:pt idx="772">
                  <c:v>1.8687707436498979</c:v>
                </c:pt>
                <c:pt idx="773">
                  <c:v>1.0413869427382145</c:v>
                </c:pt>
                <c:pt idx="774">
                  <c:v>0.9737276723299404</c:v>
                </c:pt>
                <c:pt idx="776">
                  <c:v>1.1870549499795946</c:v>
                </c:pt>
                <c:pt idx="777">
                  <c:v>1.1076678710583334</c:v>
                </c:pt>
                <c:pt idx="778">
                  <c:v>1.8031843016178404</c:v>
                </c:pt>
                <c:pt idx="779">
                  <c:v>2.1427093476113188</c:v>
                </c:pt>
                <c:pt idx="780">
                  <c:v>1.9422181608939557</c:v>
                </c:pt>
                <c:pt idx="782">
                  <c:v>1.3979589301934709</c:v>
                </c:pt>
                <c:pt idx="786">
                  <c:v>1.7095896761784817</c:v>
                </c:pt>
                <c:pt idx="788">
                  <c:v>1.6984622287618096</c:v>
                </c:pt>
                <c:pt idx="789">
                  <c:v>0.99026158672281595</c:v>
                </c:pt>
                <c:pt idx="794">
                  <c:v>1.1480246287274134</c:v>
                </c:pt>
                <c:pt idx="795">
                  <c:v>1.0248875405315843</c:v>
                </c:pt>
                <c:pt idx="796">
                  <c:v>1.1320525049572727</c:v>
                </c:pt>
                <c:pt idx="800">
                  <c:v>1.1291244688494038</c:v>
                </c:pt>
                <c:pt idx="802">
                  <c:v>1.3868679047426853</c:v>
                </c:pt>
                <c:pt idx="803">
                  <c:v>1.5266083947311255</c:v>
                </c:pt>
                <c:pt idx="804">
                  <c:v>1.1297350934602914</c:v>
                </c:pt>
                <c:pt idx="808">
                  <c:v>0.93772569993200239</c:v>
                </c:pt>
                <c:pt idx="810">
                  <c:v>2.2795934600144747</c:v>
                </c:pt>
                <c:pt idx="811">
                  <c:v>1.4073270259656219</c:v>
                </c:pt>
                <c:pt idx="812">
                  <c:v>2.2452431447923473</c:v>
                </c:pt>
                <c:pt idx="813">
                  <c:v>1.4411943194359909</c:v>
                </c:pt>
                <c:pt idx="815">
                  <c:v>1.5884300136459544</c:v>
                </c:pt>
                <c:pt idx="818">
                  <c:v>1.2511104301296354</c:v>
                </c:pt>
                <c:pt idx="820">
                  <c:v>2.0021479304122871</c:v>
                </c:pt>
                <c:pt idx="821">
                  <c:v>1.6175109461064234</c:v>
                </c:pt>
                <c:pt idx="822">
                  <c:v>2.4323572380835556</c:v>
                </c:pt>
                <c:pt idx="830">
                  <c:v>1.794575917785487</c:v>
                </c:pt>
                <c:pt idx="831">
                  <c:v>2.1416283108882483</c:v>
                </c:pt>
                <c:pt idx="832">
                  <c:v>1.4264430939363844</c:v>
                </c:pt>
                <c:pt idx="833">
                  <c:v>1.7955911822846382</c:v>
                </c:pt>
                <c:pt idx="837">
                  <c:v>2.07128538718908</c:v>
                </c:pt>
                <c:pt idx="839">
                  <c:v>1.6745064112645112</c:v>
                </c:pt>
                <c:pt idx="843">
                  <c:v>3.1526692960716618</c:v>
                </c:pt>
                <c:pt idx="845">
                  <c:v>0.693172495168904</c:v>
                </c:pt>
                <c:pt idx="847">
                  <c:v>1.3285948651136619</c:v>
                </c:pt>
                <c:pt idx="851">
                  <c:v>2.1048728278644626</c:v>
                </c:pt>
                <c:pt idx="853">
                  <c:v>1.5657936963576156</c:v>
                </c:pt>
                <c:pt idx="854">
                  <c:v>0.87169776246293362</c:v>
                </c:pt>
                <c:pt idx="855">
                  <c:v>1.6632024805206</c:v>
                </c:pt>
                <c:pt idx="856">
                  <c:v>2.0758355390047267</c:v>
                </c:pt>
                <c:pt idx="857">
                  <c:v>0.90261054523305617</c:v>
                </c:pt>
                <c:pt idx="858">
                  <c:v>1.4940039450890059</c:v>
                </c:pt>
                <c:pt idx="859">
                  <c:v>0.98796759112828136</c:v>
                </c:pt>
                <c:pt idx="860">
                  <c:v>1.4646094362592494</c:v>
                </c:pt>
                <c:pt idx="862">
                  <c:v>1.4366357465017447</c:v>
                </c:pt>
                <c:pt idx="863">
                  <c:v>1.3092877117870307</c:v>
                </c:pt>
                <c:pt idx="865">
                  <c:v>1.2491140139512309</c:v>
                </c:pt>
                <c:pt idx="866">
                  <c:v>1.0717173913379532</c:v>
                </c:pt>
                <c:pt idx="867">
                  <c:v>1.9063227249411956</c:v>
                </c:pt>
                <c:pt idx="869">
                  <c:v>0.71758405274111581</c:v>
                </c:pt>
                <c:pt idx="870">
                  <c:v>1.7518524786901213</c:v>
                </c:pt>
                <c:pt idx="874">
                  <c:v>1.5473764481607963</c:v>
                </c:pt>
                <c:pt idx="877">
                  <c:v>2.1596848917194316</c:v>
                </c:pt>
                <c:pt idx="879">
                  <c:v>1.4969913862688051</c:v>
                </c:pt>
                <c:pt idx="880">
                  <c:v>1.4500864963706026</c:v>
                </c:pt>
                <c:pt idx="883">
                  <c:v>1.2922181521448948</c:v>
                </c:pt>
                <c:pt idx="885">
                  <c:v>9.9003361914776072E-2</c:v>
                </c:pt>
                <c:pt idx="886">
                  <c:v>0.87871411414903511</c:v>
                </c:pt>
                <c:pt idx="892">
                  <c:v>3.6680560706112098</c:v>
                </c:pt>
                <c:pt idx="893">
                  <c:v>2.1321175790900706</c:v>
                </c:pt>
                <c:pt idx="897">
                  <c:v>2.3176502868012192</c:v>
                </c:pt>
                <c:pt idx="898">
                  <c:v>2.2820795207792073</c:v>
                </c:pt>
                <c:pt idx="901">
                  <c:v>1.2435450166908648</c:v>
                </c:pt>
                <c:pt idx="902">
                  <c:v>1.038366033557879</c:v>
                </c:pt>
                <c:pt idx="903">
                  <c:v>1.8562338943489662</c:v>
                </c:pt>
                <c:pt idx="904">
                  <c:v>2.1903721448680891</c:v>
                </c:pt>
                <c:pt idx="905">
                  <c:v>1.0457165332804563</c:v>
                </c:pt>
                <c:pt idx="906">
                  <c:v>1.0796000113066313</c:v>
                </c:pt>
                <c:pt idx="907">
                  <c:v>1.7878900212522708</c:v>
                </c:pt>
                <c:pt idx="909">
                  <c:v>1.7813129461509944</c:v>
                </c:pt>
                <c:pt idx="911">
                  <c:v>1.9858989518335857</c:v>
                </c:pt>
                <c:pt idx="912">
                  <c:v>1.9324030866762933</c:v>
                </c:pt>
                <c:pt idx="914">
                  <c:v>3.1191612687288779</c:v>
                </c:pt>
                <c:pt idx="915">
                  <c:v>1.0866337112865865</c:v>
                </c:pt>
                <c:pt idx="916">
                  <c:v>2.0335192671876268</c:v>
                </c:pt>
                <c:pt idx="917">
                  <c:v>2.0524712448522044</c:v>
                </c:pt>
                <c:pt idx="922">
                  <c:v>2.2646062137126206</c:v>
                </c:pt>
                <c:pt idx="925">
                  <c:v>3.306538951533915</c:v>
                </c:pt>
                <c:pt idx="926">
                  <c:v>1.6940983967821746</c:v>
                </c:pt>
                <c:pt idx="927">
                  <c:v>1.8261035616405732</c:v>
                </c:pt>
                <c:pt idx="929">
                  <c:v>1.9992915534147271</c:v>
                </c:pt>
                <c:pt idx="935">
                  <c:v>2.0656277003827817</c:v>
                </c:pt>
                <c:pt idx="936">
                  <c:v>2.7143654939535411</c:v>
                </c:pt>
                <c:pt idx="937">
                  <c:v>2.1699906598737218</c:v>
                </c:pt>
                <c:pt idx="938">
                  <c:v>1.123238878667248</c:v>
                </c:pt>
                <c:pt idx="939">
                  <c:v>2.1880215022865031</c:v>
                </c:pt>
                <c:pt idx="940">
                  <c:v>1.7640100084657451</c:v>
                </c:pt>
                <c:pt idx="941">
                  <c:v>2.8320849106519894</c:v>
                </c:pt>
                <c:pt idx="944">
                  <c:v>2.4603011301367546</c:v>
                </c:pt>
                <c:pt idx="945">
                  <c:v>1.0890558074913581</c:v>
                </c:pt>
                <c:pt idx="948">
                  <c:v>1.8183555857225497</c:v>
                </c:pt>
                <c:pt idx="954">
                  <c:v>1.3899516238659235</c:v>
                </c:pt>
                <c:pt idx="958">
                  <c:v>1.9697995697953501</c:v>
                </c:pt>
                <c:pt idx="960">
                  <c:v>1.9462513068678329</c:v>
                </c:pt>
                <c:pt idx="961">
                  <c:v>0.90889588349120554</c:v>
                </c:pt>
                <c:pt idx="963">
                  <c:v>2.2329324926492262</c:v>
                </c:pt>
                <c:pt idx="964">
                  <c:v>2.1150297753983924</c:v>
                </c:pt>
                <c:pt idx="965">
                  <c:v>1.8238267123065912</c:v>
                </c:pt>
                <c:pt idx="966">
                  <c:v>1.5073307417417503</c:v>
                </c:pt>
                <c:pt idx="968">
                  <c:v>-7.772711245797639E-3</c:v>
                </c:pt>
                <c:pt idx="969">
                  <c:v>3.2702517992297659</c:v>
                </c:pt>
                <c:pt idx="973">
                  <c:v>0.90545448846462839</c:v>
                </c:pt>
                <c:pt idx="975">
                  <c:v>3.3908753510105534</c:v>
                </c:pt>
                <c:pt idx="976">
                  <c:v>2.2063515098021238</c:v>
                </c:pt>
                <c:pt idx="977">
                  <c:v>2.2461616256112764</c:v>
                </c:pt>
                <c:pt idx="978">
                  <c:v>2.4408383481444473</c:v>
                </c:pt>
                <c:pt idx="980">
                  <c:v>3.8422815333797922</c:v>
                </c:pt>
                <c:pt idx="982">
                  <c:v>3.0903591651386413</c:v>
                </c:pt>
                <c:pt idx="985">
                  <c:v>3.2747067230818838</c:v>
                </c:pt>
                <c:pt idx="986">
                  <c:v>2.5798307372557461</c:v>
                </c:pt>
                <c:pt idx="987">
                  <c:v>1.1392746778378</c:v>
                </c:pt>
                <c:pt idx="988">
                  <c:v>2.7501068020031876</c:v>
                </c:pt>
                <c:pt idx="993">
                  <c:v>1.5263929754381722</c:v>
                </c:pt>
                <c:pt idx="995">
                  <c:v>1.290546135425886</c:v>
                </c:pt>
                <c:pt idx="997">
                  <c:v>2.5116865003583038</c:v>
                </c:pt>
                <c:pt idx="998">
                  <c:v>2.643335322305993</c:v>
                </c:pt>
                <c:pt idx="999">
                  <c:v>1.7871985328330673</c:v>
                </c:pt>
                <c:pt idx="1001">
                  <c:v>1.8780583649676188</c:v>
                </c:pt>
                <c:pt idx="1006">
                  <c:v>3.0379151408549774</c:v>
                </c:pt>
                <c:pt idx="1007">
                  <c:v>1.9689594755655402</c:v>
                </c:pt>
                <c:pt idx="1011">
                  <c:v>2.598397106368779</c:v>
                </c:pt>
                <c:pt idx="1013">
                  <c:v>1.7116590889881635</c:v>
                </c:pt>
                <c:pt idx="1015">
                  <c:v>1.6726817362502759</c:v>
                </c:pt>
                <c:pt idx="1016">
                  <c:v>1.6408109386846075</c:v>
                </c:pt>
                <c:pt idx="1019">
                  <c:v>1.4062652161036737</c:v>
                </c:pt>
                <c:pt idx="1022">
                  <c:v>1.4475478596477342</c:v>
                </c:pt>
                <c:pt idx="1024">
                  <c:v>0.61814819317795433</c:v>
                </c:pt>
                <c:pt idx="1026">
                  <c:v>1.9720955444685391</c:v>
                </c:pt>
                <c:pt idx="1027">
                  <c:v>2.0815774085977328</c:v>
                </c:pt>
                <c:pt idx="1028">
                  <c:v>1.6838974814790695</c:v>
                </c:pt>
                <c:pt idx="1029">
                  <c:v>1.7408852164737019</c:v>
                </c:pt>
                <c:pt idx="1032">
                  <c:v>1.1749387778104434</c:v>
                </c:pt>
                <c:pt idx="1033">
                  <c:v>1.2904761887456808</c:v>
                </c:pt>
                <c:pt idx="1035">
                  <c:v>3.2855943115220163</c:v>
                </c:pt>
                <c:pt idx="1036">
                  <c:v>0.62543684340670935</c:v>
                </c:pt>
                <c:pt idx="1037">
                  <c:v>1.0307929041123329</c:v>
                </c:pt>
                <c:pt idx="1038">
                  <c:v>2.1643143020796316</c:v>
                </c:pt>
                <c:pt idx="1039">
                  <c:v>1.4233756583150372</c:v>
                </c:pt>
                <c:pt idx="1040">
                  <c:v>1.4689124805233611</c:v>
                </c:pt>
                <c:pt idx="1042">
                  <c:v>2.1246597975202346</c:v>
                </c:pt>
                <c:pt idx="1043">
                  <c:v>1.8692792692543809</c:v>
                </c:pt>
                <c:pt idx="1044">
                  <c:v>2.2204013034137531</c:v>
                </c:pt>
                <c:pt idx="1047">
                  <c:v>2.0510880711588202</c:v>
                </c:pt>
                <c:pt idx="1048">
                  <c:v>1.5045792205639643</c:v>
                </c:pt>
                <c:pt idx="1050">
                  <c:v>1.9640719203992545</c:v>
                </c:pt>
                <c:pt idx="1053">
                  <c:v>1.680585893112446</c:v>
                </c:pt>
                <c:pt idx="1057">
                  <c:v>1.6062132921306336</c:v>
                </c:pt>
                <c:pt idx="1058">
                  <c:v>0.86337418370347441</c:v>
                </c:pt>
                <c:pt idx="1061">
                  <c:v>1.9962944708987371</c:v>
                </c:pt>
                <c:pt idx="1063">
                  <c:v>0.12264611228808342</c:v>
                </c:pt>
                <c:pt idx="1065">
                  <c:v>2.8195888918604974</c:v>
                </c:pt>
                <c:pt idx="1068">
                  <c:v>2.1570104747258942</c:v>
                </c:pt>
                <c:pt idx="1069">
                  <c:v>3.2613064426193668</c:v>
                </c:pt>
                <c:pt idx="1070">
                  <c:v>2.0417186827684701</c:v>
                </c:pt>
                <c:pt idx="1071">
                  <c:v>1.4931035934319918</c:v>
                </c:pt>
                <c:pt idx="1073">
                  <c:v>0.57329108901144898</c:v>
                </c:pt>
                <c:pt idx="1074">
                  <c:v>0.50397402745921105</c:v>
                </c:pt>
                <c:pt idx="1075">
                  <c:v>1.8908491533315572</c:v>
                </c:pt>
                <c:pt idx="1080">
                  <c:v>1.7674915181875785</c:v>
                </c:pt>
                <c:pt idx="1081">
                  <c:v>1.8644774915656135</c:v>
                </c:pt>
                <c:pt idx="1082">
                  <c:v>1.311426543137111</c:v>
                </c:pt>
                <c:pt idx="1087">
                  <c:v>2.8637974986010963</c:v>
                </c:pt>
                <c:pt idx="1092">
                  <c:v>1.8466874262902402</c:v>
                </c:pt>
                <c:pt idx="1093">
                  <c:v>1.2403963858644553</c:v>
                </c:pt>
                <c:pt idx="1096">
                  <c:v>0.18310872980369092</c:v>
                </c:pt>
                <c:pt idx="1097">
                  <c:v>1.7583689962147007</c:v>
                </c:pt>
                <c:pt idx="1098">
                  <c:v>2.1249552823640636</c:v>
                </c:pt>
                <c:pt idx="1103">
                  <c:v>0.96556918024813243</c:v>
                </c:pt>
                <c:pt idx="1107">
                  <c:v>1.5844261338558983</c:v>
                </c:pt>
                <c:pt idx="1108">
                  <c:v>0.52086382741136328</c:v>
                </c:pt>
                <c:pt idx="1109">
                  <c:v>0.87008673572828632</c:v>
                </c:pt>
                <c:pt idx="1110">
                  <c:v>1.3214081386640633</c:v>
                </c:pt>
                <c:pt idx="1113">
                  <c:v>0.58600486837881005</c:v>
                </c:pt>
                <c:pt idx="1114">
                  <c:v>2.2108915473812738</c:v>
                </c:pt>
                <c:pt idx="1119">
                  <c:v>3.4200218533807294</c:v>
                </c:pt>
                <c:pt idx="1120">
                  <c:v>2.6921627379456865</c:v>
                </c:pt>
                <c:pt idx="1121">
                  <c:v>1.5120561350169048</c:v>
                </c:pt>
                <c:pt idx="1123">
                  <c:v>1.2069437464214769</c:v>
                </c:pt>
                <c:pt idx="1125">
                  <c:v>2.1669326918586265</c:v>
                </c:pt>
                <c:pt idx="1129">
                  <c:v>2.9539827428724528</c:v>
                </c:pt>
                <c:pt idx="1130">
                  <c:v>2.4162479143342415</c:v>
                </c:pt>
                <c:pt idx="1132">
                  <c:v>1.7287896684321886</c:v>
                </c:pt>
                <c:pt idx="1133">
                  <c:v>2.3519520189843868</c:v>
                </c:pt>
                <c:pt idx="1134">
                  <c:v>3.0590377091366996</c:v>
                </c:pt>
                <c:pt idx="1137">
                  <c:v>0.79333288153387693</c:v>
                </c:pt>
                <c:pt idx="1138">
                  <c:v>1.7065121740003708</c:v>
                </c:pt>
                <c:pt idx="1139">
                  <c:v>1.5072770573344145</c:v>
                </c:pt>
                <c:pt idx="1143">
                  <c:v>1.103370934640532</c:v>
                </c:pt>
                <c:pt idx="1147">
                  <c:v>2.0676142442620313</c:v>
                </c:pt>
                <c:pt idx="1148">
                  <c:v>2.6595862243724095</c:v>
                </c:pt>
                <c:pt idx="1149">
                  <c:v>1.4343186831604968</c:v>
                </c:pt>
                <c:pt idx="1154">
                  <c:v>1.4620431068331612</c:v>
                </c:pt>
                <c:pt idx="1156">
                  <c:v>1.850784128207047</c:v>
                </c:pt>
                <c:pt idx="1158">
                  <c:v>1.7084673585405594</c:v>
                </c:pt>
                <c:pt idx="1159">
                  <c:v>1.3624811492197655</c:v>
                </c:pt>
                <c:pt idx="1160">
                  <c:v>2.0011235473454136</c:v>
                </c:pt>
                <c:pt idx="1161">
                  <c:v>0.57010633271737077</c:v>
                </c:pt>
                <c:pt idx="1162">
                  <c:v>1.7155459005757805</c:v>
                </c:pt>
                <c:pt idx="1166">
                  <c:v>2.348437052469702</c:v>
                </c:pt>
                <c:pt idx="1168">
                  <c:v>1.7812335860153263</c:v>
                </c:pt>
                <c:pt idx="1169">
                  <c:v>1.7487267677265854</c:v>
                </c:pt>
                <c:pt idx="1170">
                  <c:v>1.474915864361104</c:v>
                </c:pt>
                <c:pt idx="1172">
                  <c:v>2.8606793860095396</c:v>
                </c:pt>
                <c:pt idx="1173">
                  <c:v>2.0545660876755982</c:v>
                </c:pt>
                <c:pt idx="1177">
                  <c:v>1.710149095881536</c:v>
                </c:pt>
                <c:pt idx="1181">
                  <c:v>2.4007805870743386</c:v>
                </c:pt>
                <c:pt idx="1182">
                  <c:v>1.7597451590200017</c:v>
                </c:pt>
                <c:pt idx="1183">
                  <c:v>0.62504562069480252</c:v>
                </c:pt>
                <c:pt idx="1184">
                  <c:v>1.7449476873743925</c:v>
                </c:pt>
                <c:pt idx="1186">
                  <c:v>2.3978582734319285</c:v>
                </c:pt>
                <c:pt idx="1187">
                  <c:v>1.2510430815009346</c:v>
                </c:pt>
                <c:pt idx="1188">
                  <c:v>2.6483456734543376</c:v>
                </c:pt>
                <c:pt idx="1190">
                  <c:v>2.9117638908868138</c:v>
                </c:pt>
                <c:pt idx="1193">
                  <c:v>0.77697006134762281</c:v>
                </c:pt>
                <c:pt idx="1197">
                  <c:v>2.4991515077915878</c:v>
                </c:pt>
                <c:pt idx="1199">
                  <c:v>1.5964074483979456</c:v>
                </c:pt>
                <c:pt idx="1200">
                  <c:v>1.7415796541728177</c:v>
                </c:pt>
                <c:pt idx="1202">
                  <c:v>2.04213685202145</c:v>
                </c:pt>
                <c:pt idx="1203">
                  <c:v>2.5702831397762913</c:v>
                </c:pt>
                <c:pt idx="1204">
                  <c:v>2.5955525628238538</c:v>
                </c:pt>
                <c:pt idx="1205">
                  <c:v>2.0542360669858146</c:v>
                </c:pt>
                <c:pt idx="1206">
                  <c:v>1.0156428163561064</c:v>
                </c:pt>
                <c:pt idx="1209">
                  <c:v>1.3730506761411092</c:v>
                </c:pt>
                <c:pt idx="1210">
                  <c:v>1.9485559849996497</c:v>
                </c:pt>
                <c:pt idx="1211">
                  <c:v>3.3273863506779429</c:v>
                </c:pt>
                <c:pt idx="1213">
                  <c:v>2.0654450490094254</c:v>
                </c:pt>
                <c:pt idx="1214">
                  <c:v>1.3642054585005248</c:v>
                </c:pt>
                <c:pt idx="1216">
                  <c:v>1.4591886526928284</c:v>
                </c:pt>
                <c:pt idx="1221">
                  <c:v>1.8202780669247358</c:v>
                </c:pt>
                <c:pt idx="1222">
                  <c:v>2.3842486307476123</c:v>
                </c:pt>
                <c:pt idx="1223">
                  <c:v>1.0300353683978503</c:v>
                </c:pt>
                <c:pt idx="1224">
                  <c:v>2.7170801939986662</c:v>
                </c:pt>
                <c:pt idx="1225">
                  <c:v>1.8533243777730597</c:v>
                </c:pt>
                <c:pt idx="1227">
                  <c:v>2.7746586145389847</c:v>
                </c:pt>
                <c:pt idx="1229">
                  <c:v>0.53080366882815977</c:v>
                </c:pt>
                <c:pt idx="1230">
                  <c:v>1.3842216475669871</c:v>
                </c:pt>
                <c:pt idx="1231">
                  <c:v>1.6410254212194786</c:v>
                </c:pt>
                <c:pt idx="1232">
                  <c:v>0.15423236308045168</c:v>
                </c:pt>
                <c:pt idx="1234">
                  <c:v>1.8758490002324184</c:v>
                </c:pt>
                <c:pt idx="1237">
                  <c:v>1.3547814040772392</c:v>
                </c:pt>
                <c:pt idx="1238">
                  <c:v>1.8046876170641812</c:v>
                </c:pt>
                <c:pt idx="1239">
                  <c:v>3.6117400217477549</c:v>
                </c:pt>
                <c:pt idx="1240">
                  <c:v>1.7115708641644023</c:v>
                </c:pt>
                <c:pt idx="1242">
                  <c:v>3.4374099776343368</c:v>
                </c:pt>
                <c:pt idx="1243">
                  <c:v>3.1739651860636986</c:v>
                </c:pt>
                <c:pt idx="1244">
                  <c:v>2.9711056086683469</c:v>
                </c:pt>
                <c:pt idx="1245">
                  <c:v>0.73010131565457292</c:v>
                </c:pt>
                <c:pt idx="1246">
                  <c:v>2.101044558703959</c:v>
                </c:pt>
                <c:pt idx="1251">
                  <c:v>2.4644495860268716</c:v>
                </c:pt>
                <c:pt idx="1252">
                  <c:v>1.8406022586757811</c:v>
                </c:pt>
                <c:pt idx="1253">
                  <c:v>1.8908164894104529</c:v>
                </c:pt>
                <c:pt idx="1256">
                  <c:v>2.6489901266056419</c:v>
                </c:pt>
                <c:pt idx="1259">
                  <c:v>1.3196134251226834</c:v>
                </c:pt>
                <c:pt idx="1264">
                  <c:v>2.3716649053861483</c:v>
                </c:pt>
                <c:pt idx="1266">
                  <c:v>1.8639918494566918</c:v>
                </c:pt>
                <c:pt idx="1267">
                  <c:v>1.0957460365844078</c:v>
                </c:pt>
                <c:pt idx="1269">
                  <c:v>1.7197510229081965</c:v>
                </c:pt>
                <c:pt idx="1271">
                  <c:v>1.7350883475047094</c:v>
                </c:pt>
                <c:pt idx="1273">
                  <c:v>1.1598519703552839</c:v>
                </c:pt>
                <c:pt idx="1274">
                  <c:v>2.4675609150774491</c:v>
                </c:pt>
                <c:pt idx="1279">
                  <c:v>2.4075345715076897</c:v>
                </c:pt>
                <c:pt idx="1285">
                  <c:v>1.9868339033734692</c:v>
                </c:pt>
                <c:pt idx="1289">
                  <c:v>1.8427201282081724</c:v>
                </c:pt>
                <c:pt idx="1290">
                  <c:v>2.1530551577483479</c:v>
                </c:pt>
                <c:pt idx="1291">
                  <c:v>0.26350994596060195</c:v>
                </c:pt>
                <c:pt idx="1294">
                  <c:v>1.7258824079396164</c:v>
                </c:pt>
                <c:pt idx="1295">
                  <c:v>2.0569951730826497</c:v>
                </c:pt>
                <c:pt idx="1299">
                  <c:v>1.6474950125041647</c:v>
                </c:pt>
                <c:pt idx="1300">
                  <c:v>1.2045423395642512</c:v>
                </c:pt>
                <c:pt idx="1303">
                  <c:v>1.9763933494493566</c:v>
                </c:pt>
                <c:pt idx="1304">
                  <c:v>2.6178013357806873</c:v>
                </c:pt>
                <c:pt idx="1306">
                  <c:v>2.7838501104739177</c:v>
                </c:pt>
                <c:pt idx="1307">
                  <c:v>1.7226713896790284</c:v>
                </c:pt>
                <c:pt idx="1308">
                  <c:v>1.4211482418572861</c:v>
                </c:pt>
                <c:pt idx="1310">
                  <c:v>1.2753248401980302</c:v>
                </c:pt>
                <c:pt idx="1311">
                  <c:v>1.0288250163452739</c:v>
                </c:pt>
                <c:pt idx="1312">
                  <c:v>2.3281484401083983</c:v>
                </c:pt>
                <c:pt idx="1313">
                  <c:v>1.5459770055164288</c:v>
                </c:pt>
                <c:pt idx="1314">
                  <c:v>1.0801931987461819</c:v>
                </c:pt>
                <c:pt idx="1315">
                  <c:v>2.3022427076894747</c:v>
                </c:pt>
                <c:pt idx="1316">
                  <c:v>3.0886665676338856</c:v>
                </c:pt>
                <c:pt idx="1317">
                  <c:v>1.8647736729827549</c:v>
                </c:pt>
                <c:pt idx="1318">
                  <c:v>1.5923768913820853</c:v>
                </c:pt>
                <c:pt idx="1319">
                  <c:v>2.0175004460461547</c:v>
                </c:pt>
                <c:pt idx="1320">
                  <c:v>1.3261512254392753</c:v>
                </c:pt>
                <c:pt idx="1321">
                  <c:v>0.82918964266341166</c:v>
                </c:pt>
                <c:pt idx="1323">
                  <c:v>1.1078803337232765</c:v>
                </c:pt>
                <c:pt idx="1324">
                  <c:v>1.5647987930891865</c:v>
                </c:pt>
                <c:pt idx="1325">
                  <c:v>0.55887488224881254</c:v>
                </c:pt>
                <c:pt idx="1328">
                  <c:v>1.9581589061627942</c:v>
                </c:pt>
                <c:pt idx="1330">
                  <c:v>1.2799439624066318</c:v>
                </c:pt>
                <c:pt idx="1331">
                  <c:v>2.1120428985562043</c:v>
                </c:pt>
                <c:pt idx="1333">
                  <c:v>1.4656236396342446</c:v>
                </c:pt>
                <c:pt idx="1337">
                  <c:v>1.0407650490915068</c:v>
                </c:pt>
                <c:pt idx="1338">
                  <c:v>1.9260653640559098</c:v>
                </c:pt>
                <c:pt idx="1340">
                  <c:v>2.2688087363495355</c:v>
                </c:pt>
                <c:pt idx="1341">
                  <c:v>1.5961912405898913</c:v>
                </c:pt>
                <c:pt idx="1342">
                  <c:v>1.991344205728538</c:v>
                </c:pt>
                <c:pt idx="1347">
                  <c:v>3.2623013135682637</c:v>
                </c:pt>
                <c:pt idx="1348">
                  <c:v>1.0341406855358197</c:v>
                </c:pt>
                <c:pt idx="1349">
                  <c:v>2.814185988581162</c:v>
                </c:pt>
                <c:pt idx="1352">
                  <c:v>2.1339858024645637</c:v>
                </c:pt>
                <c:pt idx="1354">
                  <c:v>0.49762311370747603</c:v>
                </c:pt>
                <c:pt idx="1356">
                  <c:v>1.5585118296614633</c:v>
                </c:pt>
                <c:pt idx="1359">
                  <c:v>2.656675761092417</c:v>
                </c:pt>
                <c:pt idx="1362">
                  <c:v>2.6062064675755403</c:v>
                </c:pt>
                <c:pt idx="1365">
                  <c:v>2.3382607379831288</c:v>
                </c:pt>
                <c:pt idx="1367">
                  <c:v>2.1976822518584296</c:v>
                </c:pt>
                <c:pt idx="1368">
                  <c:v>2.0328773189243527</c:v>
                </c:pt>
                <c:pt idx="1371">
                  <c:v>2.973344297361554</c:v>
                </c:pt>
                <c:pt idx="1374">
                  <c:v>1.0687077941710026</c:v>
                </c:pt>
                <c:pt idx="1378">
                  <c:v>1.9389745115551371</c:v>
                </c:pt>
                <c:pt idx="1381">
                  <c:v>0.93609220516518388</c:v>
                </c:pt>
                <c:pt idx="1382">
                  <c:v>1.640934178131316</c:v>
                </c:pt>
                <c:pt idx="1383">
                  <c:v>1.5426137742332757</c:v>
                </c:pt>
                <c:pt idx="1385">
                  <c:v>1.5725342300246832</c:v>
                </c:pt>
                <c:pt idx="1386">
                  <c:v>1.2871285709003653</c:v>
                </c:pt>
                <c:pt idx="1391">
                  <c:v>4.6703055792071551</c:v>
                </c:pt>
                <c:pt idx="1394">
                  <c:v>2.0809565678960644</c:v>
                </c:pt>
                <c:pt idx="1395">
                  <c:v>1.8187984570755882</c:v>
                </c:pt>
                <c:pt idx="1396">
                  <c:v>2.2332918209030463</c:v>
                </c:pt>
                <c:pt idx="1397">
                  <c:v>1.879154578498178</c:v>
                </c:pt>
                <c:pt idx="1398">
                  <c:v>1.2799957895243377</c:v>
                </c:pt>
                <c:pt idx="1400">
                  <c:v>2.2446982009189385</c:v>
                </c:pt>
                <c:pt idx="1401">
                  <c:v>1.7497455043667185</c:v>
                </c:pt>
                <c:pt idx="1402">
                  <c:v>2.5574809999508799</c:v>
                </c:pt>
                <c:pt idx="1403">
                  <c:v>2.1568798955998174</c:v>
                </c:pt>
                <c:pt idx="1404">
                  <c:v>2.7333957436722955</c:v>
                </c:pt>
                <c:pt idx="1408">
                  <c:v>3.1860070604746582</c:v>
                </c:pt>
                <c:pt idx="1409">
                  <c:v>1.4043420030041576</c:v>
                </c:pt>
                <c:pt idx="1412">
                  <c:v>1.7515297510595793</c:v>
                </c:pt>
                <c:pt idx="1413">
                  <c:v>0.62750068665736702</c:v>
                </c:pt>
                <c:pt idx="1416">
                  <c:v>0.78200755368862906</c:v>
                </c:pt>
                <c:pt idx="1417">
                  <c:v>2.4470629909744765</c:v>
                </c:pt>
                <c:pt idx="1418">
                  <c:v>2.1483050813902569</c:v>
                </c:pt>
                <c:pt idx="1420">
                  <c:v>4.3016842759490048</c:v>
                </c:pt>
                <c:pt idx="1421">
                  <c:v>1.7049344978194558</c:v>
                </c:pt>
                <c:pt idx="1424">
                  <c:v>3.1538072215022321</c:v>
                </c:pt>
                <c:pt idx="1425">
                  <c:v>0.90147657037858553</c:v>
                </c:pt>
                <c:pt idx="1426">
                  <c:v>2.7954602767084102</c:v>
                </c:pt>
                <c:pt idx="1427">
                  <c:v>2.1856133603388113</c:v>
                </c:pt>
                <c:pt idx="1432">
                  <c:v>2.9601892803988932</c:v>
                </c:pt>
                <c:pt idx="1435">
                  <c:v>3.3005899231051492</c:v>
                </c:pt>
                <c:pt idx="1439">
                  <c:v>2.59782980733993</c:v>
                </c:pt>
                <c:pt idx="1443">
                  <c:v>3.5028350028312683</c:v>
                </c:pt>
                <c:pt idx="1447">
                  <c:v>3.5345926773108829</c:v>
                </c:pt>
                <c:pt idx="1448">
                  <c:v>1.7718078685717531</c:v>
                </c:pt>
                <c:pt idx="1451">
                  <c:v>2.2990952008893317</c:v>
                </c:pt>
                <c:pt idx="1455">
                  <c:v>1.9173690441355555</c:v>
                </c:pt>
                <c:pt idx="1457">
                  <c:v>2.0519359859180542</c:v>
                </c:pt>
                <c:pt idx="1458">
                  <c:v>2.4956019897739496</c:v>
                </c:pt>
                <c:pt idx="1460">
                  <c:v>2.0696108945786298</c:v>
                </c:pt>
                <c:pt idx="1461">
                  <c:v>1.229294746192503</c:v>
                </c:pt>
                <c:pt idx="1463">
                  <c:v>2.2738252809275581</c:v>
                </c:pt>
                <c:pt idx="1465">
                  <c:v>0.91153170394356553</c:v>
                </c:pt>
                <c:pt idx="1466">
                  <c:v>2.9426900243333329</c:v>
                </c:pt>
                <c:pt idx="1469">
                  <c:v>3.1141186448355689</c:v>
                </c:pt>
                <c:pt idx="1470">
                  <c:v>3.2556471215346399</c:v>
                </c:pt>
                <c:pt idx="1471">
                  <c:v>2.6091861158362688</c:v>
                </c:pt>
                <c:pt idx="1474">
                  <c:v>1.3881017112323137</c:v>
                </c:pt>
                <c:pt idx="1476">
                  <c:v>4.0956174148655853</c:v>
                </c:pt>
                <c:pt idx="1477">
                  <c:v>1.9384204673531458</c:v>
                </c:pt>
                <c:pt idx="1479">
                  <c:v>2.7644211382970023</c:v>
                </c:pt>
                <c:pt idx="1480">
                  <c:v>2.6013856261986863</c:v>
                </c:pt>
                <c:pt idx="1481">
                  <c:v>1.9456286532756117</c:v>
                </c:pt>
                <c:pt idx="1483">
                  <c:v>0.73257751403035054</c:v>
                </c:pt>
                <c:pt idx="1484">
                  <c:v>1.8999930952911523</c:v>
                </c:pt>
                <c:pt idx="1485">
                  <c:v>3.0111812843492642</c:v>
                </c:pt>
                <c:pt idx="1486">
                  <c:v>1.6456308994360831</c:v>
                </c:pt>
                <c:pt idx="1487">
                  <c:v>2.5007479595709317</c:v>
                </c:pt>
                <c:pt idx="1489">
                  <c:v>2.9129713361290293</c:v>
                </c:pt>
                <c:pt idx="1490">
                  <c:v>3.0401750944449311</c:v>
                </c:pt>
                <c:pt idx="1491">
                  <c:v>2.2307442871841694</c:v>
                </c:pt>
                <c:pt idx="1492">
                  <c:v>3.2879698572612228</c:v>
                </c:pt>
                <c:pt idx="1493">
                  <c:v>3.4274327159141031</c:v>
                </c:pt>
                <c:pt idx="1496">
                  <c:v>2.5308924850438359</c:v>
                </c:pt>
                <c:pt idx="1497">
                  <c:v>1.8188522407474352</c:v>
                </c:pt>
                <c:pt idx="1498">
                  <c:v>2.4115914227490505</c:v>
                </c:pt>
                <c:pt idx="1499">
                  <c:v>3.9573112315139145</c:v>
                </c:pt>
                <c:pt idx="1500">
                  <c:v>3.2791471932027729</c:v>
                </c:pt>
                <c:pt idx="1502">
                  <c:v>3.0813029528103226</c:v>
                </c:pt>
                <c:pt idx="1503">
                  <c:v>2.4000371565502805</c:v>
                </c:pt>
                <c:pt idx="1507">
                  <c:v>2.8528802306113272</c:v>
                </c:pt>
                <c:pt idx="1508">
                  <c:v>3.0190392036590437</c:v>
                </c:pt>
                <c:pt idx="1510">
                  <c:v>2.7178813380127251</c:v>
                </c:pt>
                <c:pt idx="1511">
                  <c:v>2.3417212577522788</c:v>
                </c:pt>
                <c:pt idx="1514">
                  <c:v>2.1022496156296353</c:v>
                </c:pt>
                <c:pt idx="1517">
                  <c:v>3.3067814262656263</c:v>
                </c:pt>
                <c:pt idx="1518">
                  <c:v>2.662211419467075</c:v>
                </c:pt>
                <c:pt idx="1522">
                  <c:v>2.3231374683056583</c:v>
                </c:pt>
                <c:pt idx="1523">
                  <c:v>3.0040340342581731</c:v>
                </c:pt>
                <c:pt idx="1531">
                  <c:v>2.9246921270026136</c:v>
                </c:pt>
                <c:pt idx="1533">
                  <c:v>3.1848522408359963</c:v>
                </c:pt>
                <c:pt idx="1538">
                  <c:v>3.6106856864245631</c:v>
                </c:pt>
                <c:pt idx="1539">
                  <c:v>3.9489702125700528</c:v>
                </c:pt>
                <c:pt idx="1540">
                  <c:v>3.5070033564710807</c:v>
                </c:pt>
                <c:pt idx="1542">
                  <c:v>3.5822430137498835</c:v>
                </c:pt>
                <c:pt idx="1543">
                  <c:v>2.9114779490176792</c:v>
                </c:pt>
                <c:pt idx="1544">
                  <c:v>3.1876516505567678</c:v>
                </c:pt>
                <c:pt idx="1545">
                  <c:v>3.3985719381064894</c:v>
                </c:pt>
                <c:pt idx="1546">
                  <c:v>3.8814953540241333</c:v>
                </c:pt>
                <c:pt idx="1547">
                  <c:v>2.6376524574643407</c:v>
                </c:pt>
                <c:pt idx="1548">
                  <c:v>3.4384856994238491</c:v>
                </c:pt>
                <c:pt idx="1549">
                  <c:v>3.3491543815029718</c:v>
                </c:pt>
                <c:pt idx="1550">
                  <c:v>3.3314209690517038</c:v>
                </c:pt>
                <c:pt idx="1552">
                  <c:v>4.9175941151798028</c:v>
                </c:pt>
                <c:pt idx="1553">
                  <c:v>3.5139609448463553</c:v>
                </c:pt>
                <c:pt idx="1554">
                  <c:v>3.6555343712967927</c:v>
                </c:pt>
                <c:pt idx="1555">
                  <c:v>4.641119815840006</c:v>
                </c:pt>
                <c:pt idx="1556">
                  <c:v>3.7534332613608696</c:v>
                </c:pt>
                <c:pt idx="1557">
                  <c:v>3.9149786844951886</c:v>
                </c:pt>
                <c:pt idx="1558">
                  <c:v>3.436084962369224</c:v>
                </c:pt>
                <c:pt idx="1560">
                  <c:v>3.8933611077610784</c:v>
                </c:pt>
                <c:pt idx="1561">
                  <c:v>4.1661989979378404</c:v>
                </c:pt>
                <c:pt idx="1562">
                  <c:v>4.1516992521717349</c:v>
                </c:pt>
                <c:pt idx="1563">
                  <c:v>4.6480257193135701</c:v>
                </c:pt>
                <c:pt idx="1564">
                  <c:v>4.9252702885597195</c:v>
                </c:pt>
                <c:pt idx="1566">
                  <c:v>4.2165086205304139</c:v>
                </c:pt>
                <c:pt idx="1567">
                  <c:v>4.266607021933785</c:v>
                </c:pt>
                <c:pt idx="1568">
                  <c:v>4.1318036889202876</c:v>
                </c:pt>
                <c:pt idx="1569">
                  <c:v>4.5884247577708139</c:v>
                </c:pt>
                <c:pt idx="1570">
                  <c:v>4.4504442314112751</c:v>
                </c:pt>
                <c:pt idx="1571">
                  <c:v>4.6307305527963862</c:v>
                </c:pt>
                <c:pt idx="1575">
                  <c:v>4.3996008335674546</c:v>
                </c:pt>
                <c:pt idx="1576">
                  <c:v>4.681773267774906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1'!$AO$951:$AO$2755</c:f>
              <c:numCache>
                <c:formatCode>General</c:formatCode>
                <c:ptCount val="1805"/>
                <c:pt idx="0" formatCode="0.000">
                  <c:v>4446.0450206518772</c:v>
                </c:pt>
                <c:pt idx="6" formatCode="0.000">
                  <c:v>4438.9795673770514</c:v>
                </c:pt>
                <c:pt idx="20" formatCode="0.000">
                  <c:v>4432.5514164882925</c:v>
                </c:pt>
                <c:pt idx="31" formatCode="0.000">
                  <c:v>4422.3425590769693</c:v>
                </c:pt>
                <c:pt idx="34" formatCode="0.000">
                  <c:v>4418.7840743486931</c:v>
                </c:pt>
                <c:pt idx="49" formatCode="0.000">
                  <c:v>4408.1351252108752</c:v>
                </c:pt>
                <c:pt idx="52" formatCode="0.000">
                  <c:v>4407.9116725027425</c:v>
                </c:pt>
                <c:pt idx="56" formatCode="0.000">
                  <c:v>4405.9423826102739</c:v>
                </c:pt>
                <c:pt idx="64" formatCode="0.000">
                  <c:v>4403.4531879900223</c:v>
                </c:pt>
                <c:pt idx="66" formatCode="0.000">
                  <c:v>4402.3113895719798</c:v>
                </c:pt>
                <c:pt idx="70" formatCode="0.000">
                  <c:v>4392.7679226029431</c:v>
                </c:pt>
                <c:pt idx="72" formatCode="0.000">
                  <c:v>4390.9895138779411</c:v>
                </c:pt>
                <c:pt idx="74" formatCode="0.000">
                  <c:v>4390.6270649667895</c:v>
                </c:pt>
                <c:pt idx="82" formatCode="0.000">
                  <c:v>4387.7161498668329</c:v>
                </c:pt>
                <c:pt idx="85" formatCode="0.000">
                  <c:v>4385.7860183773209</c:v>
                </c:pt>
                <c:pt idx="92" formatCode="0.000">
                  <c:v>4381.0304884673751</c:v>
                </c:pt>
                <c:pt idx="119" formatCode="0.000">
                  <c:v>4356.7840137395542</c:v>
                </c:pt>
                <c:pt idx="130" formatCode="0.000">
                  <c:v>4348.8527943771078</c:v>
                </c:pt>
                <c:pt idx="131" formatCode="0.000">
                  <c:v>4347.9716494856557</c:v>
                </c:pt>
                <c:pt idx="134" formatCode="0.000">
                  <c:v>4345.8817772396606</c:v>
                </c:pt>
                <c:pt idx="139" formatCode="0.000">
                  <c:v>4335.798957673931</c:v>
                </c:pt>
                <c:pt idx="150" formatCode="0.000">
                  <c:v>4327.110515700705</c:v>
                </c:pt>
                <c:pt idx="157" formatCode="0.000">
                  <c:v>4324.4514865734427</c:v>
                </c:pt>
                <c:pt idx="160" formatCode="0.000">
                  <c:v>4322.7391641897375</c:v>
                </c:pt>
                <c:pt idx="161" formatCode="0.000">
                  <c:v>4322.6606841042794</c:v>
                </c:pt>
                <c:pt idx="162" formatCode="0.000">
                  <c:v>4322.5037324819723</c:v>
                </c:pt>
                <c:pt idx="174" formatCode="0.000">
                  <c:v>4309.9565599478319</c:v>
                </c:pt>
                <c:pt idx="175" formatCode="0.000">
                  <c:v>4308.1851640750783</c:v>
                </c:pt>
                <c:pt idx="183" formatCode="0.000">
                  <c:v>4304.2150316962397</c:v>
                </c:pt>
                <c:pt idx="188" formatCode="0.000">
                  <c:v>4301.3768277087811</c:v>
                </c:pt>
                <c:pt idx="193" formatCode="0.000">
                  <c:v>4298.7086679161584</c:v>
                </c:pt>
                <c:pt idx="209" formatCode="0.000">
                  <c:v>4288.3228112185952</c:v>
                </c:pt>
                <c:pt idx="212" formatCode="0.000">
                  <c:v>4285.8985793531974</c:v>
                </c:pt>
                <c:pt idx="213" formatCode="0.000">
                  <c:v>4285.6230631662265</c:v>
                </c:pt>
                <c:pt idx="220" formatCode="0.000">
                  <c:v>4280.4609371555562</c:v>
                </c:pt>
                <c:pt idx="229" formatCode="0.000">
                  <c:v>4276.2802006943821</c:v>
                </c:pt>
                <c:pt idx="242" formatCode="0.000">
                  <c:v>4268.3366676156602</c:v>
                </c:pt>
                <c:pt idx="259" formatCode="0.000">
                  <c:v>4250.6488615487151</c:v>
                </c:pt>
                <c:pt idx="261" formatCode="0.000">
                  <c:v>4250.0183813294998</c:v>
                </c:pt>
                <c:pt idx="264" formatCode="0.000">
                  <c:v>4249.198494933893</c:v>
                </c:pt>
                <c:pt idx="265" formatCode="0.000">
                  <c:v>4248.2255162018819</c:v>
                </c:pt>
                <c:pt idx="277" formatCode="0.000">
                  <c:v>4240.7400260975146</c:v>
                </c:pt>
                <c:pt idx="281" formatCode="0.000">
                  <c:v>4233.0013249294143</c:v>
                </c:pt>
                <c:pt idx="284" formatCode="0.000">
                  <c:v>4230.9112917522189</c:v>
                </c:pt>
                <c:pt idx="285" formatCode="0.000">
                  <c:v>4230.6821763475255</c:v>
                </c:pt>
                <c:pt idx="286" formatCode="0.000">
                  <c:v>4230.5103560778252</c:v>
                </c:pt>
                <c:pt idx="287" formatCode="0.000">
                  <c:v>4229.429640265862</c:v>
                </c:pt>
                <c:pt idx="288" formatCode="0.000">
                  <c:v>4228.0133791255375</c:v>
                </c:pt>
                <c:pt idx="289" formatCode="0.000">
                  <c:v>4226.3265488113248</c:v>
                </c:pt>
                <c:pt idx="301" formatCode="0.000">
                  <c:v>4210.675240724303</c:v>
                </c:pt>
                <c:pt idx="307" formatCode="0.000">
                  <c:v>4205.6389206648264</c:v>
                </c:pt>
                <c:pt idx="314" formatCode="0.000">
                  <c:v>4203.0139813260084</c:v>
                </c:pt>
                <c:pt idx="318" formatCode="0.000">
                  <c:v>4199.4838834307284</c:v>
                </c:pt>
                <c:pt idx="323" formatCode="0.000">
                  <c:v>4191.2957684258781</c:v>
                </c:pt>
                <c:pt idx="324" formatCode="0.000">
                  <c:v>4190.3754618317562</c:v>
                </c:pt>
                <c:pt idx="329" formatCode="0.000">
                  <c:v>4185.336756380756</c:v>
                </c:pt>
                <c:pt idx="332" formatCode="0.000">
                  <c:v>4184.3647862270791</c:v>
                </c:pt>
                <c:pt idx="354" formatCode="0.000">
                  <c:v>4161.1219716394562</c:v>
                </c:pt>
                <c:pt idx="355" formatCode="0.000">
                  <c:v>4159.8324086719194</c:v>
                </c:pt>
                <c:pt idx="361" formatCode="0.000">
                  <c:v>4153.6639677542753</c:v>
                </c:pt>
                <c:pt idx="363" formatCode="0.000">
                  <c:v>4151.5756890370158</c:v>
                </c:pt>
                <c:pt idx="371" formatCode="0.000">
                  <c:v>4147.6066857760734</c:v>
                </c:pt>
                <c:pt idx="375" formatCode="0.000">
                  <c:v>4145.6465115006458</c:v>
                </c:pt>
                <c:pt idx="380" formatCode="0.000">
                  <c:v>4134.3532507179298</c:v>
                </c:pt>
                <c:pt idx="381" formatCode="0.000">
                  <c:v>4133.0358098621673</c:v>
                </c:pt>
                <c:pt idx="383" formatCode="0.000">
                  <c:v>4122.011541632316</c:v>
                </c:pt>
                <c:pt idx="386" formatCode="0.000">
                  <c:v>4114.0259899477878</c:v>
                </c:pt>
                <c:pt idx="390" formatCode="0.000">
                  <c:v>4104.2344207365632</c:v>
                </c:pt>
                <c:pt idx="391" formatCode="0.000">
                  <c:v>4104.1737805678858</c:v>
                </c:pt>
                <c:pt idx="396" formatCode="0.000">
                  <c:v>4088.5916028505667</c:v>
                </c:pt>
                <c:pt idx="399" formatCode="0.000">
                  <c:v>4083.7712157019369</c:v>
                </c:pt>
                <c:pt idx="400" formatCode="0.000">
                  <c:v>4083.3893438238329</c:v>
                </c:pt>
                <c:pt idx="403" formatCode="0.000">
                  <c:v>4081.9508786195161</c:v>
                </c:pt>
                <c:pt idx="414" formatCode="0.000">
                  <c:v>4053.6459505090352</c:v>
                </c:pt>
                <c:pt idx="416" formatCode="0.000">
                  <c:v>4053.2795490159046</c:v>
                </c:pt>
                <c:pt idx="417" formatCode="0.000">
                  <c:v>4050.8019170014991</c:v>
                </c:pt>
                <c:pt idx="424" formatCode="0.000">
                  <c:v>4030.7432851847611</c:v>
                </c:pt>
                <c:pt idx="427" formatCode="0.000">
                  <c:v>4019.5042423857535</c:v>
                </c:pt>
                <c:pt idx="428" formatCode="0.000">
                  <c:v>4016.8837658445977</c:v>
                </c:pt>
                <c:pt idx="430" formatCode="0.000">
                  <c:v>4013.8880526622111</c:v>
                </c:pt>
                <c:pt idx="435" formatCode="0.000">
                  <c:v>4002.0842854958855</c:v>
                </c:pt>
                <c:pt idx="436" formatCode="0.000">
                  <c:v>4001.3492549687753</c:v>
                </c:pt>
                <c:pt idx="437" formatCode="0.000">
                  <c:v>3998.995452342373</c:v>
                </c:pt>
                <c:pt idx="447" formatCode="0.000">
                  <c:v>3981.6335208948153</c:v>
                </c:pt>
                <c:pt idx="449" formatCode="0.000">
                  <c:v>3980.232572949702</c:v>
                </c:pt>
                <c:pt idx="450" formatCode="0.000">
                  <c:v>3978.965596271868</c:v>
                </c:pt>
                <c:pt idx="451" formatCode="0.000">
                  <c:v>3975.2500929214712</c:v>
                </c:pt>
                <c:pt idx="455" formatCode="0.000">
                  <c:v>3949.6264640771592</c:v>
                </c:pt>
                <c:pt idx="456" formatCode="0.000">
                  <c:v>3946.2193442883013</c:v>
                </c:pt>
                <c:pt idx="460" formatCode="0.000">
                  <c:v>3932.4112877506577</c:v>
                </c:pt>
                <c:pt idx="463" formatCode="0.000">
                  <c:v>3922.2100241490471</c:v>
                </c:pt>
                <c:pt idx="470" formatCode="0.000">
                  <c:v>3906.4483743315081</c:v>
                </c:pt>
                <c:pt idx="471" formatCode="0.000">
                  <c:v>3900.1027677079287</c:v>
                </c:pt>
                <c:pt idx="475" formatCode="0.000">
                  <c:v>3892.3030874137316</c:v>
                </c:pt>
                <c:pt idx="477" formatCode="0.000">
                  <c:v>3886.0652307137493</c:v>
                </c:pt>
                <c:pt idx="486" formatCode="0.000">
                  <c:v>3877.8883966986755</c:v>
                </c:pt>
                <c:pt idx="488" formatCode="0.000">
                  <c:v>3876.6391399443469</c:v>
                </c:pt>
                <c:pt idx="498" formatCode="0.000">
                  <c:v>3861.7135813377276</c:v>
                </c:pt>
                <c:pt idx="500" formatCode="0.000">
                  <c:v>3858.5397587795283</c:v>
                </c:pt>
                <c:pt idx="501" formatCode="0.000">
                  <c:v>3846.1464497183656</c:v>
                </c:pt>
                <c:pt idx="502" formatCode="0.000">
                  <c:v>3844.9515593777796</c:v>
                </c:pt>
                <c:pt idx="504" formatCode="0.000">
                  <c:v>3840.7516811930295</c:v>
                </c:pt>
                <c:pt idx="508" formatCode="0.000">
                  <c:v>3826.9235552885211</c:v>
                </c:pt>
                <c:pt idx="509" formatCode="0.000">
                  <c:v>3823.6735867511238</c:v>
                </c:pt>
                <c:pt idx="511" formatCode="0.000">
                  <c:v>3822.1098352059116</c:v>
                </c:pt>
                <c:pt idx="512" formatCode="0.000">
                  <c:v>3820.7940603463844</c:v>
                </c:pt>
                <c:pt idx="513" formatCode="0.000">
                  <c:v>3818.3343432827669</c:v>
                </c:pt>
                <c:pt idx="514" formatCode="0.000">
                  <c:v>3815.1833615275377</c:v>
                </c:pt>
                <c:pt idx="516" formatCode="0.000">
                  <c:v>3813.6658138038679</c:v>
                </c:pt>
                <c:pt idx="517" formatCode="0.000">
                  <c:v>3809.9011711636199</c:v>
                </c:pt>
                <c:pt idx="518" formatCode="0.000">
                  <c:v>3809.0812305617819</c:v>
                </c:pt>
                <c:pt idx="521" formatCode="0.000">
                  <c:v>3807.8541561395373</c:v>
                </c:pt>
                <c:pt idx="523" formatCode="0.000">
                  <c:v>3804.305027655395</c:v>
                </c:pt>
                <c:pt idx="527" formatCode="0.000">
                  <c:v>3797.5813204570004</c:v>
                </c:pt>
                <c:pt idx="529" formatCode="0.000">
                  <c:v>3785.6690469691748</c:v>
                </c:pt>
                <c:pt idx="530" formatCode="0.000">
                  <c:v>3784.666122431679</c:v>
                </c:pt>
                <c:pt idx="536" formatCode="0.000">
                  <c:v>3769.3689021034588</c:v>
                </c:pt>
                <c:pt idx="537" formatCode="0.000">
                  <c:v>3764.4436999211352</c:v>
                </c:pt>
                <c:pt idx="538" formatCode="0.000">
                  <c:v>3763.7862786654669</c:v>
                </c:pt>
                <c:pt idx="540" formatCode="0.000">
                  <c:v>3762.061639875144</c:v>
                </c:pt>
                <c:pt idx="542" formatCode="0.000">
                  <c:v>3754.7459989426625</c:v>
                </c:pt>
                <c:pt idx="543" formatCode="0.000">
                  <c:v>3752.9324475912363</c:v>
                </c:pt>
                <c:pt idx="544" formatCode="0.000">
                  <c:v>3746.2317591292849</c:v>
                </c:pt>
                <c:pt idx="546" formatCode="0.000">
                  <c:v>3741.0854609821622</c:v>
                </c:pt>
                <c:pt idx="548" formatCode="0.000">
                  <c:v>3737.3760779526947</c:v>
                </c:pt>
                <c:pt idx="552" formatCode="0.000">
                  <c:v>3717.7277991237315</c:v>
                </c:pt>
                <c:pt idx="557" formatCode="0.000">
                  <c:v>3710.1180856384299</c:v>
                </c:pt>
                <c:pt idx="560" formatCode="0.000">
                  <c:v>3706.078339083932</c:v>
                </c:pt>
                <c:pt idx="561" formatCode="0.000">
                  <c:v>3702.3475475094483</c:v>
                </c:pt>
                <c:pt idx="563" formatCode="0.000">
                  <c:v>3695.5652477913454</c:v>
                </c:pt>
                <c:pt idx="564" formatCode="0.000">
                  <c:v>3695.4955973713199</c:v>
                </c:pt>
                <c:pt idx="566" formatCode="0.000">
                  <c:v>3693.4304951782256</c:v>
                </c:pt>
                <c:pt idx="568" formatCode="0.000">
                  <c:v>3692.0273254326403</c:v>
                </c:pt>
                <c:pt idx="569" formatCode="0.000">
                  <c:v>3690.8458902061925</c:v>
                </c:pt>
                <c:pt idx="573" formatCode="0.000">
                  <c:v>3687.8092458540723</c:v>
                </c:pt>
                <c:pt idx="576" formatCode="0.000">
                  <c:v>3684.7952451402157</c:v>
                </c:pt>
                <c:pt idx="577" formatCode="0.000">
                  <c:v>3683.7378445860468</c:v>
                </c:pt>
                <c:pt idx="578" formatCode="0.000">
                  <c:v>3683.1055946373981</c:v>
                </c:pt>
                <c:pt idx="579" formatCode="0.000">
                  <c:v>3682.1806757685258</c:v>
                </c:pt>
                <c:pt idx="582" formatCode="0.000">
                  <c:v>3681.4066507556267</c:v>
                </c:pt>
                <c:pt idx="583" formatCode="0.000">
                  <c:v>3679.8825970256235</c:v>
                </c:pt>
                <c:pt idx="586" formatCode="0.000">
                  <c:v>3679.2300107433512</c:v>
                </c:pt>
                <c:pt idx="588" formatCode="0.000">
                  <c:v>3676.7801406809608</c:v>
                </c:pt>
                <c:pt idx="589" formatCode="0.000">
                  <c:v>3676.0124381556857</c:v>
                </c:pt>
                <c:pt idx="592" formatCode="0.000">
                  <c:v>3675.288280424496</c:v>
                </c:pt>
                <c:pt idx="593" formatCode="0.000">
                  <c:v>3673.6572690840062</c:v>
                </c:pt>
                <c:pt idx="598" formatCode="0.000">
                  <c:v>3667.6305199673143</c:v>
                </c:pt>
                <c:pt idx="599" formatCode="0.000">
                  <c:v>3667.3467149925168</c:v>
                </c:pt>
                <c:pt idx="603" formatCode="0.000">
                  <c:v>3663.1995703799544</c:v>
                </c:pt>
                <c:pt idx="605" formatCode="0.000">
                  <c:v>3660.0046042857925</c:v>
                </c:pt>
                <c:pt idx="608" formatCode="0.000">
                  <c:v>3656.2322672735049</c:v>
                </c:pt>
                <c:pt idx="611" formatCode="0.000">
                  <c:v>3655.2994165411069</c:v>
                </c:pt>
                <c:pt idx="612" formatCode="0.000">
                  <c:v>3654.6181216432342</c:v>
                </c:pt>
                <c:pt idx="614" formatCode="0.000">
                  <c:v>3652.2595982295306</c:v>
                </c:pt>
                <c:pt idx="615" formatCode="0.000">
                  <c:v>3651.0861433613577</c:v>
                </c:pt>
                <c:pt idx="618" formatCode="0.000">
                  <c:v>3645.5078958055519</c:v>
                </c:pt>
                <c:pt idx="619" formatCode="0.000">
                  <c:v>3644.2325282737779</c:v>
                </c:pt>
                <c:pt idx="621" formatCode="0.000">
                  <c:v>3643.4106550087245</c:v>
                </c:pt>
                <c:pt idx="623" formatCode="0.000">
                  <c:v>3635.1990507768232</c:v>
                </c:pt>
                <c:pt idx="625" formatCode="0.000">
                  <c:v>3630.4387603068158</c:v>
                </c:pt>
                <c:pt idx="626" formatCode="0.000">
                  <c:v>3630.4519404402577</c:v>
                </c:pt>
                <c:pt idx="630" formatCode="0.000">
                  <c:v>3615.3786639151222</c:v>
                </c:pt>
                <c:pt idx="635" formatCode="0.000">
                  <c:v>3614.5710588524466</c:v>
                </c:pt>
                <c:pt idx="636" formatCode="0.000">
                  <c:v>3612.3174244465749</c:v>
                </c:pt>
                <c:pt idx="638" formatCode="0.000">
                  <c:v>3608.0945436229454</c:v>
                </c:pt>
                <c:pt idx="639" formatCode="0.000">
                  <c:v>3604.347852727788</c:v>
                </c:pt>
                <c:pt idx="640" formatCode="0.000">
                  <c:v>3602.2211295484794</c:v>
                </c:pt>
                <c:pt idx="642" formatCode="0.000">
                  <c:v>3596.1146139265297</c:v>
                </c:pt>
                <c:pt idx="643" formatCode="0.000">
                  <c:v>3592.5411660310856</c:v>
                </c:pt>
                <c:pt idx="644" formatCode="0.000">
                  <c:v>3592.326933363413</c:v>
                </c:pt>
                <c:pt idx="645" formatCode="0.000">
                  <c:v>3590.9260172285449</c:v>
                </c:pt>
                <c:pt idx="646" formatCode="0.000">
                  <c:v>3585.6919417310714</c:v>
                </c:pt>
                <c:pt idx="647" formatCode="0.000">
                  <c:v>3578.9520398952941</c:v>
                </c:pt>
                <c:pt idx="650" formatCode="0.000">
                  <c:v>3578.3718908868523</c:v>
                </c:pt>
                <c:pt idx="652" formatCode="0.000">
                  <c:v>3577.8021704379084</c:v>
                </c:pt>
                <c:pt idx="653" formatCode="0.000">
                  <c:v>3575.5736829195557</c:v>
                </c:pt>
                <c:pt idx="654" formatCode="0.000">
                  <c:v>3575.5621767021366</c:v>
                </c:pt>
                <c:pt idx="657" formatCode="0.000">
                  <c:v>3569.4309648850094</c:v>
                </c:pt>
                <c:pt idx="658" formatCode="0.000">
                  <c:v>3568.8997510335539</c:v>
                </c:pt>
                <c:pt idx="659" formatCode="0.000">
                  <c:v>3566.8617145547569</c:v>
                </c:pt>
                <c:pt idx="665" formatCode="0.000">
                  <c:v>3565.4157524346429</c:v>
                </c:pt>
                <c:pt idx="666" formatCode="0.000">
                  <c:v>3564.0471751540285</c:v>
                </c:pt>
                <c:pt idx="668" formatCode="0.000">
                  <c:v>3560.6043342524436</c:v>
                </c:pt>
                <c:pt idx="671" formatCode="0.000">
                  <c:v>3548.9749673050678</c:v>
                </c:pt>
                <c:pt idx="673" formatCode="0.000">
                  <c:v>3547.0929799482838</c:v>
                </c:pt>
                <c:pt idx="674" formatCode="0.000">
                  <c:v>3545.1375779265554</c:v>
                </c:pt>
                <c:pt idx="676" formatCode="0.000">
                  <c:v>3543.9917467520195</c:v>
                </c:pt>
                <c:pt idx="679" formatCode="0.000">
                  <c:v>3533.2755053908954</c:v>
                </c:pt>
                <c:pt idx="682" formatCode="0.000">
                  <c:v>3532.9721693650326</c:v>
                </c:pt>
                <c:pt idx="685" formatCode="0.000">
                  <c:v>3530.739322691215</c:v>
                </c:pt>
                <c:pt idx="687" formatCode="0.000">
                  <c:v>3528.6985524572797</c:v>
                </c:pt>
                <c:pt idx="688" formatCode="0.000">
                  <c:v>3528.6848556256227</c:v>
                </c:pt>
                <c:pt idx="692" formatCode="0.000">
                  <c:v>3523.656597113209</c:v>
                </c:pt>
                <c:pt idx="695" formatCode="0.000">
                  <c:v>3523.0507928801953</c:v>
                </c:pt>
                <c:pt idx="698" formatCode="0.000">
                  <c:v>3516.8557621395707</c:v>
                </c:pt>
                <c:pt idx="699" formatCode="0.000">
                  <c:v>3513.5083856904639</c:v>
                </c:pt>
                <c:pt idx="701" formatCode="0.000">
                  <c:v>3511.5429684688029</c:v>
                </c:pt>
                <c:pt idx="708" formatCode="0.000">
                  <c:v>3510.1415008241815</c:v>
                </c:pt>
                <c:pt idx="709" formatCode="0.000">
                  <c:v>3508.2340006111349</c:v>
                </c:pt>
                <c:pt idx="711" formatCode="0.000">
                  <c:v>3500.3146782895783</c:v>
                </c:pt>
                <c:pt idx="712" formatCode="0.000">
                  <c:v>3496.9656828769685</c:v>
                </c:pt>
                <c:pt idx="713" formatCode="0.000">
                  <c:v>3496.5144995211526</c:v>
                </c:pt>
                <c:pt idx="716" formatCode="0.000">
                  <c:v>3489.7996645604549</c:v>
                </c:pt>
                <c:pt idx="719" formatCode="0.000">
                  <c:v>3484.1979428598502</c:v>
                </c:pt>
                <c:pt idx="724" formatCode="0.000">
                  <c:v>3478.9663434359031</c:v>
                </c:pt>
                <c:pt idx="725" formatCode="0.000">
                  <c:v>3476.1014548875028</c:v>
                </c:pt>
                <c:pt idx="733" formatCode="0.000">
                  <c:v>3475.3089723441863</c:v>
                </c:pt>
                <c:pt idx="734" formatCode="0.000">
                  <c:v>3463.6892793621264</c:v>
                </c:pt>
                <c:pt idx="735" formatCode="0.000">
                  <c:v>3463.436158134954</c:v>
                </c:pt>
                <c:pt idx="736" formatCode="0.000">
                  <c:v>3455.0465619349911</c:v>
                </c:pt>
                <c:pt idx="740" formatCode="0.000">
                  <c:v>3453.9081143008711</c:v>
                </c:pt>
                <c:pt idx="741" formatCode="0.000">
                  <c:v>3450.3913088783397</c:v>
                </c:pt>
                <c:pt idx="742" formatCode="0.000">
                  <c:v>3446.272270672981</c:v>
                </c:pt>
                <c:pt idx="745" formatCode="0.000">
                  <c:v>3441.6264025057794</c:v>
                </c:pt>
                <c:pt idx="747" formatCode="0.000">
                  <c:v>3437.3403785061737</c:v>
                </c:pt>
                <c:pt idx="748" formatCode="0.000">
                  <c:v>3431.2073801153306</c:v>
                </c:pt>
                <c:pt idx="750" formatCode="0.000">
                  <c:v>3430.4034600421455</c:v>
                </c:pt>
                <c:pt idx="752" formatCode="0.000">
                  <c:v>3427.9857327233808</c:v>
                </c:pt>
                <c:pt idx="753" formatCode="0.000">
                  <c:v>3427.1891942095581</c:v>
                </c:pt>
                <c:pt idx="754" formatCode="0.000">
                  <c:v>3427.0940572818208</c:v>
                </c:pt>
                <c:pt idx="758" formatCode="0.000">
                  <c:v>3423.216735148118</c:v>
                </c:pt>
                <c:pt idx="759" formatCode="0.000">
                  <c:v>3421.0455194053666</c:v>
                </c:pt>
                <c:pt idx="764" formatCode="0.000">
                  <c:v>3420.0194257103371</c:v>
                </c:pt>
                <c:pt idx="765" formatCode="0.000">
                  <c:v>3418.587200467663</c:v>
                </c:pt>
                <c:pt idx="766" formatCode="0.000">
                  <c:v>3417.3675402711133</c:v>
                </c:pt>
                <c:pt idx="767" formatCode="0.000">
                  <c:v>3416.6879924942195</c:v>
                </c:pt>
                <c:pt idx="768" formatCode="0.000">
                  <c:v>3416.1242430722705</c:v>
                </c:pt>
                <c:pt idx="771" formatCode="0.000">
                  <c:v>3415.2667203774276</c:v>
                </c:pt>
                <c:pt idx="773" formatCode="0.000">
                  <c:v>3414.2499183140703</c:v>
                </c:pt>
                <c:pt idx="775" formatCode="0.000">
                  <c:v>3413.5820969907918</c:v>
                </c:pt>
                <c:pt idx="778" formatCode="0.000">
                  <c:v>3403.9517156257039</c:v>
                </c:pt>
                <c:pt idx="780" formatCode="0.000">
                  <c:v>3400.1901386325521</c:v>
                </c:pt>
                <c:pt idx="781" formatCode="0.000">
                  <c:v>3399.5601649058644</c:v>
                </c:pt>
                <c:pt idx="782" formatCode="0.000">
                  <c:v>3398.773314735246</c:v>
                </c:pt>
                <c:pt idx="786" formatCode="0.000">
                  <c:v>3398.4498990320531</c:v>
                </c:pt>
                <c:pt idx="787" formatCode="0.000">
                  <c:v>3397.5850644878633</c:v>
                </c:pt>
                <c:pt idx="792" formatCode="0.000">
                  <c:v>3397.042602650984</c:v>
                </c:pt>
                <c:pt idx="794" formatCode="0.000">
                  <c:v>3395.1891527780795</c:v>
                </c:pt>
                <c:pt idx="795" formatCode="0.000">
                  <c:v>3392.0474126819154</c:v>
                </c:pt>
                <c:pt idx="800" formatCode="0.000">
                  <c:v>3388.1571034238345</c:v>
                </c:pt>
                <c:pt idx="804" formatCode="0.000">
                  <c:v>3387.5430556722367</c:v>
                </c:pt>
                <c:pt idx="807" formatCode="0.000">
                  <c:v>3382.8023066652368</c:v>
                </c:pt>
                <c:pt idx="811" formatCode="0.000">
                  <c:v>3382.3858199562792</c:v>
                </c:pt>
                <c:pt idx="812" formatCode="0.000">
                  <c:v>3382.246251202811</c:v>
                </c:pt>
                <c:pt idx="816" formatCode="0.000">
                  <c:v>3381.1724147724776</c:v>
                </c:pt>
                <c:pt idx="819" formatCode="0.000">
                  <c:v>3380.0855499652694</c:v>
                </c:pt>
                <c:pt idx="825" formatCode="0.000">
                  <c:v>3378.9057616425262</c:v>
                </c:pt>
                <c:pt idx="826" formatCode="0.000">
                  <c:v>3378.0953487680758</c:v>
                </c:pt>
                <c:pt idx="832" formatCode="0.000">
                  <c:v>3374.1333538480644</c:v>
                </c:pt>
                <c:pt idx="836" formatCode="0.000">
                  <c:v>3372.9042459467819</c:v>
                </c:pt>
                <c:pt idx="837" formatCode="0.000">
                  <c:v>3371.4896050232501</c:v>
                </c:pt>
                <c:pt idx="838" formatCode="0.000">
                  <c:v>3369.3051583051183</c:v>
                </c:pt>
                <c:pt idx="839" formatCode="0.000">
                  <c:v>3368.568560475911</c:v>
                </c:pt>
                <c:pt idx="841" formatCode="0.000">
                  <c:v>3368.3019211110004</c:v>
                </c:pt>
                <c:pt idx="844" formatCode="0.000">
                  <c:v>3366.7653128903339</c:v>
                </c:pt>
                <c:pt idx="850" formatCode="0.000">
                  <c:v>3366.0978073575493</c:v>
                </c:pt>
                <c:pt idx="854" formatCode="0.000">
                  <c:v>3365.4770042004511</c:v>
                </c:pt>
                <c:pt idx="857" formatCode="0.000">
                  <c:v>3365.1791453118008</c:v>
                </c:pt>
                <c:pt idx="862" formatCode="0.000">
                  <c:v>3361.8643554969849</c:v>
                </c:pt>
                <c:pt idx="863" formatCode="0.000">
                  <c:v>3361.3739145283284</c:v>
                </c:pt>
                <c:pt idx="865" formatCode="0.000">
                  <c:v>3360.9321881517058</c:v>
                </c:pt>
                <c:pt idx="868" formatCode="0.000">
                  <c:v>3360.3674897886831</c:v>
                </c:pt>
                <c:pt idx="871" formatCode="0.000">
                  <c:v>3359.5456281728816</c:v>
                </c:pt>
                <c:pt idx="874" formatCode="0.000">
                  <c:v>3359.0682750781325</c:v>
                </c:pt>
                <c:pt idx="878" formatCode="0.000">
                  <c:v>3358.5538335876877</c:v>
                </c:pt>
                <c:pt idx="879" formatCode="0.000">
                  <c:v>3356.4886295591182</c:v>
                </c:pt>
                <c:pt idx="880" formatCode="0.000">
                  <c:v>3355.8668606805163</c:v>
                </c:pt>
                <c:pt idx="884" formatCode="0.000">
                  <c:v>3354.8367184194963</c:v>
                </c:pt>
                <c:pt idx="887" formatCode="0.000">
                  <c:v>3352.0309620395897</c:v>
                </c:pt>
                <c:pt idx="888" formatCode="0.000">
                  <c:v>3351.5153038567564</c:v>
                </c:pt>
                <c:pt idx="892" formatCode="0.000">
                  <c:v>3346.6350922801157</c:v>
                </c:pt>
                <c:pt idx="894" formatCode="0.000">
                  <c:v>3346.3943103265383</c:v>
                </c:pt>
                <c:pt idx="895" formatCode="0.000">
                  <c:v>3346.3427986870288</c:v>
                </c:pt>
                <c:pt idx="904" formatCode="0.000">
                  <c:v>3343.1700540222846</c:v>
                </c:pt>
                <c:pt idx="905" formatCode="0.000">
                  <c:v>3342.915242724061</c:v>
                </c:pt>
                <c:pt idx="906" formatCode="0.000">
                  <c:v>3342.6615876038063</c:v>
                </c:pt>
                <c:pt idx="910" formatCode="0.000">
                  <c:v>3342.403502304086</c:v>
                </c:pt>
                <c:pt idx="913" formatCode="0.000">
                  <c:v>3341.558021476862</c:v>
                </c:pt>
                <c:pt idx="918" formatCode="0.000">
                  <c:v>3340.4317508037921</c:v>
                </c:pt>
                <c:pt idx="921" formatCode="0.000">
                  <c:v>3338.7666195455413</c:v>
                </c:pt>
                <c:pt idx="922" formatCode="0.000">
                  <c:v>3338.5336559247125</c:v>
                </c:pt>
                <c:pt idx="923" formatCode="0.000">
                  <c:v>3337.7302366317226</c:v>
                </c:pt>
                <c:pt idx="924" formatCode="0.000">
                  <c:v>3334.2180125126533</c:v>
                </c:pt>
                <c:pt idx="927" formatCode="0.000">
                  <c:v>3332.7889778002923</c:v>
                </c:pt>
                <c:pt idx="930" formatCode="0.000">
                  <c:v>3329.8192640699845</c:v>
                </c:pt>
                <c:pt idx="933" formatCode="0.000">
                  <c:v>3328.8105893459419</c:v>
                </c:pt>
                <c:pt idx="934" formatCode="0.000">
                  <c:v>3328.4460650278511</c:v>
                </c:pt>
                <c:pt idx="938" formatCode="0.000">
                  <c:v>3325.8435336954512</c:v>
                </c:pt>
                <c:pt idx="942" formatCode="0.000">
                  <c:v>3323.1732848770357</c:v>
                </c:pt>
                <c:pt idx="944" formatCode="0.000">
                  <c:v>3321.341077815036</c:v>
                </c:pt>
                <c:pt idx="945" formatCode="0.000">
                  <c:v>3321.3024686909112</c:v>
                </c:pt>
                <c:pt idx="950" formatCode="0.000">
                  <c:v>3318.4963362141202</c:v>
                </c:pt>
                <c:pt idx="953" formatCode="0.000">
                  <c:v>3315.1090737187428</c:v>
                </c:pt>
                <c:pt idx="954" formatCode="0.000">
                  <c:v>3311.1946856649779</c:v>
                </c:pt>
                <c:pt idx="957" formatCode="0.000">
                  <c:v>3307.1079671538041</c:v>
                </c:pt>
                <c:pt idx="958" formatCode="0.000">
                  <c:v>3305.561110734644</c:v>
                </c:pt>
                <c:pt idx="959" formatCode="0.000">
                  <c:v>3304.6304150913211</c:v>
                </c:pt>
                <c:pt idx="961" formatCode="0.000">
                  <c:v>3303.4470478910625</c:v>
                </c:pt>
                <c:pt idx="962" formatCode="0.000">
                  <c:v>3300.6285056800511</c:v>
                </c:pt>
                <c:pt idx="963" formatCode="0.000">
                  <c:v>3297.0612633547476</c:v>
                </c:pt>
                <c:pt idx="972" formatCode="0.000">
                  <c:v>3295.8257378282688</c:v>
                </c:pt>
                <c:pt idx="977" formatCode="0.000">
                  <c:v>3294.8386352778371</c:v>
                </c:pt>
                <c:pt idx="978" formatCode="0.000">
                  <c:v>3294.5357817883992</c:v>
                </c:pt>
                <c:pt idx="984" formatCode="0.000">
                  <c:v>3293.5375194853914</c:v>
                </c:pt>
                <c:pt idx="986" formatCode="0.000">
                  <c:v>3288.5217437057699</c:v>
                </c:pt>
                <c:pt idx="990" formatCode="0.000">
                  <c:v>3288.199506901602</c:v>
                </c:pt>
                <c:pt idx="991" formatCode="0.000">
                  <c:v>3283.5373942372612</c:v>
                </c:pt>
                <c:pt idx="992" formatCode="0.000">
                  <c:v>3281.8724789065845</c:v>
                </c:pt>
                <c:pt idx="997" formatCode="0.000">
                  <c:v>3275.9742993264263</c:v>
                </c:pt>
                <c:pt idx="1004" formatCode="0.000">
                  <c:v>3266.7877773788664</c:v>
                </c:pt>
                <c:pt idx="1005" formatCode="0.000">
                  <c:v>3265.4649973174205</c:v>
                </c:pt>
                <c:pt idx="1008" formatCode="0.000">
                  <c:v>3265.3477056524148</c:v>
                </c:pt>
                <c:pt idx="1011" formatCode="0.000">
                  <c:v>3264.6217511300488</c:v>
                </c:pt>
                <c:pt idx="1016" formatCode="0.000">
                  <c:v>3263.2549336335528</c:v>
                </c:pt>
                <c:pt idx="1022" formatCode="0.000">
                  <c:v>3261.3669236732517</c:v>
                </c:pt>
                <c:pt idx="1025" formatCode="0.000">
                  <c:v>3258.9712144849541</c:v>
                </c:pt>
                <c:pt idx="1026" formatCode="0.000">
                  <c:v>3258.4009723068498</c:v>
                </c:pt>
                <c:pt idx="1032" formatCode="0.000">
                  <c:v>3256.8516015567752</c:v>
                </c:pt>
                <c:pt idx="1033" formatCode="0.000">
                  <c:v>3249.3242217949719</c:v>
                </c:pt>
                <c:pt idx="1034" formatCode="0.000">
                  <c:v>3247.4027272987064</c:v>
                </c:pt>
                <c:pt idx="1038" formatCode="0.000">
                  <c:v>3238.3398715415342</c:v>
                </c:pt>
                <c:pt idx="1040" formatCode="0.000">
                  <c:v>3229.999198960199</c:v>
                </c:pt>
                <c:pt idx="1041" formatCode="0.000">
                  <c:v>3227.6159989051926</c:v>
                </c:pt>
                <c:pt idx="1044" formatCode="0.000">
                  <c:v>3224.1610894053424</c:v>
                </c:pt>
                <c:pt idx="1045" formatCode="0.000">
                  <c:v>3223.7754730648721</c:v>
                </c:pt>
                <c:pt idx="1046" formatCode="0.000">
                  <c:v>3219.9067515004763</c:v>
                </c:pt>
                <c:pt idx="1052" formatCode="0.000">
                  <c:v>3209.5876803186479</c:v>
                </c:pt>
                <c:pt idx="1053" formatCode="0.000">
                  <c:v>3209.4960000051351</c:v>
                </c:pt>
                <c:pt idx="1056" formatCode="0.000">
                  <c:v>3207.5204808201497</c:v>
                </c:pt>
                <c:pt idx="1057" formatCode="0.000">
                  <c:v>3201.2415695303271</c:v>
                </c:pt>
                <c:pt idx="1066" formatCode="0.000">
                  <c:v>3200.3809733510675</c:v>
                </c:pt>
                <c:pt idx="1068" formatCode="0.000">
                  <c:v>3200.1986683333312</c:v>
                </c:pt>
                <c:pt idx="1069" formatCode="0.000">
                  <c:v>3196.8379436531736</c:v>
                </c:pt>
                <c:pt idx="1072" formatCode="0.000">
                  <c:v>3192.8928758896991</c:v>
                </c:pt>
                <c:pt idx="1076" formatCode="0.000">
                  <c:v>3185.6528390219537</c:v>
                </c:pt>
                <c:pt idx="1077" formatCode="0.000">
                  <c:v>3185.6437055025303</c:v>
                </c:pt>
                <c:pt idx="1078" formatCode="0.000">
                  <c:v>3184.8411751554363</c:v>
                </c:pt>
                <c:pt idx="1079" formatCode="0.000">
                  <c:v>3182.8320585030006</c:v>
                </c:pt>
                <c:pt idx="1080" formatCode="0.000">
                  <c:v>3180.1062727914245</c:v>
                </c:pt>
                <c:pt idx="1081" formatCode="0.000">
                  <c:v>3179.1104467476748</c:v>
                </c:pt>
                <c:pt idx="1086" formatCode="0.000">
                  <c:v>3177.7607591034903</c:v>
                </c:pt>
                <c:pt idx="1088" formatCode="0.000">
                  <c:v>3173.8676433715359</c:v>
                </c:pt>
                <c:pt idx="1096" formatCode="0.000">
                  <c:v>3171.1209817536865</c:v>
                </c:pt>
                <c:pt idx="1097" formatCode="0.000">
                  <c:v>3168.6812614013115</c:v>
                </c:pt>
                <c:pt idx="1100" formatCode="0.000">
                  <c:v>3168.1542206784161</c:v>
                </c:pt>
                <c:pt idx="1101" formatCode="0.000">
                  <c:v>3164.7903152352696</c:v>
                </c:pt>
                <c:pt idx="1103" formatCode="0.000">
                  <c:v>3162.2453206674877</c:v>
                </c:pt>
                <c:pt idx="1105" formatCode="0.000">
                  <c:v>3161.037806644375</c:v>
                </c:pt>
                <c:pt idx="1106" formatCode="0.000">
                  <c:v>3160.9648655594224</c:v>
                </c:pt>
                <c:pt idx="1108" formatCode="0.000">
                  <c:v>3155.4331668211248</c:v>
                </c:pt>
                <c:pt idx="1109" formatCode="0.000">
                  <c:v>3154.6716586190987</c:v>
                </c:pt>
                <c:pt idx="1112" formatCode="0.000">
                  <c:v>3148.7950505979884</c:v>
                </c:pt>
                <c:pt idx="1115" formatCode="0.000">
                  <c:v>3147.9525087292732</c:v>
                </c:pt>
                <c:pt idx="1116" formatCode="0.000">
                  <c:v>3144.6926550357061</c:v>
                </c:pt>
                <c:pt idx="1117" formatCode="0.000">
                  <c:v>3144.4474246818368</c:v>
                </c:pt>
                <c:pt idx="1121" formatCode="0.000">
                  <c:v>3141.8501350053007</c:v>
                </c:pt>
                <c:pt idx="1122" formatCode="0.000">
                  <c:v>3139.5153530149555</c:v>
                </c:pt>
                <c:pt idx="1123" formatCode="0.000">
                  <c:v>3139.1605570754323</c:v>
                </c:pt>
                <c:pt idx="1124" formatCode="0.000">
                  <c:v>3136.9508022594828</c:v>
                </c:pt>
                <c:pt idx="1125" formatCode="0.000">
                  <c:v>3134.4218762586656</c:v>
                </c:pt>
                <c:pt idx="1126" formatCode="0.000">
                  <c:v>3130.363682522272</c:v>
                </c:pt>
                <c:pt idx="1130" formatCode="0.000">
                  <c:v>3123.9115120825081</c:v>
                </c:pt>
                <c:pt idx="1131" formatCode="0.000">
                  <c:v>3123.545599080428</c:v>
                </c:pt>
                <c:pt idx="1135" formatCode="0.000">
                  <c:v>3122.5907260928993</c:v>
                </c:pt>
                <c:pt idx="1136" formatCode="0.000">
                  <c:v>3122.3284577133691</c:v>
                </c:pt>
                <c:pt idx="1138" formatCode="0.000">
                  <c:v>3119.8376436490248</c:v>
                </c:pt>
                <c:pt idx="1140" formatCode="0.000">
                  <c:v>3118.2139868112031</c:v>
                </c:pt>
                <c:pt idx="1141" formatCode="0.000">
                  <c:v>3114.7757486052033</c:v>
                </c:pt>
                <c:pt idx="1145" formatCode="0.000">
                  <c:v>3114.4546512044367</c:v>
                </c:pt>
                <c:pt idx="1146" formatCode="0.000">
                  <c:v>3109.7805396775343</c:v>
                </c:pt>
                <c:pt idx="1147" formatCode="0.000">
                  <c:v>3109.3280151386962</c:v>
                </c:pt>
                <c:pt idx="1152" formatCode="0.000">
                  <c:v>3101.9688506491957</c:v>
                </c:pt>
                <c:pt idx="1154" formatCode="0.000">
                  <c:v>3099.3711066087585</c:v>
                </c:pt>
                <c:pt idx="1157" formatCode="0.000">
                  <c:v>3098.3483944048785</c:v>
                </c:pt>
                <c:pt idx="1161" formatCode="0.000">
                  <c:v>3096.4929121277237</c:v>
                </c:pt>
                <c:pt idx="1164" formatCode="0.000">
                  <c:v>3093.4602394461963</c:v>
                </c:pt>
                <c:pt idx="1165" formatCode="0.000">
                  <c:v>3092.8536523508783</c:v>
                </c:pt>
                <c:pt idx="1166" formatCode="0.000">
                  <c:v>3092.6451331971325</c:v>
                </c:pt>
                <c:pt idx="1167" formatCode="0.000">
                  <c:v>3092.3209321986983</c:v>
                </c:pt>
                <c:pt idx="1168" formatCode="0.000">
                  <c:v>3091.5064261598318</c:v>
                </c:pt>
                <c:pt idx="1170" formatCode="0.000">
                  <c:v>3089.200987432203</c:v>
                </c:pt>
                <c:pt idx="1171" formatCode="0.000">
                  <c:v>3088.8698751787688</c:v>
                </c:pt>
                <c:pt idx="1172" formatCode="0.000">
                  <c:v>3088.0371602039718</c:v>
                </c:pt>
                <c:pt idx="1174" formatCode="0.000">
                  <c:v>3085.0048403725937</c:v>
                </c:pt>
                <c:pt idx="1176" formatCode="0.000">
                  <c:v>3084.2522091727515</c:v>
                </c:pt>
                <c:pt idx="1183" formatCode="0.000">
                  <c:v>3081.093455418581</c:v>
                </c:pt>
                <c:pt idx="1185" formatCode="0.000">
                  <c:v>3079.9309849064898</c:v>
                </c:pt>
                <c:pt idx="1186" formatCode="0.000">
                  <c:v>3079.5857341270453</c:v>
                </c:pt>
                <c:pt idx="1189" formatCode="0.000">
                  <c:v>3077.1219063385633</c:v>
                </c:pt>
                <c:pt idx="1193" formatCode="0.000">
                  <c:v>3076.8530193466372</c:v>
                </c:pt>
                <c:pt idx="1196" formatCode="0.000">
                  <c:v>3074.0259257198527</c:v>
                </c:pt>
                <c:pt idx="1200" formatCode="0.000">
                  <c:v>3071.0700898042319</c:v>
                </c:pt>
                <c:pt idx="1204" formatCode="0.000">
                  <c:v>3070.492049421412</c:v>
                </c:pt>
                <c:pt idx="1207" formatCode="0.000">
                  <c:v>3070.2092378297675</c:v>
                </c:pt>
                <c:pt idx="1208" formatCode="0.000">
                  <c:v>3070.0537136597736</c:v>
                </c:pt>
                <c:pt idx="1210" formatCode="0.000">
                  <c:v>3069.2452419025635</c:v>
                </c:pt>
                <c:pt idx="1213" formatCode="0.000">
                  <c:v>3067.5975802790285</c:v>
                </c:pt>
                <c:pt idx="1216" formatCode="0.000">
                  <c:v>3064.0700103228519</c:v>
                </c:pt>
                <c:pt idx="1217" formatCode="0.000">
                  <c:v>3062.1775144305107</c:v>
                </c:pt>
                <c:pt idx="1224" formatCode="0.000">
                  <c:v>3059.7891988829329</c:v>
                </c:pt>
                <c:pt idx="1228" formatCode="0.000">
                  <c:v>3058.36959540217</c:v>
                </c:pt>
                <c:pt idx="1229" formatCode="0.000">
                  <c:v>3056.9653260650925</c:v>
                </c:pt>
                <c:pt idx="1230" formatCode="0.000">
                  <c:v>3056.1861486308894</c:v>
                </c:pt>
                <c:pt idx="1233" formatCode="0.000">
                  <c:v>3055.9003629798453</c:v>
                </c:pt>
                <c:pt idx="1238" formatCode="0.000">
                  <c:v>3051.9086942164499</c:v>
                </c:pt>
                <c:pt idx="1240" formatCode="0.000">
                  <c:v>3051.1888804913392</c:v>
                </c:pt>
                <c:pt idx="1244" formatCode="0.000">
                  <c:v>3048.9552449957496</c:v>
                </c:pt>
                <c:pt idx="1253" formatCode="0.000">
                  <c:v>3047.8624121758444</c:v>
                </c:pt>
                <c:pt idx="1256" formatCode="0.000">
                  <c:v>3046.7035277170808</c:v>
                </c:pt>
                <c:pt idx="1261" formatCode="0.000">
                  <c:v>3044.4857209052966</c:v>
                </c:pt>
                <c:pt idx="1263" formatCode="0.000">
                  <c:v>3043.2303037569895</c:v>
                </c:pt>
                <c:pt idx="1269" formatCode="0.000">
                  <c:v>3042.6728785876157</c:v>
                </c:pt>
                <c:pt idx="1270" formatCode="0.000">
                  <c:v>3041.8204687141151</c:v>
                </c:pt>
                <c:pt idx="1271" formatCode="0.000">
                  <c:v>3040.9047299752619</c:v>
                </c:pt>
                <c:pt idx="1272" formatCode="0.000">
                  <c:v>3040.5653992171142</c:v>
                </c:pt>
                <c:pt idx="1274" formatCode="0.000">
                  <c:v>3037.7981067227079</c:v>
                </c:pt>
                <c:pt idx="1276" formatCode="0.000">
                  <c:v>3035.1666549306892</c:v>
                </c:pt>
                <c:pt idx="1278" formatCode="0.000">
                  <c:v>3035.1242792338617</c:v>
                </c:pt>
                <c:pt idx="1279" formatCode="0.000">
                  <c:v>3035.0303199528958</c:v>
                </c:pt>
                <c:pt idx="1284" formatCode="0.000">
                  <c:v>3034.2005988905144</c:v>
                </c:pt>
                <c:pt idx="1287" formatCode="0.000">
                  <c:v>3033.9833440382372</c:v>
                </c:pt>
                <c:pt idx="1288" formatCode="0.000">
                  <c:v>3032.765084139518</c:v>
                </c:pt>
                <c:pt idx="1291" formatCode="0.000">
                  <c:v>3031.5459641483317</c:v>
                </c:pt>
                <c:pt idx="1294" formatCode="0.000">
                  <c:v>3030.2525260942625</c:v>
                </c:pt>
                <c:pt idx="1295" formatCode="0.000">
                  <c:v>3028.8629436489141</c:v>
                </c:pt>
                <c:pt idx="1296" formatCode="0.000">
                  <c:v>3028.3621254862414</c:v>
                </c:pt>
                <c:pt idx="1301" formatCode="0.000">
                  <c:v>3027.1053063339755</c:v>
                </c:pt>
                <c:pt idx="1302" formatCode="0.000">
                  <c:v>3026.6875144902665</c:v>
                </c:pt>
                <c:pt idx="1303" formatCode="0.000">
                  <c:v>3026.5656802584685</c:v>
                </c:pt>
                <c:pt idx="1309" formatCode="0.000">
                  <c:v>3026.1517003795102</c:v>
                </c:pt>
                <c:pt idx="1314" formatCode="0.000">
                  <c:v>3025.1620881846852</c:v>
                </c:pt>
                <c:pt idx="1316" formatCode="0.000">
                  <c:v>3022.7881956493611</c:v>
                </c:pt>
                <c:pt idx="1317" formatCode="0.000">
                  <c:v>3022.6511431364365</c:v>
                </c:pt>
                <c:pt idx="1321" formatCode="0.000">
                  <c:v>3022.2775097521344</c:v>
                </c:pt>
                <c:pt idx="1324" formatCode="0.000">
                  <c:v>3020.3943064359169</c:v>
                </c:pt>
                <c:pt idx="1325" formatCode="0.000">
                  <c:v>3019.4895975563882</c:v>
                </c:pt>
                <c:pt idx="1328" formatCode="0.000">
                  <c:v>3017.1409813432069</c:v>
                </c:pt>
                <c:pt idx="1332" formatCode="0.000">
                  <c:v>3016.0098852740002</c:v>
                </c:pt>
                <c:pt idx="1334" formatCode="0.000">
                  <c:v>3015.4714795199734</c:v>
                </c:pt>
                <c:pt idx="1338" formatCode="0.000">
                  <c:v>3014.0972341739548</c:v>
                </c:pt>
                <c:pt idx="1339" formatCode="0.000">
                  <c:v>3014.0917833145304</c:v>
                </c:pt>
                <c:pt idx="1343" formatCode="0.000">
                  <c:v>3013.3234094549043</c:v>
                </c:pt>
                <c:pt idx="1344" formatCode="0.000">
                  <c:v>3012.6942886546758</c:v>
                </c:pt>
                <c:pt idx="1347" formatCode="0.000">
                  <c:v>3012.1606951584936</c:v>
                </c:pt>
                <c:pt idx="1350" formatCode="0.000">
                  <c:v>3011.4830861558203</c:v>
                </c:pt>
                <c:pt idx="1351" formatCode="0.000">
                  <c:v>3011.4041876586634</c:v>
                </c:pt>
                <c:pt idx="1352" formatCode="0.000">
                  <c:v>3008.9105878147552</c:v>
                </c:pt>
                <c:pt idx="1357" formatCode="0.000">
                  <c:v>3008.3276526079494</c:v>
                </c:pt>
                <c:pt idx="1360" formatCode="0.000">
                  <c:v>3007.3360956717815</c:v>
                </c:pt>
                <c:pt idx="1362" formatCode="0.000">
                  <c:v>3005.7587331568552</c:v>
                </c:pt>
                <c:pt idx="1368" formatCode="0.000">
                  <c:v>3004.8799249981967</c:v>
                </c:pt>
                <c:pt idx="1369" formatCode="0.000">
                  <c:v>3004.5323370304109</c:v>
                </c:pt>
                <c:pt idx="1372" formatCode="0.000">
                  <c:v>3004.079239198908</c:v>
                </c:pt>
                <c:pt idx="1376" formatCode="0.000">
                  <c:v>3003.4007506699841</c:v>
                </c:pt>
                <c:pt idx="1377" formatCode="0.000">
                  <c:v>3002.9759491656237</c:v>
                </c:pt>
                <c:pt idx="1379" formatCode="0.000">
                  <c:v>3002.3484369473799</c:v>
                </c:pt>
                <c:pt idx="1380" formatCode="0.000">
                  <c:v>3002.1176938212216</c:v>
                </c:pt>
                <c:pt idx="1381" formatCode="0.000">
                  <c:v>3001.9942247635104</c:v>
                </c:pt>
                <c:pt idx="1384" formatCode="0.000">
                  <c:v>3001.331090338565</c:v>
                </c:pt>
                <c:pt idx="1386" formatCode="0.000">
                  <c:v>2999.655639532582</c:v>
                </c:pt>
                <c:pt idx="1387" formatCode="0.000">
                  <c:v>2999.2273990220119</c:v>
                </c:pt>
                <c:pt idx="1388" formatCode="0.000">
                  <c:v>2998.4962541285549</c:v>
                </c:pt>
                <c:pt idx="1389" formatCode="0.000">
                  <c:v>2997.9892486109566</c:v>
                </c:pt>
                <c:pt idx="1393" formatCode="0.000">
                  <c:v>2996.6982378815023</c:v>
                </c:pt>
                <c:pt idx="1397" formatCode="0.000">
                  <c:v>2995.6470253075254</c:v>
                </c:pt>
                <c:pt idx="1398" formatCode="0.000">
                  <c:v>2995.0620412126532</c:v>
                </c:pt>
                <c:pt idx="1402" formatCode="0.000">
                  <c:v>2992.6124369381751</c:v>
                </c:pt>
                <c:pt idx="1403" formatCode="0.000">
                  <c:v>2992.4521379723919</c:v>
                </c:pt>
                <c:pt idx="1407" formatCode="0.000">
                  <c:v>2989.9656751940483</c:v>
                </c:pt>
                <c:pt idx="1409" formatCode="0.000">
                  <c:v>2987.9341244187726</c:v>
                </c:pt>
                <c:pt idx="1410" formatCode="0.000">
                  <c:v>2986.6865460523172</c:v>
                </c:pt>
                <c:pt idx="1420" formatCode="0.000">
                  <c:v>2984.8892964257739</c:v>
                </c:pt>
                <c:pt idx="1424" formatCode="0.000">
                  <c:v>2984.5169231063087</c:v>
                </c:pt>
                <c:pt idx="1426" formatCode="0.000">
                  <c:v>2984.1241610507936</c:v>
                </c:pt>
                <c:pt idx="1430" formatCode="0.000">
                  <c:v>2983.2828760756224</c:v>
                </c:pt>
                <c:pt idx="1432" formatCode="0.000">
                  <c:v>2983.1155658970233</c:v>
                </c:pt>
                <c:pt idx="1433" formatCode="0.000">
                  <c:v>2982.517674399739</c:v>
                </c:pt>
                <c:pt idx="1434" formatCode="0.000">
                  <c:v>2982.391364903337</c:v>
                </c:pt>
                <c:pt idx="1439" formatCode="0.000">
                  <c:v>2981.4586070685027</c:v>
                </c:pt>
                <c:pt idx="1440" formatCode="0.000">
                  <c:v>2981.4043845725437</c:v>
                </c:pt>
                <c:pt idx="1443" formatCode="0.000">
                  <c:v>2980.7103330794766</c:v>
                </c:pt>
                <c:pt idx="1446" formatCode="0.000">
                  <c:v>2979.7777383784946</c:v>
                </c:pt>
                <c:pt idx="1449" formatCode="0.000">
                  <c:v>2977.931147849516</c:v>
                </c:pt>
                <c:pt idx="1451" formatCode="0.000">
                  <c:v>2977.7174426052416</c:v>
                </c:pt>
                <c:pt idx="1452" formatCode="0.000">
                  <c:v>2977.2138934663549</c:v>
                </c:pt>
                <c:pt idx="1455" formatCode="0.000">
                  <c:v>2976.6883627559127</c:v>
                </c:pt>
                <c:pt idx="1456" formatCode="0.000">
                  <c:v>2975.9655073693834</c:v>
                </c:pt>
                <c:pt idx="1458" formatCode="0.000">
                  <c:v>2975.7768786302627</c:v>
                </c:pt>
                <c:pt idx="1459" formatCode="0.000">
                  <c:v>2974.7031246281617</c:v>
                </c:pt>
                <c:pt idx="1460" formatCode="0.000">
                  <c:v>2973.5461440837735</c:v>
                </c:pt>
                <c:pt idx="1462" formatCode="0.000">
                  <c:v>2972.190403272738</c:v>
                </c:pt>
                <c:pt idx="1463" formatCode="0.000">
                  <c:v>2971.7258119349262</c:v>
                </c:pt>
                <c:pt idx="1467" formatCode="0.000">
                  <c:v>2970.602913567338</c:v>
                </c:pt>
                <c:pt idx="1468" formatCode="0.000">
                  <c:v>2970.2729146159413</c:v>
                </c:pt>
                <c:pt idx="1471" formatCode="0.000">
                  <c:v>2969.691624252046</c:v>
                </c:pt>
                <c:pt idx="1474" formatCode="0.000">
                  <c:v>2966.5025498572672</c:v>
                </c:pt>
                <c:pt idx="1475" formatCode="0.000">
                  <c:v>2965.7133875268023</c:v>
                </c:pt>
                <c:pt idx="1478" formatCode="0.000">
                  <c:v>2965.173444855483</c:v>
                </c:pt>
                <c:pt idx="1480" formatCode="0.000">
                  <c:v>2964.2514242487023</c:v>
                </c:pt>
                <c:pt idx="1482" formatCode="0.000">
                  <c:v>2963.898237517913</c:v>
                </c:pt>
                <c:pt idx="1484" formatCode="0.000">
                  <c:v>2962.2379826448405</c:v>
                </c:pt>
                <c:pt idx="1485" formatCode="0.000">
                  <c:v>2961.7975504749534</c:v>
                </c:pt>
                <c:pt idx="1486" formatCode="0.000">
                  <c:v>2961.483537409164</c:v>
                </c:pt>
                <c:pt idx="1488" formatCode="0.000">
                  <c:v>2960.5787102416484</c:v>
                </c:pt>
                <c:pt idx="1490" formatCode="0.000">
                  <c:v>2957.5753560624967</c:v>
                </c:pt>
                <c:pt idx="1491" formatCode="0.000">
                  <c:v>2957.2753557528317</c:v>
                </c:pt>
                <c:pt idx="1497" formatCode="0.000">
                  <c:v>2955.2608963424509</c:v>
                </c:pt>
                <c:pt idx="1498" formatCode="0.000">
                  <c:v>2954.4471520311236</c:v>
                </c:pt>
                <c:pt idx="1500" formatCode="0.000">
                  <c:v>2953.5291720076325</c:v>
                </c:pt>
                <c:pt idx="1501" formatCode="0.000">
                  <c:v>2953.5256826779264</c:v>
                </c:pt>
                <c:pt idx="1502" formatCode="0.000">
                  <c:v>2953.1105113015533</c:v>
                </c:pt>
                <c:pt idx="1504" formatCode="0.000">
                  <c:v>2952.4130071507439</c:v>
                </c:pt>
                <c:pt idx="1509" formatCode="0.000">
                  <c:v>2951.1461366250819</c:v>
                </c:pt>
                <c:pt idx="1513" formatCode="0.000">
                  <c:v>2947.0376083257356</c:v>
                </c:pt>
                <c:pt idx="1514" formatCode="0.000">
                  <c:v>2946.9342600852187</c:v>
                </c:pt>
                <c:pt idx="1518" formatCode="0.000">
                  <c:v>2944.417061365773</c:v>
                </c:pt>
                <c:pt idx="1521" formatCode="0.000">
                  <c:v>2943.5867486789184</c:v>
                </c:pt>
                <c:pt idx="1523" formatCode="0.000">
                  <c:v>2943.2739861377677</c:v>
                </c:pt>
                <c:pt idx="1525" formatCode="0.000">
                  <c:v>2941.7561695981262</c:v>
                </c:pt>
                <c:pt idx="1529" formatCode="0.000">
                  <c:v>2938.0724834233952</c:v>
                </c:pt>
                <c:pt idx="1535" formatCode="0.000">
                  <c:v>2937.1310045604832</c:v>
                </c:pt>
                <c:pt idx="1537" formatCode="0.000">
                  <c:v>2936.2582380395188</c:v>
                </c:pt>
                <c:pt idx="1539" formatCode="0.000">
                  <c:v>2934.6830527629604</c:v>
                </c:pt>
                <c:pt idx="1542" formatCode="0.000">
                  <c:v>2931.3658787252898</c:v>
                </c:pt>
                <c:pt idx="1544" formatCode="0.000">
                  <c:v>2931.0462574789312</c:v>
                </c:pt>
                <c:pt idx="1549" formatCode="0.000">
                  <c:v>2929.8345639615113</c:v>
                </c:pt>
                <c:pt idx="1553" formatCode="0.000">
                  <c:v>2929.1154071470414</c:v>
                </c:pt>
                <c:pt idx="1557" formatCode="0.000">
                  <c:v>2928.2902708727065</c:v>
                </c:pt>
                <c:pt idx="1561" formatCode="0.000">
                  <c:v>2927.2650738051334</c:v>
                </c:pt>
                <c:pt idx="1562" formatCode="0.000">
                  <c:v>2925.504371581183</c:v>
                </c:pt>
                <c:pt idx="1567" formatCode="0.000">
                  <c:v>2922.396634100452</c:v>
                </c:pt>
                <c:pt idx="1569" formatCode="0.000">
                  <c:v>2917.0337267439486</c:v>
                </c:pt>
                <c:pt idx="1570" formatCode="0.000">
                  <c:v>2916.7427450399332</c:v>
                </c:pt>
                <c:pt idx="1573" formatCode="0.000">
                  <c:v>2915.3371514532223</c:v>
                </c:pt>
                <c:pt idx="1574" formatCode="0.000">
                  <c:v>2914.9861771355477</c:v>
                </c:pt>
                <c:pt idx="1577" formatCode="0.000">
                  <c:v>2914.7372320664235</c:v>
                </c:pt>
                <c:pt idx="1578" formatCode="0.000">
                  <c:v>2912.622490338832</c:v>
                </c:pt>
                <c:pt idx="1579" formatCode="0.000">
                  <c:v>2912.2255227444812</c:v>
                </c:pt>
                <c:pt idx="1583" formatCode="0.000">
                  <c:v>2911.4624275773722</c:v>
                </c:pt>
                <c:pt idx="1585" formatCode="0.000">
                  <c:v>2911.0869620274907</c:v>
                </c:pt>
                <c:pt idx="1587" formatCode="0.000">
                  <c:v>2910.4091656933774</c:v>
                </c:pt>
                <c:pt idx="1598" formatCode="0.000">
                  <c:v>2906.9328021785714</c:v>
                </c:pt>
                <c:pt idx="1599" formatCode="0.000">
                  <c:v>2906.6091933142184</c:v>
                </c:pt>
                <c:pt idx="1600" formatCode="0.000">
                  <c:v>2906.4267198271486</c:v>
                </c:pt>
                <c:pt idx="1603" formatCode="0.000">
                  <c:v>2902.0601144340339</c:v>
                </c:pt>
                <c:pt idx="1604" formatCode="0.000">
                  <c:v>2901.6432876430913</c:v>
                </c:pt>
                <c:pt idx="1605" formatCode="0.000">
                  <c:v>2901.3427414207285</c:v>
                </c:pt>
                <c:pt idx="1610" formatCode="0.000">
                  <c:v>2898.4835134257755</c:v>
                </c:pt>
                <c:pt idx="1611" formatCode="0.000">
                  <c:v>2898.0299192608868</c:v>
                </c:pt>
                <c:pt idx="1613" formatCode="0.000">
                  <c:v>2896.4971501364535</c:v>
                </c:pt>
                <c:pt idx="1614" formatCode="0.000">
                  <c:v>2894.0351908891139</c:v>
                </c:pt>
                <c:pt idx="1615" formatCode="0.000">
                  <c:v>2893.9480889379693</c:v>
                </c:pt>
                <c:pt idx="1617" formatCode="0.000">
                  <c:v>2891.6861132557783</c:v>
                </c:pt>
                <c:pt idx="1620" formatCode="0.000">
                  <c:v>2889.7132277489914</c:v>
                </c:pt>
                <c:pt idx="1623" formatCode="0.000">
                  <c:v>2888.0682924180696</c:v>
                </c:pt>
                <c:pt idx="1626" formatCode="0.000">
                  <c:v>2887.9114912886153</c:v>
                </c:pt>
                <c:pt idx="1628" formatCode="0.000">
                  <c:v>2887.1219061240758</c:v>
                </c:pt>
                <c:pt idx="1630" formatCode="0.000">
                  <c:v>2885.8429778205655</c:v>
                </c:pt>
                <c:pt idx="1631" formatCode="0.000">
                  <c:v>2884.1916303066241</c:v>
                </c:pt>
                <c:pt idx="1634" formatCode="0.000">
                  <c:v>2883.4614455253582</c:v>
                </c:pt>
                <c:pt idx="1635" formatCode="0.000">
                  <c:v>2883.3134576925654</c:v>
                </c:pt>
                <c:pt idx="1636" formatCode="0.000">
                  <c:v>2882.9177895631456</c:v>
                </c:pt>
                <c:pt idx="1642" formatCode="0.000">
                  <c:v>2881.1626989694946</c:v>
                </c:pt>
                <c:pt idx="1644" formatCode="0.000">
                  <c:v>2880.5518676490119</c:v>
                </c:pt>
                <c:pt idx="1646" formatCode="0.000">
                  <c:v>2877.1629791986879</c:v>
                </c:pt>
                <c:pt idx="1647" formatCode="0.000">
                  <c:v>2877.0727511001205</c:v>
                </c:pt>
                <c:pt idx="1652" formatCode="0.000">
                  <c:v>2870.8647704987638</c:v>
                </c:pt>
                <c:pt idx="1657" formatCode="0.000">
                  <c:v>2868.5539648148911</c:v>
                </c:pt>
                <c:pt idx="1658" formatCode="0.000">
                  <c:v>2866.6831787617762</c:v>
                </c:pt>
                <c:pt idx="1660" formatCode="0.000">
                  <c:v>2866.3265674650152</c:v>
                </c:pt>
                <c:pt idx="1661" formatCode="0.000">
                  <c:v>2865.6579550664828</c:v>
                </c:pt>
                <c:pt idx="1662" formatCode="0.000">
                  <c:v>2864.6621861440308</c:v>
                </c:pt>
                <c:pt idx="1665" formatCode="0.000">
                  <c:v>2862.723532188606</c:v>
                </c:pt>
                <c:pt idx="1667" formatCode="0.000">
                  <c:v>2861.9918891149864</c:v>
                </c:pt>
                <c:pt idx="1669" formatCode="0.000">
                  <c:v>2860.8693438109808</c:v>
                </c:pt>
                <c:pt idx="1670" formatCode="0.000">
                  <c:v>2859.871992129632</c:v>
                </c:pt>
                <c:pt idx="1672" formatCode="0.000">
                  <c:v>2858.5402749744235</c:v>
                </c:pt>
                <c:pt idx="1673" formatCode="0.000">
                  <c:v>2858.3842125723177</c:v>
                </c:pt>
                <c:pt idx="1676" formatCode="0.000">
                  <c:v>2853.233926663328</c:v>
                </c:pt>
                <c:pt idx="1678" formatCode="0.000">
                  <c:v>2852.3175507947849</c:v>
                </c:pt>
                <c:pt idx="1684" formatCode="0.000">
                  <c:v>2850.807548254194</c:v>
                </c:pt>
                <c:pt idx="1686" formatCode="0.000">
                  <c:v>2849.3113214536043</c:v>
                </c:pt>
                <c:pt idx="1688" formatCode="0.000">
                  <c:v>2848.8064355676902</c:v>
                </c:pt>
                <c:pt idx="1690" formatCode="0.000">
                  <c:v>2844.2470410586966</c:v>
                </c:pt>
                <c:pt idx="1692" formatCode="0.000">
                  <c:v>2842.779510609822</c:v>
                </c:pt>
                <c:pt idx="1693" formatCode="0.000">
                  <c:v>2842.6566787081601</c:v>
                </c:pt>
                <c:pt idx="1695" formatCode="0.000">
                  <c:v>2841.8060359391843</c:v>
                </c:pt>
                <c:pt idx="1701" formatCode="0.000">
                  <c:v>2839.2974669491578</c:v>
                </c:pt>
                <c:pt idx="1705" formatCode="0.000">
                  <c:v>2838.1982890205436</c:v>
                </c:pt>
                <c:pt idx="1709" formatCode="0.000">
                  <c:v>2836.8247080623687</c:v>
                </c:pt>
                <c:pt idx="1711" formatCode="0.000">
                  <c:v>2835.9292957451703</c:v>
                </c:pt>
                <c:pt idx="1713" formatCode="0.000">
                  <c:v>2831.9851196173877</c:v>
                </c:pt>
                <c:pt idx="1714" formatCode="0.000">
                  <c:v>2830.6896579054928</c:v>
                </c:pt>
                <c:pt idx="1715" formatCode="0.000">
                  <c:v>2829.8037191544313</c:v>
                </c:pt>
                <c:pt idx="1716" formatCode="0.000">
                  <c:v>2828.8167031442581</c:v>
                </c:pt>
                <c:pt idx="1719" formatCode="0.000">
                  <c:v>2828.4998513623327</c:v>
                </c:pt>
                <c:pt idx="1722" formatCode="0.000">
                  <c:v>2826.6010292219671</c:v>
                </c:pt>
                <c:pt idx="1724" formatCode="0.000">
                  <c:v>2824.0059710782257</c:v>
                </c:pt>
                <c:pt idx="1725" formatCode="0.000">
                  <c:v>2823.6726550175113</c:v>
                </c:pt>
                <c:pt idx="1730" formatCode="0.000">
                  <c:v>2820.1712182350016</c:v>
                </c:pt>
                <c:pt idx="1731" formatCode="0.000">
                  <c:v>2819.9127575391076</c:v>
                </c:pt>
                <c:pt idx="1733" formatCode="0.000">
                  <c:v>2815.7195993794153</c:v>
                </c:pt>
                <c:pt idx="1735" formatCode="0.000">
                  <c:v>2814.5625466161923</c:v>
                </c:pt>
                <c:pt idx="1736" formatCode="0.000">
                  <c:v>2813.3360003758612</c:v>
                </c:pt>
                <c:pt idx="1743" formatCode="0.000">
                  <c:v>2809.1339552381364</c:v>
                </c:pt>
                <c:pt idx="1744" formatCode="0.000">
                  <c:v>2808.8254418914407</c:v>
                </c:pt>
                <c:pt idx="1745" formatCode="0.000">
                  <c:v>2806.4889392061168</c:v>
                </c:pt>
                <c:pt idx="1746" formatCode="0.000">
                  <c:v>2806.4826381161311</c:v>
                </c:pt>
                <c:pt idx="1747" formatCode="0.000">
                  <c:v>2805.3284408405329</c:v>
                </c:pt>
                <c:pt idx="1748" formatCode="0.000">
                  <c:v>2803.9125796135936</c:v>
                </c:pt>
                <c:pt idx="1750" formatCode="0.000">
                  <c:v>2803.3293460645605</c:v>
                </c:pt>
                <c:pt idx="1752" formatCode="0.000">
                  <c:v>2798.7426928326718</c:v>
                </c:pt>
                <c:pt idx="1754" formatCode="0.000">
                  <c:v>2795.9897677958461</c:v>
                </c:pt>
                <c:pt idx="1757" formatCode="0.000">
                  <c:v>2793.7276344642069</c:v>
                </c:pt>
                <c:pt idx="1759" formatCode="0.000">
                  <c:v>2784.9715139188697</c:v>
                </c:pt>
                <c:pt idx="1760" formatCode="0.000">
                  <c:v>2783.6466327618509</c:v>
                </c:pt>
                <c:pt idx="1766" formatCode="0.000">
                  <c:v>2779.3210730069277</c:v>
                </c:pt>
                <c:pt idx="1767" formatCode="0.000">
                  <c:v>2778.8862446242442</c:v>
                </c:pt>
                <c:pt idx="1768" formatCode="0.000">
                  <c:v>2778.6198539612978</c:v>
                </c:pt>
                <c:pt idx="1770" formatCode="0.000">
                  <c:v>2777.6674426543605</c:v>
                </c:pt>
                <c:pt idx="1771" formatCode="0.000">
                  <c:v>2777.5964624531448</c:v>
                </c:pt>
                <c:pt idx="1772" formatCode="0.000">
                  <c:v>2777.138264549636</c:v>
                </c:pt>
                <c:pt idx="1775" formatCode="0.000">
                  <c:v>2775.6158814079254</c:v>
                </c:pt>
                <c:pt idx="1776" formatCode="0.000">
                  <c:v>2775.5234359647889</c:v>
                </c:pt>
                <c:pt idx="1778" formatCode="0.000">
                  <c:v>2771.0556585926415</c:v>
                </c:pt>
                <c:pt idx="1779" formatCode="0.000">
                  <c:v>2770.6042216804763</c:v>
                </c:pt>
                <c:pt idx="1781" formatCode="0.000">
                  <c:v>2767.7010395761877</c:v>
                </c:pt>
                <c:pt idx="1783" formatCode="0.000">
                  <c:v>2766.6772538182913</c:v>
                </c:pt>
                <c:pt idx="1784" formatCode="0.000">
                  <c:v>2766.5884644327384</c:v>
                </c:pt>
                <c:pt idx="1785" formatCode="0.000">
                  <c:v>2766.247137625774</c:v>
                </c:pt>
                <c:pt idx="1791" formatCode="0.000">
                  <c:v>2761.4362119280795</c:v>
                </c:pt>
                <c:pt idx="1792" formatCode="0.000">
                  <c:v>2760.9170109760262</c:v>
                </c:pt>
                <c:pt idx="1793" formatCode="0.000">
                  <c:v>2760.1313380895913</c:v>
                </c:pt>
                <c:pt idx="1794" formatCode="0.000">
                  <c:v>2758.9403461918346</c:v>
                </c:pt>
                <c:pt idx="1795" formatCode="0.000">
                  <c:v>2757.9481307179158</c:v>
                </c:pt>
                <c:pt idx="1798" formatCode="0.000">
                  <c:v>2755.7873601403462</c:v>
                </c:pt>
                <c:pt idx="1801" formatCode="0.000">
                  <c:v>2753.1811631749911</c:v>
                </c:pt>
                <c:pt idx="1802" formatCode="0.000">
                  <c:v>2753.0667098347521</c:v>
                </c:pt>
                <c:pt idx="1804" formatCode="0.000">
                  <c:v>2746.4408872542072</c:v>
                </c:pt>
              </c:numCache>
            </c:numRef>
          </c:xVal>
          <c:yVal>
            <c:numRef>
              <c:f>'Table 1'!$AT$951:$AT$2755</c:f>
              <c:numCache>
                <c:formatCode>General</c:formatCode>
                <c:ptCount val="1805"/>
                <c:pt idx="0" formatCode="0.00">
                  <c:v>-4.312160772614094</c:v>
                </c:pt>
                <c:pt idx="49" formatCode="0.00">
                  <c:v>-2.6921068029657187</c:v>
                </c:pt>
                <c:pt idx="72" formatCode="0.00">
                  <c:v>-2.5496028197389919</c:v>
                </c:pt>
                <c:pt idx="74" formatCode="0.00">
                  <c:v>-3.8603980266797215</c:v>
                </c:pt>
                <c:pt idx="82" formatCode="0.00">
                  <c:v>-3.341806290084389</c:v>
                </c:pt>
                <c:pt idx="92" formatCode="0.00">
                  <c:v>-4.951574142301804</c:v>
                </c:pt>
                <c:pt idx="119" formatCode="0.00">
                  <c:v>-3.0291980180161433</c:v>
                </c:pt>
                <c:pt idx="130" formatCode="0.00">
                  <c:v>-3.4524202945812736</c:v>
                </c:pt>
                <c:pt idx="134" formatCode="0.00">
                  <c:v>-1.6164142905194014</c:v>
                </c:pt>
                <c:pt idx="161" formatCode="0.00">
                  <c:v>-3.0102692503043662</c:v>
                </c:pt>
                <c:pt idx="162" formatCode="0.00">
                  <c:v>-4.3023658050916644</c:v>
                </c:pt>
                <c:pt idx="174" formatCode="0.00">
                  <c:v>-1.9555246633144421</c:v>
                </c:pt>
                <c:pt idx="183" formatCode="0.00">
                  <c:v>-4.1053504672476224</c:v>
                </c:pt>
                <c:pt idx="209" formatCode="0.00">
                  <c:v>-2.6994513873605928</c:v>
                </c:pt>
                <c:pt idx="213" formatCode="0.00">
                  <c:v>-0.80938249121410311</c:v>
                </c:pt>
                <c:pt idx="259" formatCode="0.00">
                  <c:v>-4.1735408465366479</c:v>
                </c:pt>
                <c:pt idx="261" formatCode="0.00">
                  <c:v>-2.5174928448523248</c:v>
                </c:pt>
                <c:pt idx="265" formatCode="0.00">
                  <c:v>-3.2382966126614847</c:v>
                </c:pt>
                <c:pt idx="281" formatCode="0.00">
                  <c:v>-3.3990947788148835</c:v>
                </c:pt>
                <c:pt idx="286" formatCode="0.00">
                  <c:v>-3.1669280368820512</c:v>
                </c:pt>
                <c:pt idx="301" formatCode="0.00">
                  <c:v>-3.9356431795616924</c:v>
                </c:pt>
                <c:pt idx="307" formatCode="0.00">
                  <c:v>-2.9480556973433063</c:v>
                </c:pt>
                <c:pt idx="318" formatCode="0.00">
                  <c:v>-3.3971820926106795</c:v>
                </c:pt>
                <c:pt idx="324" formatCode="0.00">
                  <c:v>-2.0948389561268934</c:v>
                </c:pt>
                <c:pt idx="329" formatCode="0.00">
                  <c:v>-3.9842057356870217</c:v>
                </c:pt>
                <c:pt idx="361" formatCode="0.00">
                  <c:v>-2.8657122789132257</c:v>
                </c:pt>
                <c:pt idx="363" formatCode="0.00">
                  <c:v>-2.5262109727134345</c:v>
                </c:pt>
                <c:pt idx="375" formatCode="0.00">
                  <c:v>-4.209900621229715</c:v>
                </c:pt>
                <c:pt idx="381" formatCode="0.00">
                  <c:v>-3.5949294066717101</c:v>
                </c:pt>
                <c:pt idx="383" formatCode="0.00">
                  <c:v>-1.9146616430644827</c:v>
                </c:pt>
                <c:pt idx="386" formatCode="0.00">
                  <c:v>-3.9516881205112906</c:v>
                </c:pt>
                <c:pt idx="390" formatCode="0.00">
                  <c:v>-2.3818202788310354</c:v>
                </c:pt>
                <c:pt idx="396" formatCode="0.00">
                  <c:v>-2.7149460207214315</c:v>
                </c:pt>
                <c:pt idx="399" formatCode="0.00">
                  <c:v>-1.9636573806937556</c:v>
                </c:pt>
                <c:pt idx="400" formatCode="0.00">
                  <c:v>-3.0170837466953464</c:v>
                </c:pt>
                <c:pt idx="403" formatCode="0.00">
                  <c:v>-1.7199626606343477</c:v>
                </c:pt>
                <c:pt idx="424" formatCode="0.00">
                  <c:v>-3.156813434972948</c:v>
                </c:pt>
                <c:pt idx="427" formatCode="0.00">
                  <c:v>-3.053482459910386</c:v>
                </c:pt>
                <c:pt idx="437" formatCode="0.00">
                  <c:v>-3.1416583883038873</c:v>
                </c:pt>
                <c:pt idx="447" formatCode="0.00">
                  <c:v>-3.3781766184956159</c:v>
                </c:pt>
                <c:pt idx="449" formatCode="0.00">
                  <c:v>-3.4040115805437163</c:v>
                </c:pt>
                <c:pt idx="450" formatCode="0.00">
                  <c:v>-3.4817688988696855</c:v>
                </c:pt>
                <c:pt idx="455" formatCode="0.00">
                  <c:v>-1.9013885703035602</c:v>
                </c:pt>
                <c:pt idx="456" formatCode="0.00">
                  <c:v>-2.4277168534168849</c:v>
                </c:pt>
                <c:pt idx="460" formatCode="0.00">
                  <c:v>-2.0075485955377652</c:v>
                </c:pt>
                <c:pt idx="463" formatCode="0.00">
                  <c:v>-1.4535671209454994</c:v>
                </c:pt>
                <c:pt idx="470" formatCode="0.00">
                  <c:v>-2.9459570226565082</c:v>
                </c:pt>
                <c:pt idx="475" formatCode="0.00">
                  <c:v>-1.6103506152497244</c:v>
                </c:pt>
                <c:pt idx="486" formatCode="0.00">
                  <c:v>-1.0933280985471474</c:v>
                </c:pt>
                <c:pt idx="500" formatCode="0.00">
                  <c:v>-1.7217485762040774</c:v>
                </c:pt>
                <c:pt idx="501" formatCode="0.00">
                  <c:v>-1.6893178078154285</c:v>
                </c:pt>
                <c:pt idx="511" formatCode="0.00">
                  <c:v>-2.2447452819711819</c:v>
                </c:pt>
                <c:pt idx="512" formatCode="0.00">
                  <c:v>-2.5715341643583387</c:v>
                </c:pt>
                <c:pt idx="513" formatCode="0.00">
                  <c:v>-3.5292083860095445</c:v>
                </c:pt>
                <c:pt idx="514" formatCode="0.00">
                  <c:v>-1.0736041899842055</c:v>
                </c:pt>
                <c:pt idx="516" formatCode="0.00">
                  <c:v>-1.4576746958045512</c:v>
                </c:pt>
                <c:pt idx="521" formatCode="0.00">
                  <c:v>-1.3845943544213359</c:v>
                </c:pt>
                <c:pt idx="527" formatCode="0.00">
                  <c:v>-1.9059353323822434</c:v>
                </c:pt>
                <c:pt idx="530" formatCode="0.00">
                  <c:v>-1.8288878253161225</c:v>
                </c:pt>
                <c:pt idx="546" formatCode="0.00">
                  <c:v>-1.8868667417346494</c:v>
                </c:pt>
                <c:pt idx="548" formatCode="0.00">
                  <c:v>-0.54590491290106602</c:v>
                </c:pt>
                <c:pt idx="552" formatCode="0.00">
                  <c:v>-1.9567354840218232</c:v>
                </c:pt>
                <c:pt idx="561" formatCode="0.00">
                  <c:v>-1.7629872399909357</c:v>
                </c:pt>
                <c:pt idx="568" formatCode="0.00">
                  <c:v>-1.9700710201743885</c:v>
                </c:pt>
                <c:pt idx="573" formatCode="0.00">
                  <c:v>-1.9653680893214169</c:v>
                </c:pt>
                <c:pt idx="577" formatCode="0.00">
                  <c:v>-1.6416687329249273</c:v>
                </c:pt>
                <c:pt idx="583" formatCode="0.00">
                  <c:v>-2.1154478621951434</c:v>
                </c:pt>
                <c:pt idx="588" formatCode="0.00">
                  <c:v>-2.4514734226122217</c:v>
                </c:pt>
                <c:pt idx="593" formatCode="0.00">
                  <c:v>-2.210816852959645</c:v>
                </c:pt>
                <c:pt idx="598" formatCode="0.00">
                  <c:v>-1.5450523824415432</c:v>
                </c:pt>
                <c:pt idx="603" formatCode="0.00">
                  <c:v>-2.5834042396062129</c:v>
                </c:pt>
                <c:pt idx="608" formatCode="0.00">
                  <c:v>-3.0172337376537999</c:v>
                </c:pt>
                <c:pt idx="612" formatCode="0.00">
                  <c:v>-2.8586889316897688</c:v>
                </c:pt>
                <c:pt idx="618" formatCode="0.00">
                  <c:v>-1.1150594202254192</c:v>
                </c:pt>
                <c:pt idx="621" formatCode="0.00">
                  <c:v>-1.908703969019848</c:v>
                </c:pt>
                <c:pt idx="623" formatCode="0.00">
                  <c:v>-2.8086369739614025</c:v>
                </c:pt>
                <c:pt idx="630" formatCode="0.00">
                  <c:v>0.29562362258238373</c:v>
                </c:pt>
                <c:pt idx="638" formatCode="0.00">
                  <c:v>-1.0899991893748024</c:v>
                </c:pt>
                <c:pt idx="640" formatCode="0.00">
                  <c:v>-1.673490513656603</c:v>
                </c:pt>
                <c:pt idx="644" formatCode="0.00">
                  <c:v>-1.0881851209775772</c:v>
                </c:pt>
                <c:pt idx="645" formatCode="0.00">
                  <c:v>-0.11269223079112442</c:v>
                </c:pt>
                <c:pt idx="646" formatCode="0.00">
                  <c:v>-1.6948841797817493</c:v>
                </c:pt>
                <c:pt idx="647" formatCode="0.00">
                  <c:v>-0.68709532183660116</c:v>
                </c:pt>
                <c:pt idx="650" formatCode="0.00">
                  <c:v>-0.18514086849514727</c:v>
                </c:pt>
                <c:pt idx="652" formatCode="0.00">
                  <c:v>-1.3241654317378382</c:v>
                </c:pt>
                <c:pt idx="658" formatCode="0.00">
                  <c:v>-1.3394802278309104</c:v>
                </c:pt>
                <c:pt idx="659" formatCode="0.00">
                  <c:v>-0.91490171676597731</c:v>
                </c:pt>
                <c:pt idx="665" formatCode="0.00">
                  <c:v>-0.55894553007663772</c:v>
                </c:pt>
                <c:pt idx="666" formatCode="0.00">
                  <c:v>-0.54186389304171956</c:v>
                </c:pt>
                <c:pt idx="668" formatCode="0.00">
                  <c:v>-0.80879169829412856</c:v>
                </c:pt>
                <c:pt idx="671" formatCode="0.00">
                  <c:v>-1.1502806366474359</c:v>
                </c:pt>
                <c:pt idx="673" formatCode="0.00">
                  <c:v>-0.2072775586519302</c:v>
                </c:pt>
                <c:pt idx="674" formatCode="0.00">
                  <c:v>3.9642473338959199E-2</c:v>
                </c:pt>
                <c:pt idx="676" formatCode="0.00">
                  <c:v>-1.9584866953313647</c:v>
                </c:pt>
                <c:pt idx="679" formatCode="0.00">
                  <c:v>0.55140469187764218</c:v>
                </c:pt>
                <c:pt idx="685" formatCode="0.00">
                  <c:v>0.70094537441993032</c:v>
                </c:pt>
                <c:pt idx="688" formatCode="0.00">
                  <c:v>-2.0785792177541493</c:v>
                </c:pt>
                <c:pt idx="692" formatCode="0.00">
                  <c:v>0.26471350275704247</c:v>
                </c:pt>
                <c:pt idx="695" formatCode="0.00">
                  <c:v>0.87062547468680451</c:v>
                </c:pt>
                <c:pt idx="698" formatCode="0.00">
                  <c:v>1.5172443196991579</c:v>
                </c:pt>
                <c:pt idx="699" formatCode="0.00">
                  <c:v>-0.56771969512934861</c:v>
                </c:pt>
                <c:pt idx="701" formatCode="0.00">
                  <c:v>0.47128194731887124</c:v>
                </c:pt>
                <c:pt idx="708" formatCode="0.00">
                  <c:v>0.2388287646291786</c:v>
                </c:pt>
                <c:pt idx="711" formatCode="0.00">
                  <c:v>-1.846152699273832</c:v>
                </c:pt>
                <c:pt idx="713" formatCode="0.00">
                  <c:v>0.16355716272505796</c:v>
                </c:pt>
                <c:pt idx="716" formatCode="0.00">
                  <c:v>0.3047832005833061</c:v>
                </c:pt>
                <c:pt idx="724" formatCode="0.00">
                  <c:v>-0.27876433306746434</c:v>
                </c:pt>
                <c:pt idx="725" formatCode="0.00">
                  <c:v>0.53044724876851146</c:v>
                </c:pt>
                <c:pt idx="733" formatCode="0.00">
                  <c:v>1.1568311240798519</c:v>
                </c:pt>
                <c:pt idx="734" formatCode="0.00">
                  <c:v>0.74925223588613699</c:v>
                </c:pt>
                <c:pt idx="735" formatCode="0.00">
                  <c:v>0.73654389147901334</c:v>
                </c:pt>
                <c:pt idx="736" formatCode="0.00">
                  <c:v>-0.66209302488734201</c:v>
                </c:pt>
                <c:pt idx="740" formatCode="0.00">
                  <c:v>-0.28907853877649708</c:v>
                </c:pt>
                <c:pt idx="742" formatCode="0.00">
                  <c:v>-0.65624694809462913</c:v>
                </c:pt>
                <c:pt idx="745" formatCode="0.00">
                  <c:v>1.0559144573727355E-2</c:v>
                </c:pt>
                <c:pt idx="747" formatCode="0.00">
                  <c:v>-0.85976609662758874</c:v>
                </c:pt>
                <c:pt idx="748" formatCode="0.00">
                  <c:v>0.32081481907007692</c:v>
                </c:pt>
                <c:pt idx="750" formatCode="0.00">
                  <c:v>2.0182380800655073</c:v>
                </c:pt>
                <c:pt idx="752" formatCode="0.00">
                  <c:v>-1.1466089223663616</c:v>
                </c:pt>
                <c:pt idx="753" formatCode="0.00">
                  <c:v>-0.54786480199196641</c:v>
                </c:pt>
                <c:pt idx="758" formatCode="0.00">
                  <c:v>-0.38773253540767277</c:v>
                </c:pt>
                <c:pt idx="759" formatCode="0.00">
                  <c:v>-0.44078652147825748</c:v>
                </c:pt>
                <c:pt idx="766" formatCode="0.00">
                  <c:v>0.58932729708852816</c:v>
                </c:pt>
                <c:pt idx="767" formatCode="0.00">
                  <c:v>-2.7859415670129675</c:v>
                </c:pt>
                <c:pt idx="768" formatCode="0.00">
                  <c:v>-0.72132406468061361</c:v>
                </c:pt>
                <c:pt idx="771" formatCode="0.00">
                  <c:v>-1.3606544508170348</c:v>
                </c:pt>
                <c:pt idx="773" formatCode="0.00">
                  <c:v>-0.87117807604663389</c:v>
                </c:pt>
                <c:pt idx="775" formatCode="0.00">
                  <c:v>0.51799360637841885</c:v>
                </c:pt>
                <c:pt idx="778" formatCode="0.00">
                  <c:v>-0.59871689192316191</c:v>
                </c:pt>
                <c:pt idx="780" formatCode="0.00">
                  <c:v>0.24027430375059422</c:v>
                </c:pt>
                <c:pt idx="781" formatCode="0.00">
                  <c:v>-0.21892279868638617</c:v>
                </c:pt>
                <c:pt idx="782" formatCode="0.00">
                  <c:v>-0.74588161675601095</c:v>
                </c:pt>
                <c:pt idx="786" formatCode="0.00">
                  <c:v>-0.21094289699379612</c:v>
                </c:pt>
                <c:pt idx="787" formatCode="0.00">
                  <c:v>-0.29702229611164987</c:v>
                </c:pt>
                <c:pt idx="792" formatCode="0.00">
                  <c:v>-1.9302855672773036</c:v>
                </c:pt>
                <c:pt idx="794" formatCode="0.00">
                  <c:v>-2.2118070934808718</c:v>
                </c:pt>
                <c:pt idx="795" formatCode="0.00">
                  <c:v>0.17470965144034406</c:v>
                </c:pt>
                <c:pt idx="800" formatCode="0.00">
                  <c:v>0.90605439147310718</c:v>
                </c:pt>
                <c:pt idx="807" formatCode="0.00">
                  <c:v>-0.81345654675593326</c:v>
                </c:pt>
                <c:pt idx="811" formatCode="0.00">
                  <c:v>0.11699080207768148</c:v>
                </c:pt>
                <c:pt idx="812" formatCode="0.00">
                  <c:v>-0.13909084913563075</c:v>
                </c:pt>
                <c:pt idx="816" formatCode="0.00">
                  <c:v>-0.47072811245613033</c:v>
                </c:pt>
                <c:pt idx="819" formatCode="0.00">
                  <c:v>-0.25293007389014327</c:v>
                </c:pt>
                <c:pt idx="825" formatCode="0.00">
                  <c:v>5.5620967610705424E-2</c:v>
                </c:pt>
                <c:pt idx="826" formatCode="0.00">
                  <c:v>-0.49996908173318633</c:v>
                </c:pt>
                <c:pt idx="836" formatCode="0.00">
                  <c:v>-3.4110919265294685E-2</c:v>
                </c:pt>
                <c:pt idx="837" formatCode="0.00">
                  <c:v>1.5590177627141331</c:v>
                </c:pt>
                <c:pt idx="838" formatCode="0.00">
                  <c:v>-0.75551421193783841</c:v>
                </c:pt>
                <c:pt idx="839" formatCode="0.00">
                  <c:v>-0.46931491711451684</c:v>
                </c:pt>
                <c:pt idx="841" formatCode="0.00">
                  <c:v>-0.25181968760430912</c:v>
                </c:pt>
                <c:pt idx="844" formatCode="0.00">
                  <c:v>0.10963321017714348</c:v>
                </c:pt>
                <c:pt idx="854" formatCode="0.00">
                  <c:v>-0.38287198493579699</c:v>
                </c:pt>
                <c:pt idx="857" formatCode="0.00">
                  <c:v>1.1906356833386857</c:v>
                </c:pt>
                <c:pt idx="865" formatCode="0.00">
                  <c:v>0.79783603439554573</c:v>
                </c:pt>
                <c:pt idx="868" formatCode="0.00">
                  <c:v>-0.75248479610133789</c:v>
                </c:pt>
                <c:pt idx="871" formatCode="0.00">
                  <c:v>1.2301223568710831</c:v>
                </c:pt>
                <c:pt idx="874" formatCode="0.00">
                  <c:v>0.15030061281801144</c:v>
                </c:pt>
                <c:pt idx="878" formatCode="0.00">
                  <c:v>-0.40217400940646658</c:v>
                </c:pt>
                <c:pt idx="879" formatCode="0.00">
                  <c:v>0.56346298018915353</c:v>
                </c:pt>
                <c:pt idx="880" formatCode="0.00">
                  <c:v>-0.24306540261047285</c:v>
                </c:pt>
                <c:pt idx="884" formatCode="0.00">
                  <c:v>-0.46002992288167477</c:v>
                </c:pt>
                <c:pt idx="894" formatCode="0.00">
                  <c:v>-0.95678621668432628</c:v>
                </c:pt>
                <c:pt idx="895" formatCode="0.00">
                  <c:v>-1.1257352307494568</c:v>
                </c:pt>
                <c:pt idx="904" formatCode="0.00">
                  <c:v>0.21535518105027188</c:v>
                </c:pt>
                <c:pt idx="905" formatCode="0.00">
                  <c:v>0.65283112554725353</c:v>
                </c:pt>
                <c:pt idx="906" formatCode="0.00">
                  <c:v>0.16087691602621476</c:v>
                </c:pt>
                <c:pt idx="910" formatCode="0.00">
                  <c:v>-0.17578978871302631</c:v>
                </c:pt>
                <c:pt idx="913" formatCode="0.00">
                  <c:v>-0.10945701093259104</c:v>
                </c:pt>
                <c:pt idx="918" formatCode="0.00">
                  <c:v>1.4814255664768547</c:v>
                </c:pt>
                <c:pt idx="921" formatCode="0.00">
                  <c:v>-0.20102888572155214</c:v>
                </c:pt>
                <c:pt idx="922" formatCode="0.00">
                  <c:v>-0.85245691024909176</c:v>
                </c:pt>
                <c:pt idx="924" formatCode="0.00">
                  <c:v>-0.19201986792172229</c:v>
                </c:pt>
                <c:pt idx="927" formatCode="0.00">
                  <c:v>1.211128882210647</c:v>
                </c:pt>
                <c:pt idx="930" formatCode="0.00">
                  <c:v>1.2861051774678554</c:v>
                </c:pt>
                <c:pt idx="933" formatCode="0.00">
                  <c:v>-0.43286412933995183</c:v>
                </c:pt>
                <c:pt idx="934" formatCode="0.00">
                  <c:v>0.62006153355075944</c:v>
                </c:pt>
                <c:pt idx="942" formatCode="0.00">
                  <c:v>1.6027219489965849</c:v>
                </c:pt>
                <c:pt idx="944" formatCode="0.00">
                  <c:v>0.55451567701249027</c:v>
                </c:pt>
                <c:pt idx="945" formatCode="0.00">
                  <c:v>1.1314619284750902</c:v>
                </c:pt>
                <c:pt idx="950" formatCode="0.00">
                  <c:v>0.69626465863578479</c:v>
                </c:pt>
                <c:pt idx="954" formatCode="0.00">
                  <c:v>4.6751099275731234E-2</c:v>
                </c:pt>
                <c:pt idx="957" formatCode="0.00">
                  <c:v>0.21215239040766129</c:v>
                </c:pt>
                <c:pt idx="961" formatCode="0.00">
                  <c:v>-0.24375421797829239</c:v>
                </c:pt>
                <c:pt idx="962" formatCode="0.00">
                  <c:v>-0.47787547692643695</c:v>
                </c:pt>
                <c:pt idx="963" formatCode="0.00">
                  <c:v>0.10752080418289633</c:v>
                </c:pt>
                <c:pt idx="972" formatCode="0.00">
                  <c:v>2.1017191145513494</c:v>
                </c:pt>
                <c:pt idx="977" formatCode="0.00">
                  <c:v>1.0691493694999885</c:v>
                </c:pt>
                <c:pt idx="978" formatCode="0.00">
                  <c:v>0.41281878177013004</c:v>
                </c:pt>
                <c:pt idx="984" formatCode="0.00">
                  <c:v>-0.53124445948544929</c:v>
                </c:pt>
                <c:pt idx="986" formatCode="0.00">
                  <c:v>0.34330844536279587</c:v>
                </c:pt>
                <c:pt idx="990" formatCode="0.00">
                  <c:v>1.6115826005902079</c:v>
                </c:pt>
                <c:pt idx="991" formatCode="0.00">
                  <c:v>1.2774968164707967</c:v>
                </c:pt>
                <c:pt idx="992" formatCode="0.00">
                  <c:v>-0.28641585471621467</c:v>
                </c:pt>
                <c:pt idx="997" formatCode="0.00">
                  <c:v>0.38377116044222004</c:v>
                </c:pt>
                <c:pt idx="1005" formatCode="0.00">
                  <c:v>0.70882455229456676</c:v>
                </c:pt>
                <c:pt idx="1008" formatCode="0.00">
                  <c:v>0.94575023873611441</c:v>
                </c:pt>
                <c:pt idx="1011" formatCode="0.00">
                  <c:v>1.457643150764943</c:v>
                </c:pt>
                <c:pt idx="1016" formatCode="0.00">
                  <c:v>1.7741950217707969</c:v>
                </c:pt>
                <c:pt idx="1022" formatCode="0.00">
                  <c:v>1.2605726708711209</c:v>
                </c:pt>
                <c:pt idx="1025" formatCode="0.00">
                  <c:v>0.48771899369670257</c:v>
                </c:pt>
                <c:pt idx="1026" formatCode="0.00">
                  <c:v>1.6266563444592523</c:v>
                </c:pt>
                <c:pt idx="1032" formatCode="0.00">
                  <c:v>1.0137997840760276</c:v>
                </c:pt>
                <c:pt idx="1033" formatCode="0.00">
                  <c:v>-1.3913351907560272</c:v>
                </c:pt>
                <c:pt idx="1034" formatCode="0.00">
                  <c:v>0.12465163776281847</c:v>
                </c:pt>
                <c:pt idx="1038" formatCode="0.00">
                  <c:v>0.148533126158052</c:v>
                </c:pt>
                <c:pt idx="1040" formatCode="0.00">
                  <c:v>0.30438439205082407</c:v>
                </c:pt>
                <c:pt idx="1041" formatCode="0.00">
                  <c:v>1.6260159064206834</c:v>
                </c:pt>
                <c:pt idx="1045" formatCode="0.00">
                  <c:v>-1.6601273780703634</c:v>
                </c:pt>
                <c:pt idx="1046" formatCode="0.00">
                  <c:v>1.4266174506691691</c:v>
                </c:pt>
                <c:pt idx="1052" formatCode="0.00">
                  <c:v>3.4286269729519855E-2</c:v>
                </c:pt>
                <c:pt idx="1053" formatCode="0.00">
                  <c:v>0.92172715991760223</c:v>
                </c:pt>
                <c:pt idx="1056" formatCode="0.00">
                  <c:v>0.99037970663844077</c:v>
                </c:pt>
                <c:pt idx="1057" formatCode="0.00">
                  <c:v>-4.3347387688378002E-2</c:v>
                </c:pt>
                <c:pt idx="1068" formatCode="0.00">
                  <c:v>0.47298542432079455</c:v>
                </c:pt>
                <c:pt idx="1072" formatCode="0.00">
                  <c:v>1.7659711146715391</c:v>
                </c:pt>
                <c:pt idx="1076" formatCode="0.00">
                  <c:v>2.176511086415247</c:v>
                </c:pt>
                <c:pt idx="1077" formatCode="0.00">
                  <c:v>1.1249310989335075</c:v>
                </c:pt>
                <c:pt idx="1078" formatCode="0.00">
                  <c:v>0.51190719926104689</c:v>
                </c:pt>
                <c:pt idx="1079" formatCode="0.00">
                  <c:v>4.8987929019168881E-2</c:v>
                </c:pt>
                <c:pt idx="1080" formatCode="0.00">
                  <c:v>1.1034342335595992</c:v>
                </c:pt>
                <c:pt idx="1081" formatCode="0.00">
                  <c:v>1.6165435265617414</c:v>
                </c:pt>
                <c:pt idx="1086" formatCode="0.00">
                  <c:v>0.6112877767938828</c:v>
                </c:pt>
                <c:pt idx="1088" formatCode="0.00">
                  <c:v>0.9418251809065753</c:v>
                </c:pt>
                <c:pt idx="1097" formatCode="0.00">
                  <c:v>1.3117164698863959</c:v>
                </c:pt>
                <c:pt idx="1101" formatCode="0.00">
                  <c:v>1.0381422485277008</c:v>
                </c:pt>
                <c:pt idx="1103" formatCode="0.00">
                  <c:v>-0.28422047565996084</c:v>
                </c:pt>
                <c:pt idx="1105" formatCode="0.00">
                  <c:v>0.52087197970363308</c:v>
                </c:pt>
                <c:pt idx="1106" formatCode="0.00">
                  <c:v>0.97244969775376289</c:v>
                </c:pt>
                <c:pt idx="1109" formatCode="0.00">
                  <c:v>1.2929046661106942</c:v>
                </c:pt>
                <c:pt idx="1112" formatCode="0.00">
                  <c:v>1.2298665853454311</c:v>
                </c:pt>
                <c:pt idx="1115" formatCode="0.00">
                  <c:v>-1.6753739845911984</c:v>
                </c:pt>
                <c:pt idx="1116" formatCode="0.00">
                  <c:v>0.17693797986435725</c:v>
                </c:pt>
                <c:pt idx="1117" formatCode="0.00">
                  <c:v>1.1539969463796256</c:v>
                </c:pt>
                <c:pt idx="1121" formatCode="0.00">
                  <c:v>3.9853596980156607E-2</c:v>
                </c:pt>
                <c:pt idx="1124" formatCode="0.00">
                  <c:v>0.62985782462217865</c:v>
                </c:pt>
                <c:pt idx="1125" formatCode="0.00">
                  <c:v>-0.66027056485077018</c:v>
                </c:pt>
                <c:pt idx="1130" formatCode="0.00">
                  <c:v>0.53952916513674687</c:v>
                </c:pt>
                <c:pt idx="1131" formatCode="0.00">
                  <c:v>0.46207766632923253</c:v>
                </c:pt>
                <c:pt idx="1135" formatCode="0.00">
                  <c:v>-1.2185123496285331</c:v>
                </c:pt>
                <c:pt idx="1136" formatCode="0.00">
                  <c:v>1.2699398291668915E-2</c:v>
                </c:pt>
                <c:pt idx="1138" formatCode="0.00">
                  <c:v>0.35864754926956111</c:v>
                </c:pt>
                <c:pt idx="1140" formatCode="0.00">
                  <c:v>8.7233895565539746E-2</c:v>
                </c:pt>
                <c:pt idx="1141" formatCode="0.00">
                  <c:v>0.85163654278378209</c:v>
                </c:pt>
                <c:pt idx="1145" formatCode="0.00">
                  <c:v>-1.6470451229173553</c:v>
                </c:pt>
                <c:pt idx="1146" formatCode="0.00">
                  <c:v>-1.373000406575914</c:v>
                </c:pt>
                <c:pt idx="1147" formatCode="0.00">
                  <c:v>-0.64097686042914759</c:v>
                </c:pt>
                <c:pt idx="1152" formatCode="0.00">
                  <c:v>0.95865915079744735</c:v>
                </c:pt>
                <c:pt idx="1154" formatCode="0.00">
                  <c:v>0.22337511609617675</c:v>
                </c:pt>
                <c:pt idx="1157" formatCode="0.00">
                  <c:v>1.2555061129489766</c:v>
                </c:pt>
                <c:pt idx="1164" formatCode="0.00">
                  <c:v>-0.91567765059617512</c:v>
                </c:pt>
                <c:pt idx="1165" formatCode="0.00">
                  <c:v>-1.8909360807362776</c:v>
                </c:pt>
                <c:pt idx="1170" formatCode="0.00">
                  <c:v>-0.83757577881218725</c:v>
                </c:pt>
                <c:pt idx="1176" formatCode="0.00">
                  <c:v>-1.0928325849316423</c:v>
                </c:pt>
                <c:pt idx="1183" formatCode="0.00">
                  <c:v>0.92172779848364228</c:v>
                </c:pt>
                <c:pt idx="1185" formatCode="0.00">
                  <c:v>1.3603510753858878</c:v>
                </c:pt>
                <c:pt idx="1186" formatCode="0.00">
                  <c:v>0.72859180431383919</c:v>
                </c:pt>
                <c:pt idx="1189" formatCode="0.00">
                  <c:v>-1.4251627527743105</c:v>
                </c:pt>
                <c:pt idx="1193" formatCode="0.00">
                  <c:v>1.1249715022883873</c:v>
                </c:pt>
                <c:pt idx="1196" formatCode="0.00">
                  <c:v>-0.97058606624292265</c:v>
                </c:pt>
                <c:pt idx="1204" formatCode="0.00">
                  <c:v>0.88878137032387727</c:v>
                </c:pt>
                <c:pt idx="1207" formatCode="0.00">
                  <c:v>0.15000568187134736</c:v>
                </c:pt>
                <c:pt idx="1208" formatCode="0.00">
                  <c:v>-0.94398447615283287</c:v>
                </c:pt>
                <c:pt idx="1210" formatCode="0.00">
                  <c:v>2.7385494061701228</c:v>
                </c:pt>
                <c:pt idx="1213" formatCode="0.00">
                  <c:v>0.48572116030161544</c:v>
                </c:pt>
                <c:pt idx="1216" formatCode="0.00">
                  <c:v>1.9630324067170029</c:v>
                </c:pt>
                <c:pt idx="1217" formatCode="0.00">
                  <c:v>2.0034143584694331</c:v>
                </c:pt>
                <c:pt idx="1224" formatCode="0.00">
                  <c:v>0.99961913164516514</c:v>
                </c:pt>
                <c:pt idx="1228" formatCode="0.00">
                  <c:v>1.5587566188257982</c:v>
                </c:pt>
                <c:pt idx="1229" formatCode="0.00">
                  <c:v>1.2607964373998075</c:v>
                </c:pt>
                <c:pt idx="1230" formatCode="0.00">
                  <c:v>0.58431243574706682</c:v>
                </c:pt>
                <c:pt idx="1233" formatCode="0.00">
                  <c:v>-3.2465854581354717E-2</c:v>
                </c:pt>
                <c:pt idx="1240" formatCode="0.00">
                  <c:v>0.62094561621953348</c:v>
                </c:pt>
                <c:pt idx="1244" formatCode="0.00">
                  <c:v>0.28801330513822349</c:v>
                </c:pt>
                <c:pt idx="1253" formatCode="0.00">
                  <c:v>0.93584849545266291</c:v>
                </c:pt>
                <c:pt idx="1256" formatCode="0.00">
                  <c:v>0.95820436847736179</c:v>
                </c:pt>
                <c:pt idx="1261" formatCode="0.00">
                  <c:v>1.4106523443317609</c:v>
                </c:pt>
                <c:pt idx="1263" formatCode="0.00">
                  <c:v>0.46991578856657745</c:v>
                </c:pt>
                <c:pt idx="1269" formatCode="0.00">
                  <c:v>0.80385388062252139</c:v>
                </c:pt>
                <c:pt idx="1271" formatCode="0.00">
                  <c:v>5.8696886958200384E-2</c:v>
                </c:pt>
                <c:pt idx="1272" formatCode="0.00">
                  <c:v>-1.5585938008131397</c:v>
                </c:pt>
                <c:pt idx="1274" formatCode="0.00">
                  <c:v>-0.20638680764605025</c:v>
                </c:pt>
                <c:pt idx="1276" formatCode="0.00">
                  <c:v>-0.37057929470066808</c:v>
                </c:pt>
                <c:pt idx="1278" formatCode="0.00">
                  <c:v>1.2928557517458234E-2</c:v>
                </c:pt>
                <c:pt idx="1279" formatCode="0.00">
                  <c:v>2.1079261621481828</c:v>
                </c:pt>
                <c:pt idx="1284" formatCode="0.00">
                  <c:v>0.85800443847885088</c:v>
                </c:pt>
                <c:pt idx="1287" formatCode="0.00">
                  <c:v>2.2069427130751653</c:v>
                </c:pt>
                <c:pt idx="1288" formatCode="0.00">
                  <c:v>0.57523497523359834</c:v>
                </c:pt>
                <c:pt idx="1291" formatCode="0.00">
                  <c:v>3.8378514112968483</c:v>
                </c:pt>
                <c:pt idx="1294" formatCode="0.00">
                  <c:v>0.41053475252174809</c:v>
                </c:pt>
                <c:pt idx="1295" formatCode="0.00">
                  <c:v>-1.257108052119065</c:v>
                </c:pt>
                <c:pt idx="1296" formatCode="0.00">
                  <c:v>1.59261317423557</c:v>
                </c:pt>
                <c:pt idx="1301" formatCode="0.00">
                  <c:v>-1.4785959542675766</c:v>
                </c:pt>
                <c:pt idx="1302" formatCode="0.00">
                  <c:v>-0.52549632980480521</c:v>
                </c:pt>
                <c:pt idx="1309" formatCode="0.00">
                  <c:v>0.73711748882214501</c:v>
                </c:pt>
                <c:pt idx="1314" formatCode="0.00">
                  <c:v>1.5894339565363247</c:v>
                </c:pt>
                <c:pt idx="1316" formatCode="0.00">
                  <c:v>0.66626040828065991</c:v>
                </c:pt>
                <c:pt idx="1317" formatCode="0.00">
                  <c:v>-0.33062321749904577</c:v>
                </c:pt>
                <c:pt idx="1321" formatCode="0.00">
                  <c:v>1.300811431797456</c:v>
                </c:pt>
                <c:pt idx="1324" formatCode="0.00">
                  <c:v>0.65681654385466726</c:v>
                </c:pt>
                <c:pt idx="1325" formatCode="0.00">
                  <c:v>1.6407691028602027</c:v>
                </c:pt>
                <c:pt idx="1328" formatCode="0.00">
                  <c:v>0.74213726940761438</c:v>
                </c:pt>
                <c:pt idx="1332" formatCode="0.00">
                  <c:v>0.40267690364227937</c:v>
                </c:pt>
                <c:pt idx="1334" formatCode="0.00">
                  <c:v>0.81767250277869363</c:v>
                </c:pt>
                <c:pt idx="1338" formatCode="0.00">
                  <c:v>1.1788579753422506</c:v>
                </c:pt>
                <c:pt idx="1339" formatCode="0.00">
                  <c:v>1.2265988447367033</c:v>
                </c:pt>
                <c:pt idx="1343" formatCode="0.00">
                  <c:v>2.1643872011398302</c:v>
                </c:pt>
                <c:pt idx="1344" formatCode="0.00">
                  <c:v>0.63931196286162284</c:v>
                </c:pt>
                <c:pt idx="1347" formatCode="0.00">
                  <c:v>0.95894782895981223</c:v>
                </c:pt>
                <c:pt idx="1350" formatCode="0.00">
                  <c:v>0.73953058173754083</c:v>
                </c:pt>
                <c:pt idx="1351" formatCode="0.00">
                  <c:v>1.0424273550291812</c:v>
                </c:pt>
                <c:pt idx="1352" formatCode="0.00">
                  <c:v>0.82302154248547343</c:v>
                </c:pt>
                <c:pt idx="1357" formatCode="0.00">
                  <c:v>0.94637860127711448</c:v>
                </c:pt>
                <c:pt idx="1360" formatCode="0.00">
                  <c:v>1.0702038284563413</c:v>
                </c:pt>
                <c:pt idx="1362" formatCode="0.00">
                  <c:v>1.148838012410937</c:v>
                </c:pt>
                <c:pt idx="1368" formatCode="0.00">
                  <c:v>1.3542851073254476</c:v>
                </c:pt>
                <c:pt idx="1369" formatCode="0.00">
                  <c:v>-3.7025863105555196E-2</c:v>
                </c:pt>
                <c:pt idx="1372" formatCode="0.00">
                  <c:v>1.0204610835365358</c:v>
                </c:pt>
                <c:pt idx="1376" formatCode="0.00">
                  <c:v>0.40219846292902167</c:v>
                </c:pt>
                <c:pt idx="1381" formatCode="0.00">
                  <c:v>1.8056284571892762</c:v>
                </c:pt>
                <c:pt idx="1384" formatCode="0.00">
                  <c:v>0.83892078305907947</c:v>
                </c:pt>
                <c:pt idx="1386" formatCode="0.00">
                  <c:v>0.73984024851572872</c:v>
                </c:pt>
                <c:pt idx="1387" formatCode="0.00">
                  <c:v>1.2909660954341682</c:v>
                </c:pt>
                <c:pt idx="1389" formatCode="0.00">
                  <c:v>0.53760560576684191</c:v>
                </c:pt>
                <c:pt idx="1397" formatCode="0.00">
                  <c:v>-0.13768049833203103</c:v>
                </c:pt>
                <c:pt idx="1398" formatCode="0.00">
                  <c:v>1.7440185535940251</c:v>
                </c:pt>
                <c:pt idx="1402" formatCode="0.00">
                  <c:v>-0.27950096360509474</c:v>
                </c:pt>
                <c:pt idx="1403" formatCode="0.00">
                  <c:v>0.81757213785876492</c:v>
                </c:pt>
                <c:pt idx="1407" formatCode="0.00">
                  <c:v>-1.0409349905245555</c:v>
                </c:pt>
                <c:pt idx="1409" formatCode="0.00">
                  <c:v>0.68475799369295787</c:v>
                </c:pt>
                <c:pt idx="1410" formatCode="0.00">
                  <c:v>0.44963530281602548</c:v>
                </c:pt>
                <c:pt idx="1420" formatCode="0.00">
                  <c:v>1.6983852834427049</c:v>
                </c:pt>
                <c:pt idx="1424" formatCode="0.00">
                  <c:v>0.72430965813879911</c:v>
                </c:pt>
                <c:pt idx="1426" formatCode="0.00">
                  <c:v>0.70092630980525461</c:v>
                </c:pt>
                <c:pt idx="1430" formatCode="0.00">
                  <c:v>0.26553630549029555</c:v>
                </c:pt>
                <c:pt idx="1432" formatCode="0.00">
                  <c:v>1.7649868404926508</c:v>
                </c:pt>
                <c:pt idx="1433" formatCode="0.00">
                  <c:v>0.36438334544159423</c:v>
                </c:pt>
                <c:pt idx="1434" formatCode="0.00">
                  <c:v>1.8928246110738984</c:v>
                </c:pt>
                <c:pt idx="1439" formatCode="0.00">
                  <c:v>1.2074798267816411</c:v>
                </c:pt>
                <c:pt idx="1440" formatCode="0.00">
                  <c:v>0.61553397266812693</c:v>
                </c:pt>
                <c:pt idx="1446" formatCode="0.00">
                  <c:v>1.6647928078990377</c:v>
                </c:pt>
                <c:pt idx="1449" formatCode="0.00">
                  <c:v>0.71792570038159409</c:v>
                </c:pt>
                <c:pt idx="1451" formatCode="0.00">
                  <c:v>0.85494647712636407</c:v>
                </c:pt>
                <c:pt idx="1452" formatCode="0.00">
                  <c:v>0.93665881347638413</c:v>
                </c:pt>
                <c:pt idx="1455" formatCode="0.00">
                  <c:v>1.4453470730183884</c:v>
                </c:pt>
                <c:pt idx="1458" formatCode="0.00">
                  <c:v>-1.8667094900844912</c:v>
                </c:pt>
                <c:pt idx="1459" formatCode="0.00">
                  <c:v>0.80963501875972799</c:v>
                </c:pt>
                <c:pt idx="1460" formatCode="0.00">
                  <c:v>-0.54789351720112944</c:v>
                </c:pt>
                <c:pt idx="1462" formatCode="0.00">
                  <c:v>0.39886025268750752</c:v>
                </c:pt>
                <c:pt idx="1463" formatCode="0.00">
                  <c:v>0.20062997120366369</c:v>
                </c:pt>
                <c:pt idx="1467" formatCode="0.00">
                  <c:v>1.1081839912142286</c:v>
                </c:pt>
                <c:pt idx="1468" formatCode="0.00">
                  <c:v>-0.11512951455394947</c:v>
                </c:pt>
                <c:pt idx="1471" formatCode="0.00">
                  <c:v>0.44498424298675537</c:v>
                </c:pt>
                <c:pt idx="1474" formatCode="0.00">
                  <c:v>2.3443477897214509</c:v>
                </c:pt>
                <c:pt idx="1475" formatCode="0.00">
                  <c:v>0.73574042622428537</c:v>
                </c:pt>
                <c:pt idx="1480" formatCode="0.00">
                  <c:v>1.1853579674954597</c:v>
                </c:pt>
                <c:pt idx="1482" formatCode="0.00">
                  <c:v>-0.57540477604921569</c:v>
                </c:pt>
                <c:pt idx="1484" formatCode="0.00">
                  <c:v>0.48331502399378351</c:v>
                </c:pt>
                <c:pt idx="1485" formatCode="0.00">
                  <c:v>1.2510848473758613</c:v>
                </c:pt>
                <c:pt idx="1486" formatCode="0.00">
                  <c:v>-1.1776089212265446</c:v>
                </c:pt>
                <c:pt idx="1488" formatCode="0.00">
                  <c:v>0.32201645275229562</c:v>
                </c:pt>
                <c:pt idx="1497" formatCode="0.00">
                  <c:v>0.29505854003345588</c:v>
                </c:pt>
                <c:pt idx="1498" formatCode="0.00">
                  <c:v>0.78810529038586541</c:v>
                </c:pt>
                <c:pt idx="1500" formatCode="0.00">
                  <c:v>-0.60371997779591235</c:v>
                </c:pt>
                <c:pt idx="1502" formatCode="0.00">
                  <c:v>0.55554539874072306</c:v>
                </c:pt>
                <c:pt idx="1504" formatCode="0.00">
                  <c:v>1.0346843982371443</c:v>
                </c:pt>
                <c:pt idx="1509" formatCode="0.00">
                  <c:v>0.77684558137123461</c:v>
                </c:pt>
                <c:pt idx="1513" formatCode="0.00">
                  <c:v>1.3325721368958636</c:v>
                </c:pt>
                <c:pt idx="1514" formatCode="0.00">
                  <c:v>0.25699499823216149</c:v>
                </c:pt>
                <c:pt idx="1521" formatCode="0.00">
                  <c:v>-0.76954254640242536</c:v>
                </c:pt>
                <c:pt idx="1523" formatCode="0.00">
                  <c:v>0.5541701757127776</c:v>
                </c:pt>
                <c:pt idx="1525" formatCode="0.00">
                  <c:v>1.179790850082699</c:v>
                </c:pt>
                <c:pt idx="1535" formatCode="0.00">
                  <c:v>0.92088459498439235</c:v>
                </c:pt>
                <c:pt idx="1537" formatCode="0.00">
                  <c:v>1.0483955041807411</c:v>
                </c:pt>
                <c:pt idx="1544" formatCode="0.00">
                  <c:v>0.70569944628451398</c:v>
                </c:pt>
                <c:pt idx="1549" formatCode="0.00">
                  <c:v>1.0156438557987755</c:v>
                </c:pt>
                <c:pt idx="1553" formatCode="0.00">
                  <c:v>-1.1541833704720231E-2</c:v>
                </c:pt>
                <c:pt idx="1557" formatCode="0.00">
                  <c:v>1.3985162083649048</c:v>
                </c:pt>
                <c:pt idx="1562" formatCode="0.00">
                  <c:v>0.32998371172758983</c:v>
                </c:pt>
                <c:pt idx="1567" formatCode="0.00">
                  <c:v>-0.53830080523020296</c:v>
                </c:pt>
                <c:pt idx="1569" formatCode="0.00">
                  <c:v>-0.82679856271460139</c:v>
                </c:pt>
                <c:pt idx="1570" formatCode="0.00">
                  <c:v>-0.93315490084163999</c:v>
                </c:pt>
                <c:pt idx="1573" formatCode="0.00">
                  <c:v>0.70673943080843504</c:v>
                </c:pt>
                <c:pt idx="1577" formatCode="0.00">
                  <c:v>-0.66585480962248433</c:v>
                </c:pt>
                <c:pt idx="1578" formatCode="0.00">
                  <c:v>1.5820807316423127</c:v>
                </c:pt>
                <c:pt idx="1587" formatCode="0.00">
                  <c:v>0.87951844670022794</c:v>
                </c:pt>
                <c:pt idx="1598" formatCode="0.00">
                  <c:v>5.7453248333751705E-2</c:v>
                </c:pt>
                <c:pt idx="1599" formatCode="0.00">
                  <c:v>1.3021215819591092</c:v>
                </c:pt>
                <c:pt idx="1604" formatCode="0.00">
                  <c:v>-0.58648878474398791</c:v>
                </c:pt>
                <c:pt idx="1605" formatCode="0.00">
                  <c:v>-0.19184305239932459</c:v>
                </c:pt>
                <c:pt idx="1615" formatCode="0.00">
                  <c:v>0.85773200878204414</c:v>
                </c:pt>
                <c:pt idx="1620" formatCode="0.00">
                  <c:v>1.3012843509991328</c:v>
                </c:pt>
                <c:pt idx="1623" formatCode="0.00">
                  <c:v>1.8708661534212301E-2</c:v>
                </c:pt>
                <c:pt idx="1628" formatCode="0.00">
                  <c:v>-1.6116676171173452</c:v>
                </c:pt>
                <c:pt idx="1630" formatCode="0.00">
                  <c:v>0.32827418431955796</c:v>
                </c:pt>
                <c:pt idx="1634" formatCode="0.00">
                  <c:v>-0.15153200779691819</c:v>
                </c:pt>
                <c:pt idx="1635" formatCode="0.00">
                  <c:v>-0.56308299537341377</c:v>
                </c:pt>
                <c:pt idx="1636" formatCode="0.00">
                  <c:v>1.5679637845384471</c:v>
                </c:pt>
                <c:pt idx="1644" formatCode="0.00">
                  <c:v>0.34901316656668596</c:v>
                </c:pt>
                <c:pt idx="1646" formatCode="0.00">
                  <c:v>-0.61121976865052907</c:v>
                </c:pt>
                <c:pt idx="1652" formatCode="0.00">
                  <c:v>1.447610278437633</c:v>
                </c:pt>
                <c:pt idx="1657" formatCode="0.00">
                  <c:v>6.8036627966328117E-2</c:v>
                </c:pt>
                <c:pt idx="1662" formatCode="0.00">
                  <c:v>-0.31547300586351157</c:v>
                </c:pt>
                <c:pt idx="1665" formatCode="0.00">
                  <c:v>1.5435868246939193</c:v>
                </c:pt>
                <c:pt idx="1667" formatCode="0.00">
                  <c:v>0.62564790075773946</c:v>
                </c:pt>
                <c:pt idx="1669" formatCode="0.00">
                  <c:v>0.19463474272986583</c:v>
                </c:pt>
                <c:pt idx="1672" formatCode="0.00">
                  <c:v>-0.56644682224694975</c:v>
                </c:pt>
                <c:pt idx="1673" formatCode="0.00">
                  <c:v>-0.39503984851398666</c:v>
                </c:pt>
                <c:pt idx="1678" formatCode="0.00">
                  <c:v>0.38718400523386837</c:v>
                </c:pt>
                <c:pt idx="1684" formatCode="0.00">
                  <c:v>1.1661710552939122</c:v>
                </c:pt>
                <c:pt idx="1686" formatCode="0.00">
                  <c:v>1.344121856485754</c:v>
                </c:pt>
                <c:pt idx="1688" formatCode="0.00">
                  <c:v>-1.42826045227772</c:v>
                </c:pt>
                <c:pt idx="1692" formatCode="0.00">
                  <c:v>1.5918415537966759</c:v>
                </c:pt>
                <c:pt idx="1693" formatCode="0.00">
                  <c:v>4.7354921545556067E-2</c:v>
                </c:pt>
                <c:pt idx="1695" formatCode="0.00">
                  <c:v>1.1815100310638154</c:v>
                </c:pt>
                <c:pt idx="1701" formatCode="0.00">
                  <c:v>0.68438909001217429</c:v>
                </c:pt>
                <c:pt idx="1705" formatCode="0.00">
                  <c:v>0.50899189656242838</c:v>
                </c:pt>
                <c:pt idx="1709" formatCode="0.00">
                  <c:v>0.11510222083613678</c:v>
                </c:pt>
                <c:pt idx="1714" formatCode="0.00">
                  <c:v>0.43324799683453641</c:v>
                </c:pt>
                <c:pt idx="1715" formatCode="0.00">
                  <c:v>7.2533313781381129E-2</c:v>
                </c:pt>
                <c:pt idx="1725" formatCode="0.00">
                  <c:v>1.1951395705331556</c:v>
                </c:pt>
                <c:pt idx="1730" formatCode="0.00">
                  <c:v>0.10168351165602962</c:v>
                </c:pt>
                <c:pt idx="1731" formatCode="0.00">
                  <c:v>-0.33825500910483675</c:v>
                </c:pt>
                <c:pt idx="1733" formatCode="0.00">
                  <c:v>1.1275144440069089</c:v>
                </c:pt>
                <c:pt idx="1736" formatCode="0.00">
                  <c:v>1.1741547746152898</c:v>
                </c:pt>
                <c:pt idx="1743" formatCode="0.00">
                  <c:v>-1.1222431390886152</c:v>
                </c:pt>
                <c:pt idx="1744" formatCode="0.00">
                  <c:v>-0.53494744928010063</c:v>
                </c:pt>
                <c:pt idx="1745" formatCode="0.00">
                  <c:v>-0.41278274885211941</c:v>
                </c:pt>
                <c:pt idx="1748" formatCode="0.00">
                  <c:v>-2.6674237615538494E-3</c:v>
                </c:pt>
                <c:pt idx="1750" formatCode="0.00">
                  <c:v>0.7566823951507029</c:v>
                </c:pt>
                <c:pt idx="1754" formatCode="0.00">
                  <c:v>1.2198797329387061</c:v>
                </c:pt>
                <c:pt idx="1757" formatCode="0.00">
                  <c:v>0.19205687890463394</c:v>
                </c:pt>
                <c:pt idx="1760" formatCode="0.00">
                  <c:v>-0.96556422716056522</c:v>
                </c:pt>
                <c:pt idx="1766" formatCode="0.00">
                  <c:v>0.93365054091818112</c:v>
                </c:pt>
                <c:pt idx="1771" formatCode="0.00">
                  <c:v>2.0949087329148393</c:v>
                </c:pt>
                <c:pt idx="1772" formatCode="0.00">
                  <c:v>-1.2449014538708187</c:v>
                </c:pt>
                <c:pt idx="1775" formatCode="0.00">
                  <c:v>-0.45831838632342964</c:v>
                </c:pt>
                <c:pt idx="1776" formatCode="0.00">
                  <c:v>-0.15455616711039435</c:v>
                </c:pt>
                <c:pt idx="1778" formatCode="0.00">
                  <c:v>-0.35311951380938117</c:v>
                </c:pt>
                <c:pt idx="1779" formatCode="0.00">
                  <c:v>-0.39485444586271307</c:v>
                </c:pt>
                <c:pt idx="1781" formatCode="0.00">
                  <c:v>-0.75016432724164717</c:v>
                </c:pt>
                <c:pt idx="1783" formatCode="0.00">
                  <c:v>-0.64590993680650211</c:v>
                </c:pt>
                <c:pt idx="1785" formatCode="0.00">
                  <c:v>-8.7696493566901193E-2</c:v>
                </c:pt>
                <c:pt idx="1791" formatCode="0.00">
                  <c:v>0.25539222109646736</c:v>
                </c:pt>
                <c:pt idx="1792" formatCode="0.00">
                  <c:v>0.28759331292661899</c:v>
                </c:pt>
                <c:pt idx="1794" formatCode="0.00">
                  <c:v>0.88054251856324894</c:v>
                </c:pt>
                <c:pt idx="1798" formatCode="0.00">
                  <c:v>-0.42746073421915765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1'!$AO$2:$AO$946</c:f>
              <c:numCache>
                <c:formatCode>0.000</c:formatCode>
                <c:ptCount val="945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</c:numCache>
            </c:numRef>
          </c:xVal>
          <c:yVal>
            <c:numRef>
              <c:f>'Table 1'!$AT$2:$AT$946</c:f>
              <c:numCache>
                <c:formatCode>General</c:formatCode>
                <c:ptCount val="945"/>
                <c:pt idx="8" formatCode="0.00">
                  <c:v>-3.2994006569212493</c:v>
                </c:pt>
                <c:pt idx="11" formatCode="0.00">
                  <c:v>-6.335198125955591</c:v>
                </c:pt>
                <c:pt idx="12" formatCode="0.00">
                  <c:v>-3.681894511487255</c:v>
                </c:pt>
                <c:pt idx="16" formatCode="0.00">
                  <c:v>-4.309224246381909</c:v>
                </c:pt>
                <c:pt idx="20" formatCode="0.00">
                  <c:v>-4.54248453646015</c:v>
                </c:pt>
                <c:pt idx="25" formatCode="0.00">
                  <c:v>-5.0093194428449053</c:v>
                </c:pt>
                <c:pt idx="29" formatCode="0.00">
                  <c:v>-4.9438868605652599</c:v>
                </c:pt>
                <c:pt idx="30" formatCode="0.00">
                  <c:v>-4.7119451168748876</c:v>
                </c:pt>
                <c:pt idx="32" formatCode="0.00">
                  <c:v>-5.1586328474979393</c:v>
                </c:pt>
                <c:pt idx="46" formatCode="0.00">
                  <c:v>-4.6176744569358448</c:v>
                </c:pt>
                <c:pt idx="50" formatCode="0.00">
                  <c:v>-4.3259567035808875</c:v>
                </c:pt>
                <c:pt idx="53" formatCode="0.00">
                  <c:v>-4.0906164294783167</c:v>
                </c:pt>
                <c:pt idx="54" formatCode="0.00">
                  <c:v>-3.5949500151543012</c:v>
                </c:pt>
                <c:pt idx="56" formatCode="0.00">
                  <c:v>-3.130629755039434</c:v>
                </c:pt>
                <c:pt idx="58" formatCode="0.00">
                  <c:v>-4.3543506020797622</c:v>
                </c:pt>
                <c:pt idx="68" formatCode="0.00">
                  <c:v>-3.89719316709113</c:v>
                </c:pt>
                <c:pt idx="75" formatCode="0.00">
                  <c:v>-2.6184372504260716</c:v>
                </c:pt>
                <c:pt idx="77" formatCode="0.00">
                  <c:v>-2.8110811738153503</c:v>
                </c:pt>
                <c:pt idx="81" formatCode="0.00">
                  <c:v>-3.8030317365818322</c:v>
                </c:pt>
                <c:pt idx="85" formatCode="0.00">
                  <c:v>-3.5744817971926248</c:v>
                </c:pt>
                <c:pt idx="95" formatCode="0.00">
                  <c:v>-3.3593889337583298</c:v>
                </c:pt>
                <c:pt idx="106" formatCode="0.00">
                  <c:v>-4.0626343142105776</c:v>
                </c:pt>
                <c:pt idx="112" formatCode="0.00">
                  <c:v>-3.894102168971965</c:v>
                </c:pt>
                <c:pt idx="143" formatCode="0.00">
                  <c:v>-3.4670437012282154</c:v>
                </c:pt>
                <c:pt idx="151" formatCode="0.00">
                  <c:v>-3.8193377243235882</c:v>
                </c:pt>
                <c:pt idx="161" formatCode="0.00">
                  <c:v>-4.3656169721729041</c:v>
                </c:pt>
                <c:pt idx="163" formatCode="0.00">
                  <c:v>-4.3705894598936084</c:v>
                </c:pt>
                <c:pt idx="164" formatCode="0.00">
                  <c:v>-3.9676533779841101</c:v>
                </c:pt>
                <c:pt idx="182" formatCode="0.00">
                  <c:v>-4.487896789045867</c:v>
                </c:pt>
                <c:pt idx="187" formatCode="0.00">
                  <c:v>-5.1599725078314975</c:v>
                </c:pt>
                <c:pt idx="189" formatCode="0.00">
                  <c:v>-3.6034564260246134</c:v>
                </c:pt>
                <c:pt idx="204" formatCode="0.00">
                  <c:v>-5.4208145082979264</c:v>
                </c:pt>
                <c:pt idx="208" formatCode="0.00">
                  <c:v>-5.0313393716659744</c:v>
                </c:pt>
                <c:pt idx="215" formatCode="0.00">
                  <c:v>-4.4951783075509448</c:v>
                </c:pt>
                <c:pt idx="248" formatCode="0.00">
                  <c:v>-4.6207238835547466</c:v>
                </c:pt>
                <c:pt idx="259" formatCode="0.00">
                  <c:v>-4.0754433607740017</c:v>
                </c:pt>
                <c:pt idx="284" formatCode="0.00">
                  <c:v>-4.1050391209186916</c:v>
                </c:pt>
                <c:pt idx="288" formatCode="0.00">
                  <c:v>-3.771053573926141</c:v>
                </c:pt>
                <c:pt idx="289" formatCode="0.00">
                  <c:v>-4.8514619399003855</c:v>
                </c:pt>
                <c:pt idx="312" formatCode="0.00">
                  <c:v>-3.8383241343601457</c:v>
                </c:pt>
                <c:pt idx="316" formatCode="0.00">
                  <c:v>-4.2918566267070268</c:v>
                </c:pt>
                <c:pt idx="317" formatCode="0.00">
                  <c:v>-4.1137075158169063</c:v>
                </c:pt>
                <c:pt idx="319" formatCode="0.00">
                  <c:v>-4.5557276315169188</c:v>
                </c:pt>
                <c:pt idx="328" formatCode="0.00">
                  <c:v>-4.6461425402618914</c:v>
                </c:pt>
                <c:pt idx="339" formatCode="0.00">
                  <c:v>-4.4051222382742523</c:v>
                </c:pt>
                <c:pt idx="343" formatCode="0.00">
                  <c:v>-3.8526829272934928</c:v>
                </c:pt>
                <c:pt idx="345" formatCode="0.00">
                  <c:v>-4.6198737025438037</c:v>
                </c:pt>
                <c:pt idx="351" formatCode="0.00">
                  <c:v>-3.6772035480196767</c:v>
                </c:pt>
                <c:pt idx="353" formatCode="0.00">
                  <c:v>-3.8823186951982214</c:v>
                </c:pt>
                <c:pt idx="364" formatCode="0.00">
                  <c:v>-4.5397448832320011</c:v>
                </c:pt>
                <c:pt idx="369" formatCode="0.00">
                  <c:v>-4.4871220379850847</c:v>
                </c:pt>
                <c:pt idx="370" formatCode="0.00">
                  <c:v>-4.2237889104966877</c:v>
                </c:pt>
                <c:pt idx="377" formatCode="0.00">
                  <c:v>-4.1609681875953894</c:v>
                </c:pt>
                <c:pt idx="383" formatCode="0.00">
                  <c:v>-4.2880904515348695</c:v>
                </c:pt>
                <c:pt idx="384" formatCode="0.00">
                  <c:v>-3.364374103775468</c:v>
                </c:pt>
                <c:pt idx="389" formatCode="0.00">
                  <c:v>-3.0084505692130112</c:v>
                </c:pt>
                <c:pt idx="392" formatCode="0.00">
                  <c:v>-4.3645638586308397</c:v>
                </c:pt>
                <c:pt idx="395" formatCode="0.00">
                  <c:v>-4.2782075700433788</c:v>
                </c:pt>
                <c:pt idx="400" formatCode="0.00">
                  <c:v>-3.3327154779573918</c:v>
                </c:pt>
                <c:pt idx="404" formatCode="0.00">
                  <c:v>-3.499690453320293</c:v>
                </c:pt>
                <c:pt idx="405" formatCode="0.00">
                  <c:v>-2.8889013090077427</c:v>
                </c:pt>
                <c:pt idx="410" formatCode="0.00">
                  <c:v>-4.631037229478018</c:v>
                </c:pt>
                <c:pt idx="412" formatCode="0.00">
                  <c:v>-3.6691397674007891</c:v>
                </c:pt>
                <c:pt idx="415" formatCode="0.00">
                  <c:v>-3.312665272215165</c:v>
                </c:pt>
                <c:pt idx="418" formatCode="0.00">
                  <c:v>-4.0682829362515003</c:v>
                </c:pt>
                <c:pt idx="432" formatCode="0.00">
                  <c:v>-3.0443708922402171</c:v>
                </c:pt>
                <c:pt idx="437" formatCode="0.00">
                  <c:v>-3.3422254320097964</c:v>
                </c:pt>
                <c:pt idx="444" formatCode="0.00">
                  <c:v>-4.2734907780055469</c:v>
                </c:pt>
                <c:pt idx="445" formatCode="0.00">
                  <c:v>-3.2682498328065481</c:v>
                </c:pt>
                <c:pt idx="446" formatCode="0.00">
                  <c:v>-3.5411552473809471</c:v>
                </c:pt>
                <c:pt idx="451" formatCode="0.00">
                  <c:v>-4.900948464788967</c:v>
                </c:pt>
                <c:pt idx="456" formatCode="0.00">
                  <c:v>-3.1383208954671362</c:v>
                </c:pt>
                <c:pt idx="457" formatCode="0.00">
                  <c:v>-3.25638477360939</c:v>
                </c:pt>
                <c:pt idx="458" formatCode="0.00">
                  <c:v>-3.1359782403167209</c:v>
                </c:pt>
                <c:pt idx="464" formatCode="0.00">
                  <c:v>-2.9359694572191435</c:v>
                </c:pt>
                <c:pt idx="471" formatCode="0.00">
                  <c:v>-3.452274250144987</c:v>
                </c:pt>
                <c:pt idx="488" formatCode="0.00">
                  <c:v>-2.9602400330205332</c:v>
                </c:pt>
                <c:pt idx="503" formatCode="0.00">
                  <c:v>-3.400342506624292</c:v>
                </c:pt>
                <c:pt idx="512" formatCode="0.00">
                  <c:v>-4.2249793950482948</c:v>
                </c:pt>
                <c:pt idx="513" formatCode="0.00">
                  <c:v>-4.2695619878848898</c:v>
                </c:pt>
                <c:pt idx="520" formatCode="0.00">
                  <c:v>-4.3547045977763394</c:v>
                </c:pt>
                <c:pt idx="525" formatCode="0.00">
                  <c:v>-1.9476410745199402</c:v>
                </c:pt>
                <c:pt idx="528" formatCode="0.00">
                  <c:v>-4.5868819613323772</c:v>
                </c:pt>
                <c:pt idx="533" formatCode="0.00">
                  <c:v>-5.8346272554206822</c:v>
                </c:pt>
                <c:pt idx="536" formatCode="0.00">
                  <c:v>-4.8970050350698102</c:v>
                </c:pt>
                <c:pt idx="544" formatCode="0.00">
                  <c:v>-4.375955626350243</c:v>
                </c:pt>
                <c:pt idx="559" formatCode="0.00">
                  <c:v>-4.1259387307821473</c:v>
                </c:pt>
                <c:pt idx="564" formatCode="0.00">
                  <c:v>-4.3874110789920433</c:v>
                </c:pt>
                <c:pt idx="568" formatCode="0.00">
                  <c:v>-3.5250627135002492</c:v>
                </c:pt>
                <c:pt idx="574" formatCode="0.00">
                  <c:v>-3.747558020215024</c:v>
                </c:pt>
                <c:pt idx="600" formatCode="0.00">
                  <c:v>-3.2872832730879518</c:v>
                </c:pt>
                <c:pt idx="619" formatCode="0.00">
                  <c:v>-3.1272941541158552</c:v>
                </c:pt>
                <c:pt idx="638" formatCode="0.00">
                  <c:v>-2.7435321088984708</c:v>
                </c:pt>
                <c:pt idx="641" formatCode="0.00">
                  <c:v>-3.0949324044675541</c:v>
                </c:pt>
                <c:pt idx="648" formatCode="0.00">
                  <c:v>-3.2871861562807769</c:v>
                </c:pt>
                <c:pt idx="656" formatCode="0.00">
                  <c:v>-2.7852324937300712</c:v>
                </c:pt>
                <c:pt idx="665" formatCode="0.00">
                  <c:v>-3.0993226025801759</c:v>
                </c:pt>
                <c:pt idx="676" formatCode="0.00">
                  <c:v>-3.1247612180937279</c:v>
                </c:pt>
                <c:pt idx="686" formatCode="0.00">
                  <c:v>-2.8436658950993028</c:v>
                </c:pt>
                <c:pt idx="687" formatCode="0.00">
                  <c:v>-3.0568712132060742</c:v>
                </c:pt>
                <c:pt idx="688" formatCode="0.00">
                  <c:v>-2.3848244253289623</c:v>
                </c:pt>
                <c:pt idx="691" formatCode="0.00">
                  <c:v>-2.3481685625992066</c:v>
                </c:pt>
                <c:pt idx="693" formatCode="0.00">
                  <c:v>-2.6585029937616462</c:v>
                </c:pt>
                <c:pt idx="707" formatCode="0.00">
                  <c:v>-2.1907145473649665</c:v>
                </c:pt>
                <c:pt idx="711" formatCode="0.00">
                  <c:v>-1.8763259855438736</c:v>
                </c:pt>
                <c:pt idx="715" formatCode="0.00">
                  <c:v>-1.9003042828660341</c:v>
                </c:pt>
                <c:pt idx="719" formatCode="0.00">
                  <c:v>-1.5494658304213464</c:v>
                </c:pt>
                <c:pt idx="726" formatCode="0.00">
                  <c:v>-1.0803603551098881</c:v>
                </c:pt>
                <c:pt idx="731" formatCode="0.00">
                  <c:v>-2.7217599763646736</c:v>
                </c:pt>
                <c:pt idx="733" formatCode="0.00">
                  <c:v>-2.0884184190921746</c:v>
                </c:pt>
                <c:pt idx="736" formatCode="0.00">
                  <c:v>-1.6528727865181922</c:v>
                </c:pt>
                <c:pt idx="746" formatCode="0.00">
                  <c:v>-2.318314625958303</c:v>
                </c:pt>
                <c:pt idx="747" formatCode="0.00">
                  <c:v>-1.9399829884558228</c:v>
                </c:pt>
                <c:pt idx="750" formatCode="0.00">
                  <c:v>-1.8553074421192459</c:v>
                </c:pt>
                <c:pt idx="751" formatCode="0.00">
                  <c:v>-1.6968324288708547</c:v>
                </c:pt>
                <c:pt idx="756" formatCode="0.00">
                  <c:v>-2.4058698644040089</c:v>
                </c:pt>
                <c:pt idx="759" formatCode="0.00">
                  <c:v>-1.8643800567825335</c:v>
                </c:pt>
                <c:pt idx="760" formatCode="0.00">
                  <c:v>-2.1556442311411304</c:v>
                </c:pt>
                <c:pt idx="764" formatCode="0.00">
                  <c:v>-2.1998262378617159</c:v>
                </c:pt>
                <c:pt idx="776" formatCode="0.00">
                  <c:v>-3.1807445363258098</c:v>
                </c:pt>
                <c:pt idx="778" formatCode="0.00">
                  <c:v>-3.5908201869783944</c:v>
                </c:pt>
                <c:pt idx="792" formatCode="0.00">
                  <c:v>-2.5978326073414282</c:v>
                </c:pt>
                <c:pt idx="802" formatCode="0.00">
                  <c:v>-2.9397973500446315</c:v>
                </c:pt>
                <c:pt idx="807" formatCode="0.00">
                  <c:v>-3.5631060708456501</c:v>
                </c:pt>
                <c:pt idx="810" formatCode="0.00">
                  <c:v>-3.9385350233619518</c:v>
                </c:pt>
                <c:pt idx="814" formatCode="0.00">
                  <c:v>-3.5031528999288102</c:v>
                </c:pt>
                <c:pt idx="825" formatCode="0.00">
                  <c:v>-3.9563449822357244</c:v>
                </c:pt>
                <c:pt idx="826" formatCode="0.00">
                  <c:v>-2.7109599808654608</c:v>
                </c:pt>
                <c:pt idx="830" formatCode="0.00">
                  <c:v>-3.140874793597396</c:v>
                </c:pt>
                <c:pt idx="831" formatCode="0.00">
                  <c:v>-3.1292846349510479</c:v>
                </c:pt>
                <c:pt idx="835" formatCode="0.00">
                  <c:v>-2.6618288675252111</c:v>
                </c:pt>
                <c:pt idx="837" formatCode="0.00">
                  <c:v>-2.9969743505915409</c:v>
                </c:pt>
                <c:pt idx="840" formatCode="0.00">
                  <c:v>-3.6722211103333677</c:v>
                </c:pt>
                <c:pt idx="844" formatCode="0.00">
                  <c:v>-3.5169150276264856</c:v>
                </c:pt>
                <c:pt idx="865" formatCode="0.00">
                  <c:v>-3.6845662609072156</c:v>
                </c:pt>
                <c:pt idx="875" formatCode="0.00">
                  <c:v>-4.4352211535088584</c:v>
                </c:pt>
                <c:pt idx="884" formatCode="0.00">
                  <c:v>-3.2530985921388855</c:v>
                </c:pt>
                <c:pt idx="888" formatCode="0.00">
                  <c:v>-3.3279135100283934</c:v>
                </c:pt>
                <c:pt idx="896" formatCode="0.00">
                  <c:v>-3.3769806642689675</c:v>
                </c:pt>
                <c:pt idx="900" formatCode="0.00">
                  <c:v>-4.3355210665459909</c:v>
                </c:pt>
                <c:pt idx="917" formatCode="0.00">
                  <c:v>-4.5877574937098631</c:v>
                </c:pt>
                <c:pt idx="941" formatCode="0.00">
                  <c:v>-3.1432424115039708</c:v>
                </c:pt>
                <c:pt idx="942" formatCode="0.00">
                  <c:v>-3.9366407060617874</c:v>
                </c:pt>
                <c:pt idx="943" formatCode="0.00">
                  <c:v>-4.1350561893283908</c:v>
                </c:pt>
                <c:pt idx="944" formatCode="0.00">
                  <c:v>-3.8813070271050849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409575</xdr:colOff>
      <xdr:row>4344</xdr:row>
      <xdr:rowOff>100012</xdr:rowOff>
    </xdr:from>
    <xdr:to>
      <xdr:col>41</xdr:col>
      <xdr:colOff>304800</xdr:colOff>
      <xdr:row>4358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495300</xdr:colOff>
      <xdr:row>4344</xdr:row>
      <xdr:rowOff>114300</xdr:rowOff>
    </xdr:from>
    <xdr:to>
      <xdr:col>49</xdr:col>
      <xdr:colOff>190500</xdr:colOff>
      <xdr:row>4359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447675</xdr:colOff>
      <xdr:row>4359</xdr:row>
      <xdr:rowOff>19050</xdr:rowOff>
    </xdr:from>
    <xdr:to>
      <xdr:col>41</xdr:col>
      <xdr:colOff>342900</xdr:colOff>
      <xdr:row>4373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514350</xdr:colOff>
      <xdr:row>4359</xdr:row>
      <xdr:rowOff>57150</xdr:rowOff>
    </xdr:from>
    <xdr:to>
      <xdr:col>49</xdr:col>
      <xdr:colOff>209550</xdr:colOff>
      <xdr:row>4373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457200</xdr:colOff>
      <xdr:row>4374</xdr:row>
      <xdr:rowOff>57150</xdr:rowOff>
    </xdr:from>
    <xdr:to>
      <xdr:col>41</xdr:col>
      <xdr:colOff>352425</xdr:colOff>
      <xdr:row>4388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4344"/>
  <sheetViews>
    <sheetView tabSelected="1" workbookViewId="0">
      <pane ySplit="1" topLeftCell="A4306" activePane="bottomLeft" state="frozen"/>
      <selection pane="bottomLeft" activeCell="AE4311" sqref="AE4311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hidden="1" customWidth="1"/>
    <col min="21" max="21" width="12.28515625" customWidth="1"/>
    <col min="27" max="27" width="10.7109375" style="10" bestFit="1" customWidth="1"/>
    <col min="28" max="28" width="10.7109375" style="3" bestFit="1" customWidth="1"/>
    <col min="29" max="29" width="9.140625" style="3"/>
    <col min="30" max="30" width="13.28515625" customWidth="1"/>
    <col min="36" max="36" width="13.7109375" bestFit="1" customWidth="1"/>
    <col min="37" max="37" width="13.7109375" customWidth="1"/>
    <col min="38" max="39" width="10.140625" bestFit="1" customWidth="1"/>
    <col min="40" max="40" width="10.42578125" bestFit="1" customWidth="1"/>
    <col min="41" max="41" width="12" customWidth="1"/>
    <col min="42" max="43" width="9.140625" style="12"/>
  </cols>
  <sheetData>
    <row r="1" spans="1:55" ht="30" x14ac:dyDescent="0.25">
      <c r="A1" t="s">
        <v>4652</v>
      </c>
      <c r="B1" s="1" t="s">
        <v>4641</v>
      </c>
      <c r="C1" t="s">
        <v>4653</v>
      </c>
      <c r="D1" t="s">
        <v>4651</v>
      </c>
      <c r="E1" t="s">
        <v>4654</v>
      </c>
      <c r="F1" t="s">
        <v>4645</v>
      </c>
      <c r="G1" t="s">
        <v>4646</v>
      </c>
      <c r="H1" s="5" t="s">
        <v>4647</v>
      </c>
      <c r="I1" t="s">
        <v>4648</v>
      </c>
      <c r="J1" t="s">
        <v>4649</v>
      </c>
      <c r="K1" s="5" t="s">
        <v>4650</v>
      </c>
      <c r="L1" s="7" t="s">
        <v>4655</v>
      </c>
      <c r="M1" s="7" t="s">
        <v>4657</v>
      </c>
      <c r="N1" s="7" t="s">
        <v>4658</v>
      </c>
      <c r="O1" s="7" t="s">
        <v>4656</v>
      </c>
      <c r="P1" s="7" t="s">
        <v>4659</v>
      </c>
      <c r="Q1" s="7" t="s">
        <v>4660</v>
      </c>
      <c r="R1" t="s">
        <v>0</v>
      </c>
      <c r="S1" t="s">
        <v>1</v>
      </c>
      <c r="T1" t="s">
        <v>4642</v>
      </c>
      <c r="U1" t="s">
        <v>4643</v>
      </c>
      <c r="V1" t="s">
        <v>4996</v>
      </c>
      <c r="W1" t="s">
        <v>4996</v>
      </c>
      <c r="X1" t="s">
        <v>4996</v>
      </c>
      <c r="Y1" t="s">
        <v>4996</v>
      </c>
      <c r="Z1" t="s">
        <v>4996</v>
      </c>
      <c r="AA1" s="19" t="s">
        <v>4997</v>
      </c>
      <c r="AB1" s="20" t="s">
        <v>4998</v>
      </c>
      <c r="AC1" s="20" t="s">
        <v>4999</v>
      </c>
      <c r="AD1" s="7" t="s">
        <v>5000</v>
      </c>
      <c r="AE1" s="7" t="s">
        <v>5001</v>
      </c>
      <c r="AF1" s="7"/>
      <c r="AG1" s="7"/>
      <c r="AJ1" t="s">
        <v>4680</v>
      </c>
      <c r="AK1" t="s">
        <v>4681</v>
      </c>
      <c r="AL1" t="s">
        <v>4672</v>
      </c>
      <c r="AM1" t="s">
        <v>4673</v>
      </c>
      <c r="AN1" s="7" t="s">
        <v>4676</v>
      </c>
      <c r="AO1" s="7" t="s">
        <v>4686</v>
      </c>
      <c r="AP1" s="11" t="s">
        <v>4674</v>
      </c>
      <c r="AQ1" s="11" t="s">
        <v>4687</v>
      </c>
      <c r="AR1" t="s">
        <v>4675</v>
      </c>
      <c r="AS1" t="s">
        <v>4677</v>
      </c>
      <c r="AT1" t="s">
        <v>4678</v>
      </c>
      <c r="AU1" t="s">
        <v>4688</v>
      </c>
      <c r="AV1" s="7" t="s">
        <v>4689</v>
      </c>
      <c r="AZ1" t="s">
        <v>4679</v>
      </c>
      <c r="BA1" t="s">
        <v>4679</v>
      </c>
      <c r="BB1" t="s">
        <v>4679</v>
      </c>
      <c r="BC1" t="s">
        <v>4679</v>
      </c>
    </row>
    <row r="2" spans="1:55" x14ac:dyDescent="0.25">
      <c r="A2" t="s">
        <v>2</v>
      </c>
      <c r="B2" s="2" t="str">
        <f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>
        <f>ROUND($E2,2)+0</f>
        <v>9328.7800000000007</v>
      </c>
      <c r="AC2" s="3" cm="1">
        <f t="array" ref="AC2">100000000/LvacE(AA2)</f>
        <v>9328.7769126255771</v>
      </c>
      <c r="AD2" s="10">
        <f>0.0005/$AA2*AC2+0.005</f>
        <v>5.435249599271782E-3</v>
      </c>
      <c r="AE2" s="10" t="b">
        <f t="shared" ref="AE2" si="0">ABS(AB2-AC2)&lt;AD2</f>
        <v>1</v>
      </c>
      <c r="AJ2" t="s">
        <v>4767</v>
      </c>
      <c r="AK2" t="s">
        <v>4746</v>
      </c>
      <c r="AL2">
        <v>15705.13</v>
      </c>
      <c r="AM2">
        <v>25033.91</v>
      </c>
      <c r="AN2" s="10" cm="1">
        <f t="array" ref="AN2">Lair(100000000/($AM2-$AL2))</f>
        <v>10716.579494112015</v>
      </c>
      <c r="AO2" s="10">
        <f>100000000/($AM2-$AL2)</f>
        <v>10719.515306395906</v>
      </c>
      <c r="AU2" s="3" cm="1">
        <f t="array" ref="AU2">$C2*EXP(poly_from_str($AO2,AU$4341))</f>
        <v>0.16415210865644983</v>
      </c>
    </row>
    <row r="3" spans="1:55" x14ac:dyDescent="0.25">
      <c r="A3" t="s">
        <v>7</v>
      </c>
      <c r="B3" s="2" t="str">
        <f t="shared" ref="B3:B66" si="1">IF(OR(A3=A2,A3=A4),IF(B2="",1,B2+1),"")</f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2">$G3&amp;""</f>
        <v>o</v>
      </c>
      <c r="N3" t="str">
        <f t="shared" ref="N3:N10" si="3">$H3&amp;""</f>
        <v>9/2</v>
      </c>
      <c r="O3">
        <v>26446.97</v>
      </c>
      <c r="P3" t="str">
        <f t="shared" ref="P3:P10" si="4">$J3&amp;""</f>
        <v>e</v>
      </c>
      <c r="Q3" t="str">
        <f t="shared" ref="Q3:Q10" si="5">$K3&amp;""</f>
        <v>7/2</v>
      </c>
      <c r="R3">
        <v>3</v>
      </c>
      <c r="AA3" s="10">
        <f t="shared" ref="AA3:AA66" si="6">ROUND($A3,3)+0</f>
        <v>10324.591</v>
      </c>
      <c r="AB3" s="3">
        <f t="shared" ref="AB3:AB66" si="7">ROUND($E3,2)+0</f>
        <v>9682.9599999999991</v>
      </c>
      <c r="AC3" s="3" cm="1">
        <f t="array" ref="AC3">100000000/LvacE(AA3)</f>
        <v>9682.9599943415906</v>
      </c>
      <c r="AD3" s="10">
        <f t="shared" ref="AD3:AD66" si="8">0.0005/$AA3*AC3+0.005</f>
        <v>5.4689270497175913E-3</v>
      </c>
      <c r="AE3" s="10" t="b">
        <f t="shared" ref="AE3:AE66" si="9">ABS(AB3-AC3)&lt;AD3</f>
        <v>1</v>
      </c>
      <c r="AJ3" t="s">
        <v>4985</v>
      </c>
      <c r="AK3" t="s">
        <v>4736</v>
      </c>
      <c r="AL3">
        <v>16763.98</v>
      </c>
      <c r="AM3">
        <v>26446.97</v>
      </c>
      <c r="AN3" s="10" cm="1">
        <f t="array" ref="AN3">Lair(100000000/($AM3-$AL3))</f>
        <v>10324.55904444853</v>
      </c>
      <c r="AO3" s="10">
        <f t="shared" ref="AO3:AO10" si="10">100000000/($AM3-$AL3)</f>
        <v>10327.388544240981</v>
      </c>
      <c r="AU3" s="3" cm="1">
        <f t="array" ref="AU3">$C3*EXP(poly_from_str($AO3,AU$4341))</f>
        <v>1.4667097368106807</v>
      </c>
    </row>
    <row r="4" spans="1:55" x14ac:dyDescent="0.25">
      <c r="A4" t="s">
        <v>9</v>
      </c>
      <c r="B4" s="2" t="str">
        <f t="shared" si="1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2"/>
        <v>o</v>
      </c>
      <c r="N4" t="str">
        <f t="shared" si="3"/>
        <v>9/2</v>
      </c>
      <c r="O4">
        <v>25409.74</v>
      </c>
      <c r="P4" t="str">
        <f t="shared" si="4"/>
        <v>e</v>
      </c>
      <c r="Q4" t="str">
        <f t="shared" si="5"/>
        <v>7/2</v>
      </c>
      <c r="R4">
        <v>3</v>
      </c>
      <c r="S4" t="s">
        <v>6</v>
      </c>
      <c r="AA4" s="10">
        <f t="shared" si="6"/>
        <v>10301.584999999999</v>
      </c>
      <c r="AB4" s="3">
        <f t="shared" si="7"/>
        <v>9704.58</v>
      </c>
      <c r="AC4" s="3" cm="1">
        <f t="array" ref="AC4">100000000/LvacE(AA4)</f>
        <v>9704.5843876606668</v>
      </c>
      <c r="AD4" s="10">
        <f t="shared" si="8"/>
        <v>5.4710238467022632E-3</v>
      </c>
      <c r="AE4" s="10" t="b">
        <f t="shared" si="9"/>
        <v>1</v>
      </c>
      <c r="AJ4" t="s">
        <v>4767</v>
      </c>
      <c r="AK4" t="s">
        <v>4720</v>
      </c>
      <c r="AL4">
        <v>15705.13</v>
      </c>
      <c r="AM4">
        <v>25409.74</v>
      </c>
      <c r="AN4" s="10" cm="1">
        <f t="array" ref="AN4">Lair(100000000/($AM4-$AL4))</f>
        <v>10301.557850301238</v>
      </c>
      <c r="AO4" s="10">
        <f t="shared" si="10"/>
        <v>10304.381113718116</v>
      </c>
      <c r="AU4" s="3" cm="1">
        <f t="array" ref="AU4">$C4*EXP(poly_from_str($AO4,AU$4341))</f>
        <v>1.5977168505250641</v>
      </c>
    </row>
    <row r="5" spans="1:55" x14ac:dyDescent="0.25">
      <c r="A5" t="s">
        <v>10</v>
      </c>
      <c r="B5" s="2" t="str">
        <f t="shared" si="1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2"/>
        <v>o</v>
      </c>
      <c r="N5" t="str">
        <f t="shared" si="3"/>
        <v>7/2</v>
      </c>
      <c r="O5">
        <v>23651.88</v>
      </c>
      <c r="P5" t="str">
        <f t="shared" si="4"/>
        <v>e</v>
      </c>
      <c r="Q5" t="str">
        <f t="shared" si="5"/>
        <v>7/2</v>
      </c>
      <c r="R5">
        <v>3</v>
      </c>
      <c r="AA5" s="10">
        <f t="shared" si="6"/>
        <v>10238.626</v>
      </c>
      <c r="AB5" s="3">
        <f t="shared" si="7"/>
        <v>9764.26</v>
      </c>
      <c r="AC5" s="3" cm="1">
        <f t="array" ref="AC5">100000000/LvacE(AA5)</f>
        <v>9764.2593012674351</v>
      </c>
      <c r="AD5" s="10">
        <f t="shared" si="8"/>
        <v>5.4768344551928859E-3</v>
      </c>
      <c r="AE5" s="10" t="b">
        <f t="shared" si="9"/>
        <v>1</v>
      </c>
      <c r="AJ5" t="s">
        <v>4818</v>
      </c>
      <c r="AK5" t="s">
        <v>4759</v>
      </c>
      <c r="AL5">
        <v>13887.6</v>
      </c>
      <c r="AM5">
        <v>23651.88</v>
      </c>
      <c r="AN5" s="10" cm="1">
        <f t="array" ref="AN5">Lair(100000000/($AM5-$AL5))</f>
        <v>10238.604333529067</v>
      </c>
      <c r="AO5" s="10">
        <f t="shared" si="10"/>
        <v>10241.410528989336</v>
      </c>
      <c r="AU5" s="3" cm="1">
        <f t="array" ref="AU5">$C5*EXP(poly_from_str($AO5,AU$4341))</f>
        <v>1.9822630235404879</v>
      </c>
    </row>
    <row r="6" spans="1:55" x14ac:dyDescent="0.25">
      <c r="A6" t="s">
        <v>11</v>
      </c>
      <c r="B6" s="2" t="str">
        <f t="shared" si="1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2"/>
        <v>o</v>
      </c>
      <c r="N6" t="str">
        <f t="shared" si="3"/>
        <v>9/2</v>
      </c>
      <c r="O6">
        <v>19872.43</v>
      </c>
      <c r="P6" t="str">
        <f t="shared" si="4"/>
        <v>e</v>
      </c>
      <c r="Q6" t="str">
        <f t="shared" si="5"/>
        <v>7/2</v>
      </c>
      <c r="R6">
        <v>3</v>
      </c>
      <c r="S6" t="s">
        <v>6</v>
      </c>
      <c r="AA6" s="10">
        <f t="shared" si="6"/>
        <v>10160.334000000001</v>
      </c>
      <c r="AB6" s="3">
        <f t="shared" si="7"/>
        <v>9839.5</v>
      </c>
      <c r="AC6" s="3" cm="1">
        <f t="array" ref="AC6">100000000/LvacE(AA6)</f>
        <v>9839.4990616185678</v>
      </c>
      <c r="AD6" s="10">
        <f t="shared" si="8"/>
        <v>5.4842113980514105E-3</v>
      </c>
      <c r="AE6" s="10" t="b">
        <f t="shared" si="9"/>
        <v>1</v>
      </c>
      <c r="AJ6" t="s">
        <v>4812</v>
      </c>
      <c r="AK6" t="s">
        <v>4785</v>
      </c>
      <c r="AL6">
        <v>10032.92</v>
      </c>
      <c r="AM6">
        <v>19872.43</v>
      </c>
      <c r="AN6" s="10" cm="1">
        <f t="array" ref="AN6">Lair(100000000/($AM6-$AL6))</f>
        <v>10160.322742312463</v>
      </c>
      <c r="AO6" s="10">
        <f t="shared" si="10"/>
        <v>10163.107715729746</v>
      </c>
      <c r="AU6" s="3" cm="1">
        <f t="array" ref="AU6">$C6*EXP(poly_from_str($AO6,AU$4341))</f>
        <v>2.5043388572752536</v>
      </c>
    </row>
    <row r="7" spans="1:55" x14ac:dyDescent="0.25">
      <c r="A7" t="s">
        <v>12</v>
      </c>
      <c r="B7" s="2" t="str">
        <f t="shared" si="1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2"/>
        <v>o</v>
      </c>
      <c r="N7" t="str">
        <f t="shared" si="3"/>
        <v>7/2</v>
      </c>
      <c r="O7">
        <v>25409.74</v>
      </c>
      <c r="P7" t="str">
        <f t="shared" si="4"/>
        <v>e</v>
      </c>
      <c r="Q7" t="str">
        <f t="shared" si="5"/>
        <v>7/2</v>
      </c>
      <c r="R7">
        <v>3</v>
      </c>
      <c r="AA7" s="10">
        <f t="shared" si="6"/>
        <v>10031.098</v>
      </c>
      <c r="AB7" s="3">
        <f t="shared" si="7"/>
        <v>9966.27</v>
      </c>
      <c r="AC7" s="3" cm="1">
        <f t="array" ref="AC7">100000000/LvacE(AA7)</f>
        <v>9966.266200621094</v>
      </c>
      <c r="AD7" s="10">
        <f t="shared" si="8"/>
        <v>5.4967684594757768E-3</v>
      </c>
      <c r="AE7" s="10" t="b">
        <f t="shared" si="9"/>
        <v>1</v>
      </c>
      <c r="AJ7" t="s">
        <v>4982</v>
      </c>
      <c r="AK7" t="s">
        <v>4720</v>
      </c>
      <c r="AL7">
        <v>15443.48</v>
      </c>
      <c r="AM7">
        <v>25409.74</v>
      </c>
      <c r="AN7" s="10" cm="1">
        <f t="array" ref="AN7">Lair(100000000/($AM7-$AL7))</f>
        <v>10031.104277561208</v>
      </c>
      <c r="AO7" s="10">
        <f t="shared" si="10"/>
        <v>10033.854224152288</v>
      </c>
      <c r="AU7" s="3" cm="1">
        <f t="array" ref="AU7">$C7*EXP(poly_from_str($AO7,AU$4341))</f>
        <v>3.430842827444974</v>
      </c>
    </row>
    <row r="8" spans="1:55" x14ac:dyDescent="0.25">
      <c r="A8" t="s">
        <v>13</v>
      </c>
      <c r="B8" s="2" t="str">
        <f t="shared" si="1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2"/>
        <v>o</v>
      </c>
      <c r="N8" t="str">
        <f t="shared" si="3"/>
        <v>13/2</v>
      </c>
      <c r="O8">
        <v>26095.23</v>
      </c>
      <c r="P8" t="str">
        <f t="shared" si="4"/>
        <v>e</v>
      </c>
      <c r="Q8" t="str">
        <f t="shared" si="5"/>
        <v>11/2</v>
      </c>
      <c r="R8">
        <v>3</v>
      </c>
      <c r="AA8" s="10">
        <f t="shared" si="6"/>
        <v>9991.1560000000009</v>
      </c>
      <c r="AB8" s="3">
        <f t="shared" si="7"/>
        <v>10006.11</v>
      </c>
      <c r="AC8" s="3" cm="1">
        <f t="array" ref="AC8">100000000/LvacE(AA8)</f>
        <v>10006.108573833912</v>
      </c>
      <c r="AD8" s="10">
        <f t="shared" si="8"/>
        <v>5.5007482904797962E-3</v>
      </c>
      <c r="AE8" s="10" t="b">
        <f t="shared" si="9"/>
        <v>1</v>
      </c>
      <c r="AJ8" t="s">
        <v>4988</v>
      </c>
      <c r="AK8" t="s">
        <v>4738</v>
      </c>
      <c r="AL8">
        <v>16089.14</v>
      </c>
      <c r="AM8">
        <v>26095.23</v>
      </c>
      <c r="AN8" s="10" cm="1">
        <f t="array" ref="AN8">Lair(100000000/($AM8-$AL8))</f>
        <v>9991.1745825036342</v>
      </c>
      <c r="AO8" s="10">
        <f t="shared" si="10"/>
        <v>9993.9137065527084</v>
      </c>
      <c r="AU8" s="3" cm="1">
        <f t="array" ref="AU8">$C8*EXP(poly_from_str($AO8,AU$4341))</f>
        <v>3.7235850865014783</v>
      </c>
    </row>
    <row r="9" spans="1:55" x14ac:dyDescent="0.25">
      <c r="A9" t="s">
        <v>17</v>
      </c>
      <c r="B9" s="2" t="str">
        <f t="shared" si="1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2"/>
        <v>o</v>
      </c>
      <c r="N9" t="str">
        <f t="shared" si="3"/>
        <v>5/2</v>
      </c>
      <c r="O9">
        <v>20160.36</v>
      </c>
      <c r="P9" t="str">
        <f t="shared" si="4"/>
        <v>e</v>
      </c>
      <c r="Q9" t="str">
        <f t="shared" si="5"/>
        <v>3/2</v>
      </c>
      <c r="R9">
        <v>3</v>
      </c>
      <c r="AA9" s="10">
        <f t="shared" si="6"/>
        <v>9975.1209999999992</v>
      </c>
      <c r="AB9" s="3">
        <f t="shared" si="7"/>
        <v>10022.19</v>
      </c>
      <c r="AC9" s="3" cm="1">
        <f t="array" ref="AC9">100000000/LvacE(AA9)</f>
        <v>10022.193336071266</v>
      </c>
      <c r="AD9" s="10">
        <f t="shared" si="8"/>
        <v>5.5023594869711995E-3</v>
      </c>
      <c r="AE9" s="10" t="b">
        <f t="shared" si="9"/>
        <v>1</v>
      </c>
      <c r="AJ9" t="s">
        <v>4715</v>
      </c>
      <c r="AK9" t="s">
        <v>4786</v>
      </c>
      <c r="AL9">
        <v>10138.18</v>
      </c>
      <c r="AM9">
        <v>20160.36</v>
      </c>
      <c r="AN9" s="10" cm="1">
        <f t="array" ref="AN9">Lair(100000000/($AM9-$AL9))</f>
        <v>9975.1343097269546</v>
      </c>
      <c r="AO9" s="10">
        <f t="shared" si="10"/>
        <v>9977.8690863664397</v>
      </c>
      <c r="AU9" s="3" cm="1">
        <f t="array" ref="AU9">$C9*EXP(poly_from_str($AO9,AU$4341))</f>
        <v>0.19205552258488962</v>
      </c>
    </row>
    <row r="10" spans="1:55" x14ac:dyDescent="0.25">
      <c r="A10" t="s">
        <v>20</v>
      </c>
      <c r="B10" s="2" t="str">
        <f t="shared" si="1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2"/>
        <v>o</v>
      </c>
      <c r="N10" t="str">
        <f t="shared" si="3"/>
        <v>5/2</v>
      </c>
      <c r="O10">
        <v>24250.62</v>
      </c>
      <c r="P10" t="str">
        <f t="shared" si="4"/>
        <v>e</v>
      </c>
      <c r="Q10" t="str">
        <f t="shared" si="5"/>
        <v>3/2</v>
      </c>
      <c r="R10">
        <v>3</v>
      </c>
      <c r="AA10" s="10">
        <f t="shared" si="6"/>
        <v>9934.3559999999998</v>
      </c>
      <c r="AB10" s="3">
        <f t="shared" si="7"/>
        <v>10063.32</v>
      </c>
      <c r="AC10" s="3" cm="1">
        <f t="array" ref="AC10">100000000/LvacE(AA10)</f>
        <v>10063.318641582424</v>
      </c>
      <c r="AD10" s="10">
        <f t="shared" si="8"/>
        <v>5.5064907398920688E-3</v>
      </c>
      <c r="AE10" s="10" t="b">
        <f t="shared" si="9"/>
        <v>1</v>
      </c>
      <c r="AJ10" t="s">
        <v>4979</v>
      </c>
      <c r="AK10" t="s">
        <v>4710</v>
      </c>
      <c r="AL10">
        <v>14187.35</v>
      </c>
      <c r="AM10">
        <v>24250.62</v>
      </c>
      <c r="AN10" s="10" cm="1">
        <f t="array" ref="AN10">Lair(100000000/($AM10-$AL10))</f>
        <v>9934.4040545983771</v>
      </c>
      <c r="AO10" s="10">
        <f t="shared" si="10"/>
        <v>9937.1277924571259</v>
      </c>
      <c r="AP10" s="12">
        <v>1280000</v>
      </c>
      <c r="AQ10" s="3">
        <v>0.55200000000000005</v>
      </c>
      <c r="AR10" s="3">
        <f>LN(AU10*100000000/($AM10-$AL10)/AP10)</f>
        <v>-5.7406573505608796</v>
      </c>
      <c r="AS10" s="13">
        <f>EXP(AR$4341*$AM10+AR$4342)*$AP10/(100000000/($AM10-$AL10))</f>
        <v>1.8452639849054231</v>
      </c>
      <c r="AT10" s="3">
        <f>LN(AS10/$C10)</f>
        <v>-3.2994006569212493</v>
      </c>
      <c r="AU10" s="3" cm="1">
        <f t="array" ref="AU10">$C10*EXP(poly_from_str($AO10,AU$4341))</f>
        <v>0.41382172324596961</v>
      </c>
      <c r="AV10" s="13">
        <f>LN(AS10/AU10)</f>
        <v>1.4949423665860317</v>
      </c>
    </row>
    <row r="11" spans="1:55" x14ac:dyDescent="0.25">
      <c r="A11" t="s">
        <v>21</v>
      </c>
      <c r="B11" s="2" t="str">
        <f t="shared" si="1"/>
        <v/>
      </c>
      <c r="C11">
        <v>25</v>
      </c>
      <c r="E11">
        <v>10095.67</v>
      </c>
      <c r="R11">
        <v>3</v>
      </c>
      <c r="S11" t="s">
        <v>22</v>
      </c>
      <c r="AA11" s="10">
        <f t="shared" si="6"/>
        <v>9902.5220000000008</v>
      </c>
      <c r="AB11" s="3">
        <f t="shared" si="7"/>
        <v>10095.67</v>
      </c>
      <c r="AC11" s="3" cm="1">
        <f t="array" ref="AC11">100000000/LvacE(AA11)</f>
        <v>10095.669457904467</v>
      </c>
      <c r="AD11" s="10">
        <f t="shared" si="8"/>
        <v>5.5097524377075088E-3</v>
      </c>
      <c r="AE11" s="10" t="b">
        <f t="shared" si="9"/>
        <v>1</v>
      </c>
      <c r="AP11"/>
      <c r="AQ11"/>
      <c r="AU11" s="3" cm="1">
        <f t="array" ref="AU11">$C11*EXP(poly_from_str(100000000/$E11,AU$4341))</f>
        <v>0.21842524997638951</v>
      </c>
    </row>
    <row r="12" spans="1:55" x14ac:dyDescent="0.25">
      <c r="A12" t="s">
        <v>23</v>
      </c>
      <c r="B12" s="2" t="str">
        <f t="shared" si="1"/>
        <v/>
      </c>
      <c r="C12">
        <v>75</v>
      </c>
      <c r="E12">
        <v>10101.41</v>
      </c>
      <c r="R12">
        <v>3</v>
      </c>
      <c r="S12" t="s">
        <v>22</v>
      </c>
      <c r="AA12" s="10">
        <f t="shared" si="6"/>
        <v>9896.8979999999992</v>
      </c>
      <c r="AB12" s="3">
        <f t="shared" si="7"/>
        <v>10101.41</v>
      </c>
      <c r="AC12" s="3" cm="1">
        <f t="array" ref="AC12">100000000/LvacE(AA12)</f>
        <v>10101.406393319192</v>
      </c>
      <c r="AD12" s="10">
        <f t="shared" si="8"/>
        <v>5.5103319440757701E-3</v>
      </c>
      <c r="AE12" s="10" t="b">
        <f t="shared" si="9"/>
        <v>1</v>
      </c>
      <c r="AP12"/>
      <c r="AQ12"/>
      <c r="AU12" s="3" cm="1">
        <f t="array" ref="AU12">$C12*EXP(poly_from_str(100000000/$E12,AU$4341))</f>
        <v>0.66133035261120943</v>
      </c>
    </row>
    <row r="13" spans="1:55" x14ac:dyDescent="0.25">
      <c r="A13" t="s">
        <v>24</v>
      </c>
      <c r="B13" s="2" t="str">
        <f t="shared" si="1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11">$G13&amp;""</f>
        <v>o</v>
      </c>
      <c r="N13" t="str">
        <f t="shared" ref="N13:N16" si="12">$H13&amp;""</f>
        <v>5/2</v>
      </c>
      <c r="O13">
        <v>24309.200000000001</v>
      </c>
      <c r="P13" t="str">
        <f t="shared" ref="P13:P16" si="13">$J13&amp;""</f>
        <v>e</v>
      </c>
      <c r="Q13" t="str">
        <f t="shared" ref="Q13:Q16" si="14">$K13&amp;""</f>
        <v>3/2</v>
      </c>
      <c r="R13">
        <v>3</v>
      </c>
      <c r="S13" t="s">
        <v>25</v>
      </c>
      <c r="AA13" s="10">
        <f t="shared" si="6"/>
        <v>9876.8979999999992</v>
      </c>
      <c r="AB13" s="3">
        <f t="shared" si="7"/>
        <v>10121.86</v>
      </c>
      <c r="AC13" s="3" cm="1">
        <f t="array" ref="AC13">100000000/LvacE(AA13)</f>
        <v>10121.860941275812</v>
      </c>
      <c r="AD13" s="10">
        <f t="shared" si="8"/>
        <v>5.5124008034342269E-3</v>
      </c>
      <c r="AE13" s="10" t="b">
        <f t="shared" si="9"/>
        <v>1</v>
      </c>
      <c r="AJ13" t="s">
        <v>4979</v>
      </c>
      <c r="AK13" t="s">
        <v>4749</v>
      </c>
      <c r="AL13">
        <v>14187.35</v>
      </c>
      <c r="AM13">
        <v>24309.200000000001</v>
      </c>
      <c r="AN13" s="10" cm="1">
        <f t="array" ref="AN13">Lair(100000000/($AM13-$AL13))</f>
        <v>9876.9087121494813</v>
      </c>
      <c r="AO13" s="10">
        <f t="shared" ref="AO13:AO16" si="15">100000000/($AM13-$AL13)</f>
        <v>9879.6168684578406</v>
      </c>
      <c r="AP13" s="12">
        <v>92100</v>
      </c>
      <c r="AQ13" s="3">
        <v>0.39600000000000002</v>
      </c>
      <c r="AR13" s="3">
        <f t="shared" ref="AR13:AR14" si="16">LN(AU13*100000000/($AM13-$AL13)/AP13)</f>
        <v>-2.6140785468710614</v>
      </c>
      <c r="AS13" s="13">
        <f t="shared" ref="AS13:AS14" si="17">EXP(AR$4341*$AM13+AR$4342)*$AP13/(100000000/($AM13-$AL13))</f>
        <v>0.1329595925388167</v>
      </c>
      <c r="AT13" s="3">
        <f t="shared" ref="AT13:AT14" si="18">LN(AS13/$C13)</f>
        <v>-6.335198125955591</v>
      </c>
      <c r="AU13" s="3" cm="1">
        <f t="array" ref="AU13">$C13*EXP(poly_from_str($AO13,AU$4341))</f>
        <v>0.68271530523808999</v>
      </c>
      <c r="AV13" s="13">
        <f t="shared" ref="AV13:AV14" si="19">LN(AS13/AU13)</f>
        <v>-1.6360326762977786</v>
      </c>
    </row>
    <row r="14" spans="1:55" x14ac:dyDescent="0.25">
      <c r="A14" t="s">
        <v>26</v>
      </c>
      <c r="B14" s="2" t="str">
        <f t="shared" si="1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11"/>
        <v>o</v>
      </c>
      <c r="N14" t="str">
        <f t="shared" si="12"/>
        <v>11/2</v>
      </c>
      <c r="O14">
        <v>27604.26</v>
      </c>
      <c r="P14" t="str">
        <f t="shared" si="13"/>
        <v>e</v>
      </c>
      <c r="Q14" t="str">
        <f t="shared" si="14"/>
        <v>9/2</v>
      </c>
      <c r="R14">
        <v>3</v>
      </c>
      <c r="AA14" s="10">
        <f t="shared" si="6"/>
        <v>9806.3680000000004</v>
      </c>
      <c r="AB14" s="3">
        <f t="shared" si="7"/>
        <v>10194.66</v>
      </c>
      <c r="AC14" s="3" cm="1">
        <f t="array" ref="AC14">100000000/LvacE(AA14)</f>
        <v>10194.659815330604</v>
      </c>
      <c r="AD14" s="10">
        <f t="shared" si="8"/>
        <v>5.5197979422825358E-3</v>
      </c>
      <c r="AE14" s="10" t="b">
        <f t="shared" si="9"/>
        <v>1</v>
      </c>
      <c r="AJ14" t="s">
        <v>4980</v>
      </c>
      <c r="AK14" t="s">
        <v>4718</v>
      </c>
      <c r="AL14">
        <v>17409.580000000002</v>
      </c>
      <c r="AM14">
        <v>27604.26</v>
      </c>
      <c r="AN14" s="10" cm="1">
        <f t="array" ref="AN14">Lair(100000000/($AM14-$AL14))</f>
        <v>9806.3486192766231</v>
      </c>
      <c r="AO14" s="10">
        <f t="shared" si="15"/>
        <v>9809.0376549337525</v>
      </c>
      <c r="AP14" s="12">
        <v>3880000</v>
      </c>
      <c r="AQ14" s="3">
        <v>0.56899999999999995</v>
      </c>
      <c r="AR14" s="3">
        <f t="shared" si="16"/>
        <v>-5.4121822248273128</v>
      </c>
      <c r="AS14" s="13">
        <f t="shared" si="17"/>
        <v>4.4056660997838426</v>
      </c>
      <c r="AT14" s="3">
        <f t="shared" si="18"/>
        <v>-3.681894511487255</v>
      </c>
      <c r="AU14" s="3" cm="1">
        <f t="array" ref="AU14">$C14*EXP(poly_from_str($AO14,AU$4341))</f>
        <v>1.7649176594025586</v>
      </c>
      <c r="AV14" s="13">
        <f t="shared" si="19"/>
        <v>0.91478742503580013</v>
      </c>
    </row>
    <row r="15" spans="1:55" x14ac:dyDescent="0.25">
      <c r="A15" t="s">
        <v>27</v>
      </c>
      <c r="B15" s="2" t="str">
        <f t="shared" si="1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11"/>
        <v>o</v>
      </c>
      <c r="N15" t="str">
        <f t="shared" si="12"/>
        <v>3/2</v>
      </c>
      <c r="O15">
        <v>21148.43</v>
      </c>
      <c r="P15" t="str">
        <f t="shared" si="13"/>
        <v>e</v>
      </c>
      <c r="Q15" t="str">
        <f t="shared" si="14"/>
        <v>3/2</v>
      </c>
      <c r="R15">
        <v>3</v>
      </c>
      <c r="AA15" s="10">
        <f t="shared" si="6"/>
        <v>9802.9770000000008</v>
      </c>
      <c r="AB15" s="3">
        <f t="shared" si="7"/>
        <v>10198.19</v>
      </c>
      <c r="AC15" s="3" cm="1">
        <f t="array" ref="AC15">100000000/LvacE(AA15)</f>
        <v>10198.18629299424</v>
      </c>
      <c r="AD15" s="10">
        <f t="shared" si="8"/>
        <v>5.5201576160483819E-3</v>
      </c>
      <c r="AE15" s="10" t="b">
        <f t="shared" si="9"/>
        <v>1</v>
      </c>
      <c r="AJ15" t="s">
        <v>4815</v>
      </c>
      <c r="AK15" t="s">
        <v>4789</v>
      </c>
      <c r="AL15">
        <v>10950.24</v>
      </c>
      <c r="AM15">
        <v>21148.43</v>
      </c>
      <c r="AN15" s="10" cm="1">
        <f t="array" ref="AN15">Lair(100000000/($AM15-$AL15))</f>
        <v>9802.9734718016043</v>
      </c>
      <c r="AO15" s="10">
        <f t="shared" si="15"/>
        <v>9805.661592890503</v>
      </c>
      <c r="AU15" s="3" cm="1">
        <f t="array" ref="AU15">$C15*EXP(poly_from_str($AO15,AU$4341))</f>
        <v>1.5196701679521212</v>
      </c>
    </row>
    <row r="16" spans="1:55" x14ac:dyDescent="0.25">
      <c r="A16" t="s">
        <v>28</v>
      </c>
      <c r="B16" s="2" t="str">
        <f t="shared" si="1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11"/>
        <v>o</v>
      </c>
      <c r="N16" t="str">
        <f t="shared" si="12"/>
        <v>5/2</v>
      </c>
      <c r="O16">
        <v>29267.86</v>
      </c>
      <c r="P16" t="str">
        <f t="shared" si="13"/>
        <v>e</v>
      </c>
      <c r="Q16" t="str">
        <f t="shared" si="14"/>
        <v>5/2</v>
      </c>
      <c r="R16">
        <v>3</v>
      </c>
      <c r="AA16" s="10">
        <f t="shared" si="6"/>
        <v>9780.3770000000004</v>
      </c>
      <c r="AB16" s="3">
        <f t="shared" si="7"/>
        <v>10221.75</v>
      </c>
      <c r="AC16" s="3" cm="1">
        <f t="array" ref="AC16">100000000/LvacE(AA16)</f>
        <v>10221.751668921821</v>
      </c>
      <c r="AD16" s="10">
        <f t="shared" si="8"/>
        <v>5.5225642973129674E-3</v>
      </c>
      <c r="AE16" s="10" t="b">
        <f t="shared" si="9"/>
        <v>1</v>
      </c>
      <c r="AJ16" t="s">
        <v>4983</v>
      </c>
      <c r="AK16" t="s">
        <v>4700</v>
      </c>
      <c r="AL16">
        <v>19046.09</v>
      </c>
      <c r="AM16">
        <v>29267.86</v>
      </c>
      <c r="AN16" s="10" cm="1">
        <f t="array" ref="AN16">Lair(100000000/($AM16-$AL16))</f>
        <v>9780.3594954501023</v>
      </c>
      <c r="AO16" s="10">
        <f t="shared" si="15"/>
        <v>9783.0414889006497</v>
      </c>
      <c r="AU16" s="3" cm="1">
        <f t="array" ref="AU16">$C16*EXP(poly_from_str($AO16,AU$4341))</f>
        <v>0.26089248462301606</v>
      </c>
    </row>
    <row r="17" spans="1:48" x14ac:dyDescent="0.25">
      <c r="A17" t="s">
        <v>29</v>
      </c>
      <c r="B17" s="2" t="str">
        <f t="shared" si="1"/>
        <v/>
      </c>
      <c r="C17">
        <v>25</v>
      </c>
      <c r="E17">
        <v>10255.94</v>
      </c>
      <c r="R17">
        <v>3</v>
      </c>
      <c r="S17" t="s">
        <v>22</v>
      </c>
      <c r="AA17" s="10">
        <f t="shared" si="6"/>
        <v>9747.7749999999996</v>
      </c>
      <c r="AB17" s="3">
        <f t="shared" si="7"/>
        <v>10255.94</v>
      </c>
      <c r="AC17" s="3" cm="1">
        <f t="array" ref="AC17">100000000/LvacE(AA17)</f>
        <v>10255.938799563106</v>
      </c>
      <c r="AD17" s="10">
        <f t="shared" si="8"/>
        <v>5.5260656303393902E-3</v>
      </c>
      <c r="AE17" s="10" t="b">
        <f t="shared" si="9"/>
        <v>1</v>
      </c>
      <c r="AP17"/>
      <c r="AQ17"/>
      <c r="AU17" s="3" cm="1">
        <f t="array" ref="AU17">$C17*EXP(poly_from_str(100000000/$E17,AU$4341))</f>
        <v>0.27162898693191739</v>
      </c>
    </row>
    <row r="18" spans="1:48" x14ac:dyDescent="0.25">
      <c r="A18" t="s">
        <v>30</v>
      </c>
      <c r="B18" s="2" t="str">
        <f t="shared" si="1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20">$G18&amp;""</f>
        <v>o</v>
      </c>
      <c r="N18" t="str">
        <f t="shared" ref="N18:N19" si="21">$H18&amp;""</f>
        <v>5/2</v>
      </c>
      <c r="O18">
        <v>24461.24</v>
      </c>
      <c r="P18" t="str">
        <f t="shared" ref="P18:P19" si="22">$J18&amp;""</f>
        <v>e</v>
      </c>
      <c r="Q18" t="str">
        <f t="shared" ref="Q18:Q19" si="23">$K18&amp;""</f>
        <v>5/2</v>
      </c>
      <c r="R18">
        <v>3</v>
      </c>
      <c r="AA18" s="10">
        <f t="shared" si="6"/>
        <v>9730.69</v>
      </c>
      <c r="AB18" s="3">
        <f t="shared" si="7"/>
        <v>10273.950000000001</v>
      </c>
      <c r="AC18" s="3" cm="1">
        <f t="array" ref="AC18">100000000/LvacE(AA18)</f>
        <v>10273.945964365006</v>
      </c>
      <c r="AD18" s="10">
        <f t="shared" si="8"/>
        <v>5.5279145653784577E-3</v>
      </c>
      <c r="AE18" s="10" t="b">
        <f t="shared" si="9"/>
        <v>1</v>
      </c>
      <c r="AJ18" t="s">
        <v>4979</v>
      </c>
      <c r="AK18" t="s">
        <v>4717</v>
      </c>
      <c r="AL18">
        <v>14187.35</v>
      </c>
      <c r="AM18">
        <v>24461.24</v>
      </c>
      <c r="AN18" s="10" cm="1">
        <f t="array" ref="AN18">Lair(100000000/($AM18-$AL18))</f>
        <v>9730.743040305937</v>
      </c>
      <c r="AO18" s="10">
        <f t="shared" ref="AO18:AO19" si="24">100000000/($AM18-$AL18)</f>
        <v>9733.4115899625158</v>
      </c>
      <c r="AP18" s="12">
        <v>232000</v>
      </c>
      <c r="AQ18" s="3">
        <v>0.41799999999999998</v>
      </c>
      <c r="AR18" s="3">
        <f>LN(AU18*100000000/($AM18-$AL18)/AP18)</f>
        <v>-4.4544648339276609</v>
      </c>
      <c r="AS18" s="13">
        <f>EXP(AR$4341*$AM18+AR$4342)*$AP18/(100000000/($AM18-$AL18))</f>
        <v>0.33609936905262178</v>
      </c>
      <c r="AT18" s="3">
        <f>LN(AS18/$C18)</f>
        <v>-4.309224246381909</v>
      </c>
      <c r="AU18" s="3" cm="1">
        <f t="array" ref="AU18">$C18*EXP(poly_from_str($AO18,AU$4341))</f>
        <v>0.27712352795633211</v>
      </c>
      <c r="AV18" s="13">
        <f>LN(AS18/AU18)</f>
        <v>0.19294350138608929</v>
      </c>
    </row>
    <row r="19" spans="1:48" x14ac:dyDescent="0.25">
      <c r="A19" t="s">
        <v>31</v>
      </c>
      <c r="B19" s="2" t="str">
        <f t="shared" si="1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20"/>
        <v>o</v>
      </c>
      <c r="N19" t="str">
        <f t="shared" si="21"/>
        <v>3/2</v>
      </c>
      <c r="O19">
        <v>37197.64</v>
      </c>
      <c r="P19" t="str">
        <f t="shared" si="22"/>
        <v>e</v>
      </c>
      <c r="Q19" t="str">
        <f t="shared" si="23"/>
        <v>3/2</v>
      </c>
      <c r="R19">
        <v>3</v>
      </c>
      <c r="AA19" s="10">
        <f t="shared" si="6"/>
        <v>9728.5830000000005</v>
      </c>
      <c r="AB19" s="3">
        <f t="shared" si="7"/>
        <v>10276.17</v>
      </c>
      <c r="AC19" s="3" cm="1">
        <f t="array" ref="AC19">100000000/LvacE(AA19)</f>
        <v>10276.171070827928</v>
      </c>
      <c r="AD19" s="10">
        <f t="shared" si="8"/>
        <v>5.52814325944631E-3</v>
      </c>
      <c r="AE19" s="10" t="b">
        <f t="shared" si="9"/>
        <v>1</v>
      </c>
      <c r="AJ19" t="s">
        <v>4981</v>
      </c>
      <c r="AK19" t="s">
        <v>4787</v>
      </c>
      <c r="AL19">
        <v>26921.49</v>
      </c>
      <c r="AM19">
        <v>37197.64</v>
      </c>
      <c r="AN19" s="10" cm="1">
        <f t="array" ref="AN19">Lair(100000000/($AM19-$AL19))</f>
        <v>9728.6029828246992</v>
      </c>
      <c r="AO19" s="10">
        <f t="shared" si="24"/>
        <v>9731.2709526427716</v>
      </c>
      <c r="AU19" s="3" cm="1">
        <f t="array" ref="AU19">$C19*EXP(poly_from_str($AO19,AU$4341))</f>
        <v>0.27780808495584386</v>
      </c>
    </row>
    <row r="20" spans="1:48" x14ac:dyDescent="0.25">
      <c r="A20" t="s">
        <v>32</v>
      </c>
      <c r="B20" s="2" t="str">
        <f t="shared" si="1"/>
        <v/>
      </c>
      <c r="C20">
        <v>25</v>
      </c>
      <c r="E20">
        <v>10282.65</v>
      </c>
      <c r="R20">
        <v>3</v>
      </c>
      <c r="S20" t="s">
        <v>22</v>
      </c>
      <c r="AA20" s="10">
        <f t="shared" si="6"/>
        <v>9722.4529999999995</v>
      </c>
      <c r="AB20" s="3">
        <f t="shared" si="7"/>
        <v>10282.65</v>
      </c>
      <c r="AC20" s="3" cm="1">
        <f t="array" ref="AC20">100000000/LvacE(AA20)</f>
        <v>10282.65016834987</v>
      </c>
      <c r="AD20" s="10">
        <f t="shared" si="8"/>
        <v>5.5288094562323869E-3</v>
      </c>
      <c r="AE20" s="10" t="b">
        <f t="shared" si="9"/>
        <v>1</v>
      </c>
      <c r="AP20"/>
      <c r="AQ20"/>
      <c r="AU20" s="3" cm="1">
        <f t="array" ref="AU20">$C20*EXP(poly_from_str(100000000/$E20,AU$4341))</f>
        <v>0.27976785749304683</v>
      </c>
    </row>
    <row r="21" spans="1:48" x14ac:dyDescent="0.25">
      <c r="A21" t="s">
        <v>33</v>
      </c>
      <c r="B21" s="2" t="str">
        <f t="shared" si="1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6"/>
        <v>9701.3639999999996</v>
      </c>
      <c r="AB21" s="3">
        <f t="shared" si="7"/>
        <v>10305</v>
      </c>
      <c r="AC21" s="3" cm="1">
        <f t="array" ref="AC21">100000000/LvacE(AA21)</f>
        <v>10305.002704798213</v>
      </c>
      <c r="AD21" s="10">
        <f t="shared" si="8"/>
        <v>5.5311110223674846E-3</v>
      </c>
      <c r="AE21" s="10" t="b">
        <f t="shared" si="9"/>
        <v>1</v>
      </c>
      <c r="AP21"/>
      <c r="AQ21"/>
      <c r="AU21" s="3" cm="1">
        <f t="array" ref="AU21">$C21*EXP(poly_from_str(100000000/$E21,AU$4341))</f>
        <v>0.2864028211321244</v>
      </c>
    </row>
    <row r="22" spans="1:48" x14ac:dyDescent="0.25">
      <c r="A22" t="s">
        <v>34</v>
      </c>
      <c r="B22" s="2" t="str">
        <f t="shared" si="1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25">$G22&amp;""</f>
        <v>o</v>
      </c>
      <c r="N22" t="str">
        <f t="shared" ref="N22:N23" si="26">$H22&amp;""</f>
        <v>9/2</v>
      </c>
      <c r="O22">
        <v>22080.94</v>
      </c>
      <c r="P22" t="str">
        <f t="shared" ref="P22:P23" si="27">$J22&amp;""</f>
        <v>e</v>
      </c>
      <c r="Q22" t="str">
        <f t="shared" ref="Q22:Q23" si="28">$K22&amp;""</f>
        <v>7/2</v>
      </c>
      <c r="R22">
        <v>3</v>
      </c>
      <c r="AA22" s="10">
        <f t="shared" si="6"/>
        <v>9687.9680000000008</v>
      </c>
      <c r="AB22" s="3">
        <f t="shared" si="7"/>
        <v>10319.25</v>
      </c>
      <c r="AC22" s="3" cm="1">
        <f t="array" ref="AC22">100000000/LvacE(AA22)</f>
        <v>10319.251859866243</v>
      </c>
      <c r="AD22" s="10">
        <f t="shared" si="8"/>
        <v>5.5325808187984436E-3</v>
      </c>
      <c r="AE22" s="10" t="b">
        <f t="shared" si="9"/>
        <v>1</v>
      </c>
      <c r="AJ22" t="s">
        <v>4695</v>
      </c>
      <c r="AK22" t="s">
        <v>4790</v>
      </c>
      <c r="AL22">
        <v>11761.69</v>
      </c>
      <c r="AM22">
        <v>22080.94</v>
      </c>
      <c r="AN22" s="10" cm="1">
        <f t="array" ref="AN22">Lair(100000000/($AM22-$AL22))</f>
        <v>9687.9697805346259</v>
      </c>
      <c r="AO22" s="10">
        <f t="shared" ref="AO22:AO23" si="29">100000000/($AM22-$AL22)</f>
        <v>9690.6267412844936</v>
      </c>
      <c r="AP22" s="12">
        <v>153000</v>
      </c>
      <c r="AQ22" s="3">
        <v>0.14899999999999999</v>
      </c>
      <c r="AR22" s="3">
        <f>LN(AU22*100000000/($AM22-$AL22)/AP22)</f>
        <v>-3.9952631163453036</v>
      </c>
      <c r="AS22" s="13">
        <f>EXP(AR$4341*$AM22+AR$4342)*$AP22/(100000000/($AM22-$AL22))</f>
        <v>0.26617302503927193</v>
      </c>
      <c r="AT22" s="3">
        <f>LN(AS22/$C22)</f>
        <v>-4.54248453646015</v>
      </c>
      <c r="AU22" s="3" cm="1">
        <f t="array" ref="AU22">$C22*EXP(poly_from_str($AO22,AU$4341))</f>
        <v>0.29054863514863716</v>
      </c>
      <c r="AV22" s="13">
        <f>LN(AS22/AU22)</f>
        <v>-8.762441364488785E-2</v>
      </c>
    </row>
    <row r="23" spans="1:48" x14ac:dyDescent="0.25">
      <c r="A23" t="s">
        <v>35</v>
      </c>
      <c r="B23" s="2" t="str">
        <f t="shared" si="1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25"/>
        <v>o</v>
      </c>
      <c r="N23" t="str">
        <f t="shared" si="26"/>
        <v>3/2</v>
      </c>
      <c r="O23">
        <v>27452.45</v>
      </c>
      <c r="P23" t="str">
        <f t="shared" si="27"/>
        <v>e</v>
      </c>
      <c r="Q23" t="str">
        <f t="shared" si="28"/>
        <v>5/2</v>
      </c>
      <c r="R23">
        <v>3</v>
      </c>
      <c r="AA23" s="10">
        <f t="shared" si="6"/>
        <v>9652.8289999999997</v>
      </c>
      <c r="AB23" s="3">
        <f t="shared" si="7"/>
        <v>10356.82</v>
      </c>
      <c r="AC23" s="3" cm="1">
        <f t="array" ref="AC23">100000000/LvacE(AA23)</f>
        <v>10356.816700264717</v>
      </c>
      <c r="AD23" s="10">
        <f t="shared" si="8"/>
        <v>5.5364653564392739E-3</v>
      </c>
      <c r="AE23" s="10" t="b">
        <f t="shared" si="9"/>
        <v>1</v>
      </c>
      <c r="AJ23" t="s">
        <v>4856</v>
      </c>
      <c r="AK23" t="s">
        <v>4783</v>
      </c>
      <c r="AL23">
        <v>17095.63</v>
      </c>
      <c r="AM23">
        <v>27452.45</v>
      </c>
      <c r="AN23" s="10" cm="1">
        <f t="array" ref="AN23">Lair(100000000/($AM23-$AL23))</f>
        <v>9652.8259587691591</v>
      </c>
      <c r="AO23" s="10">
        <f t="shared" si="29"/>
        <v>9655.4733982052403</v>
      </c>
      <c r="AU23" s="3" cm="1">
        <f t="array" ref="AU23">$C23*EXP(poly_from_str($AO23,AU$4341))</f>
        <v>0.60232081552495342</v>
      </c>
    </row>
    <row r="24" spans="1:48" x14ac:dyDescent="0.25">
      <c r="A24" t="s">
        <v>36</v>
      </c>
      <c r="B24" s="2" t="str">
        <f t="shared" si="1"/>
        <v/>
      </c>
      <c r="C24">
        <v>25</v>
      </c>
      <c r="E24">
        <v>10371.27</v>
      </c>
      <c r="R24">
        <v>3</v>
      </c>
      <c r="S24" t="s">
        <v>22</v>
      </c>
      <c r="AA24" s="10">
        <f t="shared" si="6"/>
        <v>9639.3799999999992</v>
      </c>
      <c r="AB24" s="3">
        <f t="shared" si="7"/>
        <v>10371.27</v>
      </c>
      <c r="AC24" s="3" cm="1">
        <f t="array" ref="AC24">100000000/LvacE(AA24)</f>
        <v>10371.266629722175</v>
      </c>
      <c r="AD24" s="10">
        <f t="shared" si="8"/>
        <v>5.5379633664054215E-3</v>
      </c>
      <c r="AE24" s="10" t="b">
        <f t="shared" si="9"/>
        <v>1</v>
      </c>
      <c r="AP24"/>
      <c r="AQ24"/>
      <c r="AU24" s="3" cm="1">
        <f t="array" ref="AU24">$C24*EXP(poly_from_str(100000000/$E24,AU$4341))</f>
        <v>0.3051182727942563</v>
      </c>
    </row>
    <row r="25" spans="1:48" x14ac:dyDescent="0.25">
      <c r="A25" t="s">
        <v>37</v>
      </c>
      <c r="B25" s="2" t="str">
        <f t="shared" si="1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30">$G25&amp;""</f>
        <v>o</v>
      </c>
      <c r="N25" t="str">
        <f t="shared" ref="N25:N27" si="31">$H25&amp;""</f>
        <v>7/2</v>
      </c>
      <c r="O25">
        <v>21294.89</v>
      </c>
      <c r="P25" t="str">
        <f t="shared" ref="P25:P27" si="32">$J25&amp;""</f>
        <v>e</v>
      </c>
      <c r="Q25" t="str">
        <f t="shared" ref="Q25:Q27" si="33">$K25&amp;""</f>
        <v>7/2</v>
      </c>
      <c r="R25">
        <v>3</v>
      </c>
      <c r="AA25" s="10">
        <f t="shared" si="6"/>
        <v>9579.7440000000006</v>
      </c>
      <c r="AB25" s="3">
        <f t="shared" si="7"/>
        <v>10435.83</v>
      </c>
      <c r="AC25" s="3" cm="1">
        <f t="array" ref="AC25">100000000/LvacE(AA25)</f>
        <v>10435.829812499103</v>
      </c>
      <c r="AD25" s="10">
        <f t="shared" si="8"/>
        <v>5.5446820819271946E-3</v>
      </c>
      <c r="AE25" s="10" t="b">
        <f t="shared" si="9"/>
        <v>1</v>
      </c>
      <c r="AJ25" t="s">
        <v>4817</v>
      </c>
      <c r="AK25" t="s">
        <v>4791</v>
      </c>
      <c r="AL25">
        <v>10859.06</v>
      </c>
      <c r="AM25">
        <v>21294.89</v>
      </c>
      <c r="AN25" s="10" cm="1">
        <f t="array" ref="AN25">Lair(100000000/($AM25-$AL25))</f>
        <v>9579.7438616398904</v>
      </c>
      <c r="AO25" s="10">
        <f t="shared" ref="AO25:AO27" si="34">100000000/($AM25-$AL25)</f>
        <v>9582.3715027937396</v>
      </c>
      <c r="AU25" s="3" cm="1">
        <f t="array" ref="AU25">$C25*EXP(poly_from_str($AO25,AU$4341))</f>
        <v>1.2878544451595393</v>
      </c>
    </row>
    <row r="26" spans="1:48" x14ac:dyDescent="0.25">
      <c r="A26" t="s">
        <v>38</v>
      </c>
      <c r="B26" s="2" t="str">
        <f t="shared" si="1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30"/>
        <v>o</v>
      </c>
      <c r="N26" t="str">
        <f t="shared" si="31"/>
        <v>3/2</v>
      </c>
      <c r="O26">
        <v>21418.84</v>
      </c>
      <c r="P26" t="str">
        <f t="shared" si="32"/>
        <v>e</v>
      </c>
      <c r="Q26" t="str">
        <f t="shared" si="33"/>
        <v>5/2</v>
      </c>
      <c r="R26">
        <v>3</v>
      </c>
      <c r="AA26" s="10">
        <f t="shared" si="6"/>
        <v>9549.7669999999998</v>
      </c>
      <c r="AB26" s="3">
        <f t="shared" si="7"/>
        <v>10468.59</v>
      </c>
      <c r="AC26" s="3" cm="1">
        <f t="array" ref="AC26">100000000/LvacE(AA26)</f>
        <v>10468.588077984825</v>
      </c>
      <c r="AD26" s="10">
        <f t="shared" si="8"/>
        <v>5.5481069893110911E-3</v>
      </c>
      <c r="AE26" s="10" t="b">
        <f t="shared" si="9"/>
        <v>1</v>
      </c>
      <c r="AJ26" t="s">
        <v>4815</v>
      </c>
      <c r="AK26" t="s">
        <v>4792</v>
      </c>
      <c r="AL26">
        <v>10950.24</v>
      </c>
      <c r="AM26">
        <v>21418.84</v>
      </c>
      <c r="AN26" s="10" cm="1">
        <f t="array" ref="AN26">Lair(100000000/($AM26-$AL26))</f>
        <v>9549.7561579185913</v>
      </c>
      <c r="AO26" s="10">
        <f t="shared" si="34"/>
        <v>9552.375675830579</v>
      </c>
      <c r="AU26" s="3" cm="1">
        <f t="array" ref="AU26">$C26*EXP(poly_from_str($AO26,AU$4341))</f>
        <v>2.3099675803744222</v>
      </c>
    </row>
    <row r="27" spans="1:48" x14ac:dyDescent="0.25">
      <c r="A27" t="s">
        <v>39</v>
      </c>
      <c r="B27" s="2" t="str">
        <f t="shared" si="1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30"/>
        <v>o</v>
      </c>
      <c r="N27" t="str">
        <f t="shared" si="31"/>
        <v>7/2</v>
      </c>
      <c r="O27">
        <v>25934.98</v>
      </c>
      <c r="P27" t="str">
        <f t="shared" si="32"/>
        <v>e</v>
      </c>
      <c r="Q27" t="str">
        <f t="shared" si="33"/>
        <v>5/2</v>
      </c>
      <c r="R27">
        <v>3</v>
      </c>
      <c r="AA27" s="10">
        <f t="shared" si="6"/>
        <v>9528.9230000000007</v>
      </c>
      <c r="AB27" s="3">
        <f t="shared" si="7"/>
        <v>10491.49</v>
      </c>
      <c r="AC27" s="3" cm="1">
        <f t="array" ref="AC27">100000000/LvacE(AA27)</f>
        <v>10491.487465622959</v>
      </c>
      <c r="AD27" s="10">
        <f t="shared" si="8"/>
        <v>5.5505075162021441E-3</v>
      </c>
      <c r="AE27" s="10" t="b">
        <f t="shared" si="9"/>
        <v>1</v>
      </c>
      <c r="AJ27" t="s">
        <v>4982</v>
      </c>
      <c r="AK27" t="s">
        <v>4713</v>
      </c>
      <c r="AL27">
        <v>15443.48</v>
      </c>
      <c r="AM27">
        <v>25934.98</v>
      </c>
      <c r="AN27" s="10" cm="1">
        <f t="array" ref="AN27">Lair(100000000/($AM27-$AL27))</f>
        <v>9528.9116490310298</v>
      </c>
      <c r="AO27" s="10">
        <f t="shared" si="34"/>
        <v>9531.5255206595812</v>
      </c>
      <c r="AP27" s="12">
        <v>252000</v>
      </c>
      <c r="AQ27" s="3">
        <v>5.8999999999999997E-2</v>
      </c>
      <c r="AR27" s="3">
        <f>LN(AU27*100000000/($AM27-$AL27)/AP27)</f>
        <v>-3.674095799764511</v>
      </c>
      <c r="AS27" s="13">
        <f>EXP(AR$4341*$AM27+AR$4342)*$AP27/(100000000/($AM27-$AL27))</f>
        <v>0.33377223912115278</v>
      </c>
      <c r="AT27" s="3">
        <f>LN(AS27/$C27)</f>
        <v>-5.0093194428449053</v>
      </c>
      <c r="AU27" s="3" cm="1">
        <f t="array" ref="AU27">$C27*EXP(poly_from_str($AO27,AU$4341))</f>
        <v>0.6708085569836475</v>
      </c>
      <c r="AV27" s="13">
        <f>LN(AS27/AU27)</f>
        <v>-0.69802494468819265</v>
      </c>
    </row>
    <row r="28" spans="1:48" x14ac:dyDescent="0.25">
      <c r="A28" t="s">
        <v>40</v>
      </c>
      <c r="B28" s="2" t="str">
        <f t="shared" si="1"/>
        <v/>
      </c>
      <c r="C28">
        <v>25</v>
      </c>
      <c r="E28">
        <v>10511.99</v>
      </c>
      <c r="R28">
        <v>3</v>
      </c>
      <c r="S28" t="s">
        <v>22</v>
      </c>
      <c r="AA28" s="10">
        <f t="shared" si="6"/>
        <v>9510.34</v>
      </c>
      <c r="AB28" s="3">
        <f t="shared" si="7"/>
        <v>10511.99</v>
      </c>
      <c r="AC28" s="3" cm="1">
        <f t="array" ref="AC28">100000000/LvacE(AA28)</f>
        <v>10511.987536092935</v>
      </c>
      <c r="AD28" s="10">
        <f t="shared" si="8"/>
        <v>5.5526609740604929E-3</v>
      </c>
      <c r="AE28" s="10" t="b">
        <f t="shared" si="9"/>
        <v>1</v>
      </c>
      <c r="AP28"/>
      <c r="AQ28"/>
      <c r="AU28" s="3" cm="1">
        <f t="array" ref="AU28">$C28*EXP(poly_from_str(100000000/$E28,AU$4341))</f>
        <v>0.3401039810042592</v>
      </c>
    </row>
    <row r="29" spans="1:48" x14ac:dyDescent="0.25">
      <c r="A29" t="s">
        <v>41</v>
      </c>
      <c r="B29" s="2" t="str">
        <f t="shared" si="1"/>
        <v/>
      </c>
      <c r="C29">
        <v>25</v>
      </c>
      <c r="E29">
        <v>10516.3</v>
      </c>
      <c r="R29">
        <v>3</v>
      </c>
      <c r="S29" t="s">
        <v>22</v>
      </c>
      <c r="AA29" s="10">
        <f t="shared" si="6"/>
        <v>9506.4439999999995</v>
      </c>
      <c r="AB29" s="3">
        <f t="shared" si="7"/>
        <v>10516.3</v>
      </c>
      <c r="AC29" s="3" cm="1">
        <f t="array" ref="AC29">100000000/LvacE(AA29)</f>
        <v>10516.295620396268</v>
      </c>
      <c r="AD29" s="10">
        <f t="shared" si="8"/>
        <v>5.5531140571803859E-3</v>
      </c>
      <c r="AE29" s="10" t="b">
        <f t="shared" si="9"/>
        <v>1</v>
      </c>
      <c r="AP29"/>
      <c r="AQ29"/>
      <c r="AU29" s="3" cm="1">
        <f t="array" ref="AU29">$C29*EXP(poly_from_str(100000000/$E29,AU$4341))</f>
        <v>0.34107589804966632</v>
      </c>
    </row>
    <row r="30" spans="1:48" x14ac:dyDescent="0.25">
      <c r="A30" t="s">
        <v>42</v>
      </c>
      <c r="B30" s="2" t="str">
        <f t="shared" si="1"/>
        <v/>
      </c>
      <c r="C30">
        <v>25</v>
      </c>
      <c r="E30">
        <v>10541.27</v>
      </c>
      <c r="R30">
        <v>3</v>
      </c>
      <c r="S30" t="s">
        <v>22</v>
      </c>
      <c r="AA30" s="10">
        <f t="shared" si="6"/>
        <v>9483.9179999999997</v>
      </c>
      <c r="AB30" s="3">
        <f t="shared" si="7"/>
        <v>10541.27</v>
      </c>
      <c r="AC30" s="3" cm="1">
        <f t="array" ref="AC30">100000000/LvacE(AA30)</f>
        <v>10541.273615241902</v>
      </c>
      <c r="AD30" s="10">
        <f t="shared" si="8"/>
        <v>5.5557446624507883E-3</v>
      </c>
      <c r="AE30" s="10" t="b">
        <f t="shared" si="9"/>
        <v>1</v>
      </c>
      <c r="AP30"/>
      <c r="AQ30"/>
      <c r="AU30" s="3" cm="1">
        <f t="array" ref="AU30">$C30*EXP(poly_from_str(100000000/$E30,AU$4341))</f>
        <v>0.34659420729032486</v>
      </c>
    </row>
    <row r="31" spans="1:48" x14ac:dyDescent="0.25">
      <c r="A31" t="s">
        <v>43</v>
      </c>
      <c r="B31" s="2" t="str">
        <f t="shared" si="1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35">$G31&amp;""</f>
        <v>o</v>
      </c>
      <c r="N31" t="str">
        <f t="shared" ref="N31:N32" si="36">$H31&amp;""</f>
        <v>7/2</v>
      </c>
      <c r="O31">
        <v>24461.24</v>
      </c>
      <c r="P31" t="str">
        <f t="shared" ref="P31:P32" si="37">$J31&amp;""</f>
        <v>e</v>
      </c>
      <c r="Q31" t="str">
        <f t="shared" ref="Q31:Q32" si="38">$K31&amp;""</f>
        <v>5/2</v>
      </c>
      <c r="R31">
        <v>3</v>
      </c>
      <c r="AA31" s="10">
        <f t="shared" si="6"/>
        <v>9454.8610000000008</v>
      </c>
      <c r="AB31" s="3">
        <f t="shared" si="7"/>
        <v>10573.67</v>
      </c>
      <c r="AC31" s="3" cm="1">
        <f t="array" ref="AC31">100000000/LvacE(AA31)</f>
        <v>10573.669302562546</v>
      </c>
      <c r="AD31" s="10">
        <f t="shared" si="8"/>
        <v>5.5591657721124907E-3</v>
      </c>
      <c r="AE31" s="10" t="b">
        <f t="shared" si="9"/>
        <v>1</v>
      </c>
      <c r="AJ31" t="s">
        <v>4818</v>
      </c>
      <c r="AK31" t="s">
        <v>4717</v>
      </c>
      <c r="AL31">
        <v>13887.6</v>
      </c>
      <c r="AM31">
        <v>24461.24</v>
      </c>
      <c r="AN31" s="10" cm="1">
        <f t="array" ref="AN31">Lair(100000000/($AM31-$AL31))</f>
        <v>9454.8872351715327</v>
      </c>
      <c r="AO31" s="10">
        <f t="shared" ref="AO31:AO32" si="39">100000000/($AM31-$AL31)</f>
        <v>9457.4810566654432</v>
      </c>
      <c r="AP31" s="12">
        <v>239000</v>
      </c>
      <c r="AQ31" s="3">
        <v>8.7999999999999995E-2</v>
      </c>
      <c r="AR31" s="3">
        <f t="shared" ref="AR31:AR32" si="40">LN(AU31*100000000/($AM31-$AL31)/AP31)</f>
        <v>-3.5764755223639844</v>
      </c>
      <c r="AS31" s="13">
        <f t="shared" ref="AS31:AS32" si="41">EXP(AR$4341*$AM31+AR$4342)*$AP31/(100000000/($AM31-$AL31))</f>
        <v>0.35634217103984889</v>
      </c>
      <c r="AT31" s="3">
        <f t="shared" ref="AT31:AT32" si="42">LN(AS31/$C31)</f>
        <v>-4.9438868605652599</v>
      </c>
      <c r="AU31" s="3" cm="1">
        <f t="array" ref="AU31">$C31*EXP(poly_from_str($AO31,AU$4341))</f>
        <v>0.70693394675089583</v>
      </c>
      <c r="AV31" s="13">
        <f t="shared" ref="AV31:AV32" si="43">LN(AS31/AU31)</f>
        <v>-0.68504581017758703</v>
      </c>
    </row>
    <row r="32" spans="1:48" x14ac:dyDescent="0.25">
      <c r="A32" t="s">
        <v>44</v>
      </c>
      <c r="B32" s="2" t="str">
        <f t="shared" si="1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35"/>
        <v>o</v>
      </c>
      <c r="N32" t="str">
        <f t="shared" si="36"/>
        <v>7/2</v>
      </c>
      <c r="O32">
        <v>24470.9</v>
      </c>
      <c r="P32" t="str">
        <f t="shared" si="37"/>
        <v>e</v>
      </c>
      <c r="Q32" t="str">
        <f t="shared" si="38"/>
        <v>7/2</v>
      </c>
      <c r="R32">
        <v>3</v>
      </c>
      <c r="AA32" s="10">
        <f t="shared" si="6"/>
        <v>9446.2379999999994</v>
      </c>
      <c r="AB32" s="3">
        <f t="shared" si="7"/>
        <v>10583.32</v>
      </c>
      <c r="AC32" s="3" cm="1">
        <f t="array" ref="AC32">100000000/LvacE(AA32)</f>
        <v>10583.321444704501</v>
      </c>
      <c r="AD32" s="10">
        <f t="shared" si="8"/>
        <v>5.5601871054225243E-3</v>
      </c>
      <c r="AE32" s="10" t="b">
        <f t="shared" si="9"/>
        <v>1</v>
      </c>
      <c r="AJ32" t="s">
        <v>4818</v>
      </c>
      <c r="AK32" t="s">
        <v>4747</v>
      </c>
      <c r="AL32">
        <v>13887.6</v>
      </c>
      <c r="AM32">
        <v>24470.9</v>
      </c>
      <c r="AN32" s="10" cm="1">
        <f t="array" ref="AN32">Lair(100000000/($AM32-$AL32))</f>
        <v>9446.257173685739</v>
      </c>
      <c r="AO32" s="10">
        <f t="shared" si="39"/>
        <v>9448.848657791048</v>
      </c>
      <c r="AP32" s="12">
        <v>452000</v>
      </c>
      <c r="AQ32" s="3">
        <v>0.157</v>
      </c>
      <c r="AR32" s="3">
        <f t="shared" si="40"/>
        <v>-3.8035260496088998</v>
      </c>
      <c r="AS32" s="13">
        <f t="shared" si="41"/>
        <v>0.67404594459474709</v>
      </c>
      <c r="AT32" s="3">
        <f t="shared" si="42"/>
        <v>-4.7119451168748876</v>
      </c>
      <c r="AU32" s="3" cm="1">
        <f t="array" ref="AU32">$C32*EXP(poly_from_str($AO32,AU$4341))</f>
        <v>1.0663730645821574</v>
      </c>
      <c r="AV32" s="13">
        <f t="shared" si="43"/>
        <v>-0.45872023463314893</v>
      </c>
    </row>
    <row r="33" spans="1:48" x14ac:dyDescent="0.25">
      <c r="A33" t="s">
        <v>45</v>
      </c>
      <c r="B33" s="2" t="str">
        <f t="shared" si="1"/>
        <v/>
      </c>
      <c r="C33">
        <v>25</v>
      </c>
      <c r="E33">
        <v>10594.08</v>
      </c>
      <c r="R33">
        <v>3</v>
      </c>
      <c r="S33" t="s">
        <v>22</v>
      </c>
      <c r="AA33" s="10">
        <f t="shared" si="6"/>
        <v>9436.6440000000002</v>
      </c>
      <c r="AB33" s="3">
        <f t="shared" si="7"/>
        <v>10594.08</v>
      </c>
      <c r="AC33" s="3" cm="1">
        <f t="array" ref="AC33">100000000/LvacE(AA33)</f>
        <v>10594.08120532704</v>
      </c>
      <c r="AD33" s="10">
        <f t="shared" si="8"/>
        <v>5.5613267388982274E-3</v>
      </c>
      <c r="AE33" s="10" t="b">
        <f t="shared" si="9"/>
        <v>1</v>
      </c>
      <c r="AP33"/>
      <c r="AQ33"/>
      <c r="AU33" s="3" cm="1">
        <f t="array" ref="AU33">$C33*EXP(poly_from_str(100000000/$E33,AU$4341))</f>
        <v>0.35764701210169358</v>
      </c>
    </row>
    <row r="34" spans="1:48" x14ac:dyDescent="0.25">
      <c r="A34" t="s">
        <v>46</v>
      </c>
      <c r="B34" s="2" t="str">
        <f t="shared" si="1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6"/>
        <v>9431.5429999999997</v>
      </c>
      <c r="AB34" s="3">
        <f t="shared" si="7"/>
        <v>10599.81</v>
      </c>
      <c r="AC34" s="3" cm="1">
        <f t="array" ref="AC34">100000000/LvacE(AA34)</f>
        <v>10599.810937864797</v>
      </c>
      <c r="AD34" s="10">
        <f t="shared" si="8"/>
        <v>5.5619340832070005E-3</v>
      </c>
      <c r="AE34" s="10" t="b">
        <f t="shared" si="9"/>
        <v>1</v>
      </c>
      <c r="AJ34" t="s">
        <v>4778</v>
      </c>
      <c r="AK34" t="s">
        <v>4751</v>
      </c>
      <c r="AL34">
        <v>28101.77</v>
      </c>
      <c r="AM34">
        <v>38701.589999999997</v>
      </c>
      <c r="AN34" s="10" cm="1">
        <f t="array" ref="AN34">Lair(100000000/($AM34-$AL34))</f>
        <v>9431.5349694595589</v>
      </c>
      <c r="AO34" s="10">
        <f>100000000/($AM34-$AL34)</f>
        <v>9434.1224662305613</v>
      </c>
      <c r="AP34" s="12">
        <v>840000</v>
      </c>
      <c r="AQ34" s="3">
        <v>0.22800000000000001</v>
      </c>
      <c r="AR34" s="3">
        <f>LN(AU34*100000000/($AM34-$AL34)/AP34)</f>
        <v>-4.4154493364685923</v>
      </c>
      <c r="AS34" s="13">
        <f>EXP(AR$4341*$AM34+AR$4342)*$AP34/(100000000/($AM34-$AL34))</f>
        <v>0.43121661248357029</v>
      </c>
      <c r="AT34" s="3">
        <f>LN(AS34/$C34)</f>
        <v>-5.1586328474979393</v>
      </c>
      <c r="AU34" s="3" cm="1">
        <f t="array" ref="AU34">$C34*EXP(poly_from_str($AO34,AU$4341))</f>
        <v>1.0763970392063782</v>
      </c>
      <c r="AV34" s="13">
        <f>LN(AS34/AU34)</f>
        <v>-0.91476412318406908</v>
      </c>
    </row>
    <row r="35" spans="1:48" x14ac:dyDescent="0.25">
      <c r="A35" t="s">
        <v>47</v>
      </c>
      <c r="B35" s="2" t="str">
        <f t="shared" si="1"/>
        <v/>
      </c>
      <c r="C35">
        <v>25</v>
      </c>
      <c r="E35">
        <v>10606.75</v>
      </c>
      <c r="R35">
        <v>3</v>
      </c>
      <c r="S35" t="s">
        <v>22</v>
      </c>
      <c r="AA35" s="10">
        <f t="shared" si="6"/>
        <v>9425.3690000000006</v>
      </c>
      <c r="AB35" s="3">
        <f t="shared" si="7"/>
        <v>10606.75</v>
      </c>
      <c r="AC35" s="3" cm="1">
        <f t="array" ref="AC35">100000000/LvacE(AA35)</f>
        <v>10606.754220727096</v>
      </c>
      <c r="AD35" s="10">
        <f t="shared" si="8"/>
        <v>5.5626705023817686E-3</v>
      </c>
      <c r="AE35" s="10" t="b">
        <f t="shared" si="9"/>
        <v>1</v>
      </c>
      <c r="AP35"/>
      <c r="AQ35"/>
      <c r="AU35" s="3" cm="1">
        <f t="array" ref="AU35">$C35*EXP(poly_from_str(100000000/$E35,AU$4341))</f>
        <v>0.36017721365703387</v>
      </c>
    </row>
    <row r="36" spans="1:48" x14ac:dyDescent="0.25">
      <c r="A36" t="s">
        <v>48</v>
      </c>
      <c r="B36" s="2" t="str">
        <f t="shared" si="1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6"/>
        <v>9388.5630000000001</v>
      </c>
      <c r="AB36" s="3">
        <f t="shared" si="7"/>
        <v>10648.34</v>
      </c>
      <c r="AC36" s="3" cm="1">
        <f t="array" ref="AC36">100000000/LvacE(AA36)</f>
        <v>10648.335751049264</v>
      </c>
      <c r="AD36" s="10">
        <f t="shared" si="8"/>
        <v>5.5670908184271258E-3</v>
      </c>
      <c r="AE36" s="10" t="b">
        <f t="shared" si="9"/>
        <v>1</v>
      </c>
      <c r="AP36"/>
      <c r="AQ36"/>
      <c r="AU36" s="3" cm="1">
        <f t="array" ref="AU36">$C36*EXP(poly_from_str(100000000/$E36,AU$4341))</f>
        <v>2.5771431631578161</v>
      </c>
    </row>
    <row r="37" spans="1:48" x14ac:dyDescent="0.25">
      <c r="A37" t="s">
        <v>49</v>
      </c>
      <c r="B37" s="2" t="str">
        <f t="shared" si="1"/>
        <v/>
      </c>
      <c r="C37">
        <v>25</v>
      </c>
      <c r="E37">
        <v>10653.21</v>
      </c>
      <c r="R37">
        <v>3</v>
      </c>
      <c r="S37" t="s">
        <v>22</v>
      </c>
      <c r="AA37" s="10">
        <f t="shared" si="6"/>
        <v>9384.268</v>
      </c>
      <c r="AB37" s="3">
        <f t="shared" si="7"/>
        <v>10653.21</v>
      </c>
      <c r="AC37" s="3" cm="1">
        <f t="array" ref="AC37">100000000/LvacE(AA37)</f>
        <v>10653.209273425673</v>
      </c>
      <c r="AD37" s="10">
        <f t="shared" si="8"/>
        <v>5.567610029542298E-3</v>
      </c>
      <c r="AE37" s="10" t="b">
        <f t="shared" si="9"/>
        <v>1</v>
      </c>
      <c r="AP37"/>
      <c r="AQ37"/>
      <c r="AU37" s="3" cm="1">
        <f t="array" ref="AU37">$C37*EXP(poly_from_str(100000000/$E37,AU$4341))</f>
        <v>0.36906705639979859</v>
      </c>
    </row>
    <row r="38" spans="1:48" x14ac:dyDescent="0.25">
      <c r="A38" t="s">
        <v>50</v>
      </c>
      <c r="B38" s="2" t="str">
        <f t="shared" si="1"/>
        <v/>
      </c>
      <c r="C38">
        <v>25</v>
      </c>
      <c r="E38">
        <v>10657.46</v>
      </c>
      <c r="R38">
        <v>3</v>
      </c>
      <c r="S38" t="s">
        <v>22</v>
      </c>
      <c r="AA38" s="10">
        <f t="shared" si="6"/>
        <v>9380.5220000000008</v>
      </c>
      <c r="AB38" s="3">
        <f t="shared" si="7"/>
        <v>10657.46</v>
      </c>
      <c r="AC38" s="3" cm="1">
        <f t="array" ref="AC38">100000000/LvacE(AA38)</f>
        <v>10657.463490887194</v>
      </c>
      <c r="AD38" s="10">
        <f t="shared" si="8"/>
        <v>5.5680634558976138E-3</v>
      </c>
      <c r="AE38" s="10" t="b">
        <f t="shared" si="9"/>
        <v>1</v>
      </c>
      <c r="AP38"/>
      <c r="AQ38"/>
      <c r="AU38" s="3" cm="1">
        <f t="array" ref="AU38">$C38*EXP(poly_from_str(100000000/$E38,AU$4341))</f>
        <v>0.36985046562757223</v>
      </c>
    </row>
    <row r="39" spans="1:48" x14ac:dyDescent="0.25">
      <c r="A39" t="s">
        <v>51</v>
      </c>
      <c r="B39" s="2" t="str">
        <f t="shared" si="1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AA39" s="10">
        <f t="shared" si="6"/>
        <v>9377.44</v>
      </c>
      <c r="AB39" s="3">
        <f t="shared" si="7"/>
        <v>10660.97</v>
      </c>
      <c r="AC39" s="3" cm="1">
        <f t="array" ref="AC39">100000000/LvacE(AA39)</f>
        <v>10660.96617242659</v>
      </c>
      <c r="AD39" s="10">
        <f t="shared" si="8"/>
        <v>5.5684369173477303E-3</v>
      </c>
      <c r="AE39" s="10" t="b">
        <f t="shared" si="9"/>
        <v>1</v>
      </c>
      <c r="AJ39" t="s">
        <v>4815</v>
      </c>
      <c r="AK39" t="s">
        <v>4796</v>
      </c>
      <c r="AL39">
        <v>10950.24</v>
      </c>
      <c r="AM39">
        <v>21611.19</v>
      </c>
      <c r="AN39" s="10" cm="1">
        <f t="array" ref="AN39">Lair(100000000/($AM39-$AL39))</f>
        <v>9377.4542579026383</v>
      </c>
      <c r="AO39" s="10">
        <f>100000000/($AM39-$AL39)</f>
        <v>9380.0271082783438</v>
      </c>
      <c r="AU39" s="3" cm="1">
        <f t="array" ref="AU39">$C39*EXP(poly_from_str($AO39,AU$4341))</f>
        <v>2.593430828159879</v>
      </c>
    </row>
    <row r="40" spans="1:48" x14ac:dyDescent="0.25">
      <c r="A40" t="s">
        <v>52</v>
      </c>
      <c r="B40" s="2" t="str">
        <f t="shared" si="1"/>
        <v/>
      </c>
      <c r="C40">
        <v>25</v>
      </c>
      <c r="E40">
        <v>10665.32</v>
      </c>
      <c r="R40">
        <v>3</v>
      </c>
      <c r="S40" t="s">
        <v>22</v>
      </c>
      <c r="AA40" s="10">
        <f t="shared" si="6"/>
        <v>9373.616</v>
      </c>
      <c r="AB40" s="3">
        <f t="shared" si="7"/>
        <v>10665.32</v>
      </c>
      <c r="AC40" s="3" cm="1">
        <f t="array" ref="AC40">100000000/LvacE(AA40)</f>
        <v>10665.315336071502</v>
      </c>
      <c r="AD40" s="10">
        <f t="shared" si="8"/>
        <v>5.5689008028530027E-3</v>
      </c>
      <c r="AE40" s="10" t="b">
        <f t="shared" si="9"/>
        <v>1</v>
      </c>
      <c r="AP40"/>
      <c r="AQ40"/>
      <c r="AU40" s="3" cm="1">
        <f t="array" ref="AU40">$C40*EXP(poly_from_str(100000000/$E40,AU$4341))</f>
        <v>0.37128641933711676</v>
      </c>
    </row>
    <row r="41" spans="1:48" x14ac:dyDescent="0.25">
      <c r="A41" t="s">
        <v>53</v>
      </c>
      <c r="B41" s="2" t="str">
        <f t="shared" si="1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6"/>
        <v>9364.1419999999998</v>
      </c>
      <c r="AB41" s="3">
        <f t="shared" si="7"/>
        <v>10676.11</v>
      </c>
      <c r="AC41" s="3" cm="1">
        <f t="array" ref="AC41">100000000/LvacE(AA41)</f>
        <v>10676.105736108888</v>
      </c>
      <c r="AD41" s="10">
        <f t="shared" si="8"/>
        <v>5.5700525331690235E-3</v>
      </c>
      <c r="AE41" s="10" t="b">
        <f t="shared" si="9"/>
        <v>1</v>
      </c>
      <c r="AJ41" t="s">
        <v>4817</v>
      </c>
      <c r="AK41" t="s">
        <v>4798</v>
      </c>
      <c r="AL41">
        <v>10859.06</v>
      </c>
      <c r="AM41">
        <v>21535.17</v>
      </c>
      <c r="AN41" s="10" cm="1">
        <f t="array" ref="AN41">Lair(100000000/($AM41-$AL41))</f>
        <v>9364.1382924750833</v>
      </c>
      <c r="AO41" s="10">
        <f>100000000/($AM41-$AL41)</f>
        <v>9366.7075367338857</v>
      </c>
      <c r="AU41" s="3" cm="1">
        <f t="array" ref="AU41">$C41*EXP(poly_from_str($AO41,AU$4341))</f>
        <v>0.37323062676816171</v>
      </c>
    </row>
    <row r="42" spans="1:48" x14ac:dyDescent="0.25">
      <c r="A42" t="s">
        <v>54</v>
      </c>
      <c r="B42" s="2" t="str">
        <f t="shared" si="1"/>
        <v/>
      </c>
      <c r="C42">
        <v>25</v>
      </c>
      <c r="E42">
        <v>10682.64</v>
      </c>
      <c r="R42">
        <v>3</v>
      </c>
      <c r="S42" t="s">
        <v>22</v>
      </c>
      <c r="AA42" s="10">
        <f t="shared" si="6"/>
        <v>9358.4120000000003</v>
      </c>
      <c r="AB42" s="3">
        <f t="shared" si="7"/>
        <v>10682.64</v>
      </c>
      <c r="AC42" s="3" cm="1">
        <f t="array" ref="AC42">100000000/LvacE(AA42)</f>
        <v>10682.642514786419</v>
      </c>
      <c r="AD42" s="10">
        <f t="shared" si="8"/>
        <v>5.5707508130004545E-3</v>
      </c>
      <c r="AE42" s="10" t="b">
        <f t="shared" si="9"/>
        <v>1</v>
      </c>
      <c r="AP42"/>
      <c r="AQ42"/>
      <c r="AU42" s="3" cm="1">
        <f t="array" ref="AU42">$C42*EXP(poly_from_str(100000000/$E42,AU$4341))</f>
        <v>0.37439218808906666</v>
      </c>
    </row>
    <row r="43" spans="1:48" x14ac:dyDescent="0.25">
      <c r="A43" t="s">
        <v>55</v>
      </c>
      <c r="B43" s="2" t="str">
        <f t="shared" si="1"/>
        <v/>
      </c>
      <c r="C43">
        <v>25</v>
      </c>
      <c r="E43">
        <v>10686.57</v>
      </c>
      <c r="R43">
        <v>3</v>
      </c>
      <c r="S43" t="s">
        <v>22</v>
      </c>
      <c r="AA43" s="10">
        <f t="shared" si="6"/>
        <v>9354.9750000000004</v>
      </c>
      <c r="AB43" s="3">
        <f t="shared" si="7"/>
        <v>10686.57</v>
      </c>
      <c r="AC43" s="3" cm="1">
        <f t="array" ref="AC43">100000000/LvacE(AA43)</f>
        <v>10686.56728331398</v>
      </c>
      <c r="AD43" s="10">
        <f t="shared" si="8"/>
        <v>5.5711702748170886E-3</v>
      </c>
      <c r="AE43" s="10" t="b">
        <f t="shared" si="9"/>
        <v>1</v>
      </c>
      <c r="AP43"/>
      <c r="AQ43"/>
      <c r="AU43" s="3" cm="1">
        <f t="array" ref="AU43">$C43*EXP(poly_from_str(100000000/$E43,AU$4341))</f>
        <v>0.37508583073811141</v>
      </c>
    </row>
    <row r="44" spans="1:48" x14ac:dyDescent="0.25">
      <c r="A44" t="s">
        <v>56</v>
      </c>
      <c r="B44" s="2" t="str">
        <f t="shared" si="1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6"/>
        <v>9334.3320000000003</v>
      </c>
      <c r="AB44" s="3">
        <f t="shared" si="7"/>
        <v>10710.2</v>
      </c>
      <c r="AC44" s="3" cm="1">
        <f t="array" ref="AC44">100000000/LvacE(AA44)</f>
        <v>10710.200685183589</v>
      </c>
      <c r="AD44" s="10">
        <f t="shared" si="8"/>
        <v>5.5736993651599055E-3</v>
      </c>
      <c r="AE44" s="10" t="b">
        <f t="shared" si="9"/>
        <v>1</v>
      </c>
      <c r="AJ44" t="s">
        <v>4715</v>
      </c>
      <c r="AK44" t="s">
        <v>4800</v>
      </c>
      <c r="AL44">
        <v>10138.18</v>
      </c>
      <c r="AM44">
        <v>20848.39</v>
      </c>
      <c r="AN44" s="10" cm="1">
        <f t="array" ref="AN44">Lair(100000000/($AM44-$AL44))</f>
        <v>9334.3239139828456</v>
      </c>
      <c r="AO44" s="10">
        <f>100000000/($AM44-$AL44)</f>
        <v>9336.8850844194476</v>
      </c>
      <c r="AU44" s="3" cm="1">
        <f t="array" ref="AU44">$C44*EXP(poly_from_str($AO44,AU$4341))</f>
        <v>3.7917329290174502</v>
      </c>
    </row>
    <row r="45" spans="1:48" x14ac:dyDescent="0.25">
      <c r="A45" t="s">
        <v>57</v>
      </c>
      <c r="B45" s="2" t="str">
        <f t="shared" si="1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6"/>
        <v>9320.5380000000005</v>
      </c>
      <c r="AB45" s="3">
        <f t="shared" si="7"/>
        <v>10726.05</v>
      </c>
      <c r="AC45" s="3" cm="1">
        <f t="array" ref="AC45">100000000/LvacE(AA45)</f>
        <v>10726.051269989232</v>
      </c>
      <c r="AD45" s="10">
        <f t="shared" si="8"/>
        <v>5.5753987200089323E-3</v>
      </c>
      <c r="AE45" s="10" t="b">
        <f t="shared" si="9"/>
        <v>1</v>
      </c>
      <c r="AP45"/>
      <c r="AQ45"/>
      <c r="AU45" s="3" cm="1">
        <f t="array" ref="AU45">$C45*EXP(poly_from_str(100000000/$E45,AU$4341))</f>
        <v>1.909159419583716</v>
      </c>
    </row>
    <row r="46" spans="1:48" x14ac:dyDescent="0.25">
      <c r="A46" t="s">
        <v>58</v>
      </c>
      <c r="B46" s="2" t="str">
        <f t="shared" si="1"/>
        <v/>
      </c>
      <c r="C46">
        <v>25</v>
      </c>
      <c r="E46">
        <v>10729.41</v>
      </c>
      <c r="R46">
        <v>3</v>
      </c>
      <c r="S46" t="s">
        <v>22</v>
      </c>
      <c r="AA46" s="10">
        <f t="shared" si="6"/>
        <v>9317.6219999999994</v>
      </c>
      <c r="AB46" s="3">
        <f t="shared" si="7"/>
        <v>10729.41</v>
      </c>
      <c r="AC46" s="3" cm="1">
        <f t="array" ref="AC46">100000000/LvacE(AA46)</f>
        <v>10729.408033453661</v>
      </c>
      <c r="AD46" s="10">
        <f t="shared" si="8"/>
        <v>5.5757589239751118E-3</v>
      </c>
      <c r="AE46" s="10" t="b">
        <f t="shared" si="9"/>
        <v>1</v>
      </c>
      <c r="AP46"/>
      <c r="AQ46"/>
      <c r="AU46" s="3" cm="1">
        <f t="array" ref="AU46">$C46*EXP(poly_from_str(100000000/$E46,AU$4341))</f>
        <v>0.38238768709881399</v>
      </c>
    </row>
    <row r="47" spans="1:48" x14ac:dyDescent="0.25">
      <c r="A47" t="s">
        <v>59</v>
      </c>
      <c r="B47" s="2" t="str">
        <f t="shared" si="1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44">$G47&amp;""</f>
        <v>o</v>
      </c>
      <c r="N47" t="str">
        <f t="shared" ref="N47:N49" si="45">$H47&amp;""</f>
        <v>9/2</v>
      </c>
      <c r="O47">
        <v>26446.97</v>
      </c>
      <c r="P47" t="str">
        <f t="shared" ref="P47:P49" si="46">$J47&amp;""</f>
        <v>e</v>
      </c>
      <c r="Q47" t="str">
        <f t="shared" ref="Q47:Q49" si="47">$K47&amp;""</f>
        <v>7/2</v>
      </c>
      <c r="R47">
        <v>3</v>
      </c>
      <c r="S47" t="s">
        <v>6</v>
      </c>
      <c r="AA47" s="10">
        <f t="shared" si="6"/>
        <v>9306.848</v>
      </c>
      <c r="AB47" s="3">
        <f t="shared" si="7"/>
        <v>10741.83</v>
      </c>
      <c r="AC47" s="3" cm="1">
        <f t="array" ref="AC47">100000000/LvacE(AA47)</f>
        <v>10741.828804259729</v>
      </c>
      <c r="AD47" s="10">
        <f t="shared" si="8"/>
        <v>5.5770927388230545E-3</v>
      </c>
      <c r="AE47" s="10" t="b">
        <f t="shared" si="9"/>
        <v>1</v>
      </c>
      <c r="AJ47" t="s">
        <v>4767</v>
      </c>
      <c r="AK47" t="s">
        <v>4736</v>
      </c>
      <c r="AL47">
        <v>15705.13</v>
      </c>
      <c r="AM47">
        <v>26446.97</v>
      </c>
      <c r="AN47" s="10" cm="1">
        <f t="array" ref="AN47">Lair(100000000/($AM47-$AL47))</f>
        <v>9306.8383318866599</v>
      </c>
      <c r="AO47" s="10">
        <f t="shared" ref="AO47:AO49" si="48">100000000/($AM47-$AL47)</f>
        <v>9309.3920594609481</v>
      </c>
      <c r="AP47" s="12">
        <v>419000</v>
      </c>
      <c r="AQ47" s="3">
        <v>4.3999999999999997E-2</v>
      </c>
      <c r="AR47" s="3"/>
      <c r="AS47" s="13">
        <f t="shared" ref="AS47:AS48" si="49">EXP(AR$4341*$AM47+AR$4342)*$AP47/(100000000/($AM47-$AL47))</f>
        <v>0.54678653225640605</v>
      </c>
      <c r="AT47" s="3"/>
      <c r="AU47" s="3" cm="1">
        <f t="array" ref="AU47">$C47*EXP(poly_from_str($AO47,AU$4341))</f>
        <v>1.1532580892273308</v>
      </c>
    </row>
    <row r="48" spans="1:48" x14ac:dyDescent="0.25">
      <c r="A48" t="s">
        <v>60</v>
      </c>
      <c r="B48" s="2" t="str">
        <f t="shared" si="1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44"/>
        <v>o</v>
      </c>
      <c r="N48" t="str">
        <f t="shared" si="45"/>
        <v>9/2</v>
      </c>
      <c r="O48">
        <v>22527.7</v>
      </c>
      <c r="P48" t="str">
        <f t="shared" si="46"/>
        <v>e</v>
      </c>
      <c r="Q48" t="str">
        <f t="shared" si="47"/>
        <v>7/2</v>
      </c>
      <c r="R48">
        <v>3</v>
      </c>
      <c r="AA48" s="10">
        <f t="shared" si="6"/>
        <v>9285.9320000000007</v>
      </c>
      <c r="AB48" s="3">
        <f t="shared" si="7"/>
        <v>10766.02</v>
      </c>
      <c r="AC48" s="3" cm="1">
        <f t="array" ref="AC48">100000000/LvacE(AA48)</f>
        <v>10766.024036257086</v>
      </c>
      <c r="AD48" s="10">
        <f t="shared" si="8"/>
        <v>5.5796953949402758E-3</v>
      </c>
      <c r="AE48" s="10" t="b">
        <f t="shared" si="9"/>
        <v>1</v>
      </c>
      <c r="AJ48" t="s">
        <v>4695</v>
      </c>
      <c r="AK48" t="s">
        <v>4799</v>
      </c>
      <c r="AL48">
        <v>11761.69</v>
      </c>
      <c r="AM48">
        <v>22527.7</v>
      </c>
      <c r="AN48" s="10" cm="1">
        <f t="array" ref="AN48">Lair(100000000/($AM48-$AL48))</f>
        <v>9285.9441385403206</v>
      </c>
      <c r="AO48" s="10">
        <f t="shared" si="48"/>
        <v>9288.4922083483107</v>
      </c>
      <c r="AP48" s="12">
        <v>422000</v>
      </c>
      <c r="AQ48" s="3">
        <v>0.10100000000000001</v>
      </c>
      <c r="AR48" s="3">
        <f>LN(AU48*100000000/($AM48-$AL48)/AP48)</f>
        <v>-3.6636933202403141</v>
      </c>
      <c r="AS48" s="13">
        <f t="shared" si="49"/>
        <v>0.740680186957275</v>
      </c>
      <c r="AT48" s="3">
        <f t="shared" ref="AT48" si="50">LN(AS48/$C48)</f>
        <v>-4.6176744569358448</v>
      </c>
      <c r="AU48" s="3" cm="1">
        <f t="array" ref="AU48">$C48*EXP(poly_from_str($AO48,AU$4341))</f>
        <v>1.1647841102978505</v>
      </c>
      <c r="AV48" s="13">
        <f>LN(AS48/AU48)</f>
        <v>-0.45272210019555853</v>
      </c>
    </row>
    <row r="49" spans="1:48" x14ac:dyDescent="0.25">
      <c r="A49" t="s">
        <v>61</v>
      </c>
      <c r="B49" s="2" t="str">
        <f t="shared" si="1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44"/>
        <v>o</v>
      </c>
      <c r="N49" t="str">
        <f t="shared" si="45"/>
        <v>3/2</v>
      </c>
      <c r="O49">
        <v>20160.36</v>
      </c>
      <c r="P49" t="str">
        <f t="shared" si="46"/>
        <v>e</v>
      </c>
      <c r="Q49" t="str">
        <f t="shared" si="47"/>
        <v>3/2</v>
      </c>
      <c r="R49">
        <v>3</v>
      </c>
      <c r="AA49" s="10">
        <f t="shared" si="6"/>
        <v>9265.5609999999997</v>
      </c>
      <c r="AB49" s="3">
        <f t="shared" si="7"/>
        <v>10789.69</v>
      </c>
      <c r="AC49" s="3" cm="1">
        <f t="array" ref="AC49">100000000/LvacE(AA49)</f>
        <v>10789.693825838107</v>
      </c>
      <c r="AD49" s="10">
        <f t="shared" si="8"/>
        <v>5.5822471961405312E-3</v>
      </c>
      <c r="AE49" s="10" t="b">
        <f t="shared" si="9"/>
        <v>1</v>
      </c>
      <c r="AJ49" t="s">
        <v>4967</v>
      </c>
      <c r="AK49" t="s">
        <v>4786</v>
      </c>
      <c r="AL49">
        <v>9370.66</v>
      </c>
      <c r="AM49">
        <v>20160.36</v>
      </c>
      <c r="AN49" s="10" cm="1">
        <f t="array" ref="AN49">Lair(100000000/($AM49-$AL49))</f>
        <v>9265.5557297441464</v>
      </c>
      <c r="AO49" s="10">
        <f t="shared" si="48"/>
        <v>9268.098278914149</v>
      </c>
      <c r="AU49" s="3" cm="1">
        <f t="array" ref="AU49">$C49*EXP(poly_from_str($AO49,AU$4341))</f>
        <v>3.9189119337485003</v>
      </c>
    </row>
    <row r="50" spans="1:48" x14ac:dyDescent="0.25">
      <c r="A50" t="s">
        <v>62</v>
      </c>
      <c r="B50" s="2" t="str">
        <f t="shared" si="1"/>
        <v/>
      </c>
      <c r="C50">
        <v>25</v>
      </c>
      <c r="E50">
        <v>10800.47</v>
      </c>
      <c r="R50">
        <v>3</v>
      </c>
      <c r="S50" t="s">
        <v>22</v>
      </c>
      <c r="AA50" s="10">
        <f t="shared" si="6"/>
        <v>9256.3140000000003</v>
      </c>
      <c r="AB50" s="3">
        <f t="shared" si="7"/>
        <v>10800.47</v>
      </c>
      <c r="AC50" s="3" cm="1">
        <f t="array" ref="AC50">100000000/LvacE(AA50)</f>
        <v>10800.472623481188</v>
      </c>
      <c r="AD50" s="10">
        <f t="shared" si="8"/>
        <v>5.583411097737241E-3</v>
      </c>
      <c r="AE50" s="10" t="b">
        <f t="shared" si="9"/>
        <v>1</v>
      </c>
      <c r="AP50"/>
      <c r="AQ50"/>
      <c r="AU50" s="3" cm="1">
        <f t="array" ref="AU50">$C50*EXP(poly_from_str(100000000/$E50,AU$4341))</f>
        <v>0.39349793688580575</v>
      </c>
    </row>
    <row r="51" spans="1:48" x14ac:dyDescent="0.25">
      <c r="A51" t="s">
        <v>63</v>
      </c>
      <c r="B51" s="2" t="str">
        <f t="shared" si="1"/>
        <v/>
      </c>
      <c r="C51">
        <v>25</v>
      </c>
      <c r="E51">
        <v>10834.14</v>
      </c>
      <c r="R51">
        <v>3</v>
      </c>
      <c r="S51" t="s">
        <v>22</v>
      </c>
      <c r="AA51" s="10">
        <f t="shared" si="6"/>
        <v>9227.5529999999999</v>
      </c>
      <c r="AB51" s="3">
        <f t="shared" si="7"/>
        <v>10834.14</v>
      </c>
      <c r="AC51" s="3" cm="1">
        <f t="array" ref="AC51">100000000/LvacE(AA51)</f>
        <v>10834.136072081348</v>
      </c>
      <c r="AD51" s="10">
        <f t="shared" si="8"/>
        <v>5.5870535813818331E-3</v>
      </c>
      <c r="AE51" s="10" t="b">
        <f t="shared" si="9"/>
        <v>1</v>
      </c>
      <c r="AP51"/>
      <c r="AQ51"/>
      <c r="AU51" s="3" cm="1">
        <f t="array" ref="AU51">$C51*EXP(poly_from_str(100000000/$E51,AU$4341))</f>
        <v>0.39835057257332329</v>
      </c>
    </row>
    <row r="52" spans="1:48" x14ac:dyDescent="0.25">
      <c r="A52" t="s">
        <v>64</v>
      </c>
      <c r="B52" s="2" t="str">
        <f t="shared" si="1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6"/>
        <v>9222.32</v>
      </c>
      <c r="AB52" s="3">
        <f t="shared" si="7"/>
        <v>10840.28</v>
      </c>
      <c r="AC52" s="3" cm="1">
        <f t="array" ref="AC52">100000000/LvacE(AA52)</f>
        <v>10840.283638640418</v>
      </c>
      <c r="AD52" s="10">
        <f t="shared" si="8"/>
        <v>5.5877199901239825E-3</v>
      </c>
      <c r="AE52" s="10" t="b">
        <f t="shared" si="9"/>
        <v>1</v>
      </c>
      <c r="AJ52" t="s">
        <v>4985</v>
      </c>
      <c r="AK52" t="s">
        <v>4718</v>
      </c>
      <c r="AL52">
        <v>16763.98</v>
      </c>
      <c r="AM52">
        <v>27604.26</v>
      </c>
      <c r="AN52" s="10" cm="1">
        <f t="array" ref="AN52">Lair(100000000/($AM52-$AL52))</f>
        <v>9222.3231270643882</v>
      </c>
      <c r="AO52" s="10">
        <f>100000000/($AM52-$AL52)</f>
        <v>9224.8539705616477</v>
      </c>
      <c r="AP52" s="12">
        <v>2190000</v>
      </c>
      <c r="AQ52" s="3">
        <v>0.245</v>
      </c>
      <c r="AR52" s="3">
        <f>LN(AU52*100000000/($AM52-$AL52)/AP52)</f>
        <v>-4.3085861152752507</v>
      </c>
      <c r="AS52" s="13">
        <f>EXP(AR$4341*$AM52+AR$4342)*$AP52/(100000000/($AM52-$AL52))</f>
        <v>2.6441791132116479</v>
      </c>
      <c r="AT52" s="3">
        <f>LN(AS52/$C52)</f>
        <v>-4.3259567035808875</v>
      </c>
      <c r="AU52" s="3" cm="1">
        <f t="array" ref="AU52">$C52*EXP(poly_from_str($AO52,AU$4341))</f>
        <v>3.1936655983303655</v>
      </c>
      <c r="AV52" s="13">
        <f>LN(AS52/AU52)</f>
        <v>-0.18880868451626176</v>
      </c>
    </row>
    <row r="53" spans="1:48" x14ac:dyDescent="0.25">
      <c r="A53" t="s">
        <v>65</v>
      </c>
      <c r="B53" s="2" t="str">
        <f t="shared" si="1"/>
        <v/>
      </c>
      <c r="C53">
        <v>25</v>
      </c>
      <c r="E53">
        <v>10851.42</v>
      </c>
      <c r="R53">
        <v>3</v>
      </c>
      <c r="S53" t="s">
        <v>22</v>
      </c>
      <c r="AA53" s="10">
        <f t="shared" si="6"/>
        <v>9212.8520000000008</v>
      </c>
      <c r="AB53" s="3">
        <f t="shared" si="7"/>
        <v>10851.42</v>
      </c>
      <c r="AC53" s="3" cm="1">
        <f t="array" ref="AC53">100000000/LvacE(AA53)</f>
        <v>10851.424100701381</v>
      </c>
      <c r="AD53" s="10">
        <f t="shared" si="8"/>
        <v>5.5889286021690888E-3</v>
      </c>
      <c r="AE53" s="10" t="b">
        <f t="shared" si="9"/>
        <v>1</v>
      </c>
      <c r="AP53"/>
      <c r="AQ53"/>
      <c r="AU53" s="3" cm="1">
        <f t="array" ref="AU53">$C53*EXP(poly_from_str(100000000/$E53,AU$4341))</f>
        <v>0.40074316535492727</v>
      </c>
    </row>
    <row r="54" spans="1:48" x14ac:dyDescent="0.25">
      <c r="A54" t="s">
        <v>66</v>
      </c>
      <c r="B54" s="2" t="str">
        <f t="shared" si="1"/>
        <v/>
      </c>
      <c r="C54">
        <v>50</v>
      </c>
      <c r="E54">
        <v>10893.34</v>
      </c>
      <c r="R54">
        <v>3</v>
      </c>
      <c r="S54" t="s">
        <v>22</v>
      </c>
      <c r="AA54" s="10">
        <f t="shared" si="6"/>
        <v>9177.4030000000002</v>
      </c>
      <c r="AB54" s="3">
        <f t="shared" si="7"/>
        <v>10893.34</v>
      </c>
      <c r="AC54" s="3" cm="1">
        <f t="array" ref="AC54">100000000/LvacE(AA54)</f>
        <v>10893.339085771126</v>
      </c>
      <c r="AD54" s="10">
        <f t="shared" si="8"/>
        <v>5.5934870183738869E-3</v>
      </c>
      <c r="AE54" s="10" t="b">
        <f t="shared" si="9"/>
        <v>1</v>
      </c>
      <c r="AP54"/>
      <c r="AQ54"/>
      <c r="AU54" s="3" cm="1">
        <f t="array" ref="AU54">$C54*EXP(poly_from_str(100000000/$E54,AU$4341))</f>
        <v>0.81256336973870713</v>
      </c>
    </row>
    <row r="55" spans="1:48" x14ac:dyDescent="0.25">
      <c r="A55" t="s">
        <v>67</v>
      </c>
      <c r="B55" s="2" t="str">
        <f t="shared" si="1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51">$G55&amp;""</f>
        <v>o</v>
      </c>
      <c r="N55" t="str">
        <f t="shared" ref="N55:N56" si="52">$H55&amp;""</f>
        <v>11/2</v>
      </c>
      <c r="O55">
        <v>39024.269999999997</v>
      </c>
      <c r="P55" t="str">
        <f t="shared" ref="P55:P56" si="53">$J55&amp;""</f>
        <v>e</v>
      </c>
      <c r="Q55" t="str">
        <f t="shared" ref="Q55:Q56" si="54">$K55&amp;""</f>
        <v>9/2</v>
      </c>
      <c r="R55">
        <v>3</v>
      </c>
      <c r="AA55" s="10">
        <f t="shared" si="6"/>
        <v>9152.8799999999992</v>
      </c>
      <c r="AB55" s="3">
        <f t="shared" si="7"/>
        <v>10922.52</v>
      </c>
      <c r="AC55" s="3" cm="1">
        <f t="array" ref="AC55">100000000/LvacE(AA55)</f>
        <v>10922.525129946149</v>
      </c>
      <c r="AD55" s="10">
        <f t="shared" si="8"/>
        <v>5.5966714919209121E-3</v>
      </c>
      <c r="AE55" s="10" t="b">
        <f t="shared" si="9"/>
        <v>1</v>
      </c>
      <c r="AJ55" t="s">
        <v>4778</v>
      </c>
      <c r="AK55" t="s">
        <v>4702</v>
      </c>
      <c r="AL55">
        <v>28101.77</v>
      </c>
      <c r="AM55">
        <v>39024.269999999997</v>
      </c>
      <c r="AN55" s="10" cm="1">
        <f t="array" ref="AN55">Lair(100000000/($AM55-$AL55))</f>
        <v>9152.9010896235595</v>
      </c>
      <c r="AO55" s="10">
        <f t="shared" ref="AO55:AO56" si="55">100000000/($AM55-$AL55)</f>
        <v>9155.4131380178569</v>
      </c>
      <c r="AP55" s="12">
        <v>1620000</v>
      </c>
      <c r="AQ55" s="3">
        <v>0.34300000000000003</v>
      </c>
      <c r="AR55" s="3">
        <f t="shared" ref="AR55:AR56" si="56">LN(AU55*100000000/($AM55-$AL55)/AP55)</f>
        <v>-5.3744819094759197</v>
      </c>
      <c r="AS55" s="13">
        <f t="shared" ref="AS55:AS56" si="57">EXP(AR$4341*$AM55+AR$4342)*$AP55/(100000000/($AM55-$AL55))</f>
        <v>0.83644590906243343</v>
      </c>
      <c r="AT55" s="3">
        <f t="shared" ref="AT55:AT56" si="58">LN(AS55/$C55)</f>
        <v>-4.0906164294783167</v>
      </c>
      <c r="AU55" s="3" cm="1">
        <f t="array" ref="AU55">$C55*EXP(poly_from_str($AO55,AU$4341))</f>
        <v>0.81984024129509381</v>
      </c>
      <c r="AV55" s="13">
        <f t="shared" ref="AV55:AV56" si="59">LN(AS55/AU55)</f>
        <v>2.0052361343957381E-2</v>
      </c>
    </row>
    <row r="56" spans="1:48" x14ac:dyDescent="0.25">
      <c r="A56" t="s">
        <v>68</v>
      </c>
      <c r="B56" s="2" t="str">
        <f t="shared" si="1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51"/>
        <v>o</v>
      </c>
      <c r="N56" t="str">
        <f t="shared" si="52"/>
        <v>11/2</v>
      </c>
      <c r="O56">
        <v>23442.25</v>
      </c>
      <c r="P56" t="str">
        <f t="shared" si="53"/>
        <v>e</v>
      </c>
      <c r="Q56" t="str">
        <f t="shared" si="54"/>
        <v>11/2</v>
      </c>
      <c r="R56">
        <v>3</v>
      </c>
      <c r="AA56" s="10">
        <f t="shared" si="6"/>
        <v>9131.8989999999994</v>
      </c>
      <c r="AB56" s="3">
        <f t="shared" si="7"/>
        <v>10947.62</v>
      </c>
      <c r="AC56" s="3" cm="1">
        <f t="array" ref="AC56">100000000/LvacE(AA56)</f>
        <v>10947.620090208651</v>
      </c>
      <c r="AD56" s="10">
        <f t="shared" si="8"/>
        <v>5.5994164023391328E-3</v>
      </c>
      <c r="AE56" s="10" t="b">
        <f t="shared" si="9"/>
        <v>1</v>
      </c>
      <c r="AJ56" t="s">
        <v>4760</v>
      </c>
      <c r="AK56" t="s">
        <v>4782</v>
      </c>
      <c r="AL56">
        <v>12494.63</v>
      </c>
      <c r="AM56">
        <v>23442.25</v>
      </c>
      <c r="AN56" s="10" cm="1">
        <f t="array" ref="AN56">Lair(100000000/($AM56-$AL56))</f>
        <v>9131.8991061659144</v>
      </c>
      <c r="AO56" s="10">
        <f t="shared" si="55"/>
        <v>9134.4054689512413</v>
      </c>
      <c r="AP56" s="12">
        <v>4120000</v>
      </c>
      <c r="AQ56" s="3">
        <v>0.437</v>
      </c>
      <c r="AR56" s="3">
        <f t="shared" si="56"/>
        <v>-4.6934794214118662</v>
      </c>
      <c r="AS56" s="13">
        <f t="shared" si="57"/>
        <v>6.8655139570832633</v>
      </c>
      <c r="AT56" s="3">
        <f t="shared" si="58"/>
        <v>-3.5949500151543012</v>
      </c>
      <c r="AU56" s="3" cm="1">
        <f t="array" ref="AU56">$C56*EXP(poly_from_str($AO56,AU$4341))</f>
        <v>4.1291885719360693</v>
      </c>
      <c r="AV56" s="13">
        <f t="shared" si="59"/>
        <v>0.50842998672427553</v>
      </c>
    </row>
    <row r="57" spans="1:48" x14ac:dyDescent="0.25">
      <c r="A57" t="s">
        <v>69</v>
      </c>
      <c r="B57" s="2" t="str">
        <f t="shared" si="1"/>
        <v/>
      </c>
      <c r="C57">
        <v>25</v>
      </c>
      <c r="E57">
        <v>10958.38</v>
      </c>
      <c r="R57">
        <v>3</v>
      </c>
      <c r="S57" t="s">
        <v>22</v>
      </c>
      <c r="AA57" s="10">
        <f t="shared" si="6"/>
        <v>9122.9310000000005</v>
      </c>
      <c r="AB57" s="3">
        <f t="shared" si="7"/>
        <v>10958.38</v>
      </c>
      <c r="AC57" s="3" cm="1">
        <f t="array" ref="AC57">100000000/LvacE(AA57)</f>
        <v>10958.381750987366</v>
      </c>
      <c r="AD57" s="10">
        <f t="shared" si="8"/>
        <v>5.6005954528751435E-3</v>
      </c>
      <c r="AE57" s="10" t="b">
        <f t="shared" si="9"/>
        <v>1</v>
      </c>
      <c r="AP57"/>
      <c r="AQ57"/>
      <c r="AU57" s="3" cm="1">
        <f t="array" ref="AU57">$C57*EXP(poly_from_str(100000000/$E57,AU$4341))</f>
        <v>0.41416592780044631</v>
      </c>
    </row>
    <row r="58" spans="1:48" x14ac:dyDescent="0.25">
      <c r="A58" t="s">
        <v>70</v>
      </c>
      <c r="B58" s="2" t="str">
        <f t="shared" si="1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AA58" s="10">
        <f t="shared" si="6"/>
        <v>9099.9840000000004</v>
      </c>
      <c r="AB58" s="3">
        <f t="shared" si="7"/>
        <v>10986.01</v>
      </c>
      <c r="AC58" s="3" cm="1">
        <f t="array" ref="AC58">100000000/LvacE(AA58)</f>
        <v>10986.014880756336</v>
      </c>
      <c r="AD58" s="10">
        <f t="shared" si="8"/>
        <v>5.6036282525747487E-3</v>
      </c>
      <c r="AE58" s="10" t="b">
        <f t="shared" si="9"/>
        <v>1</v>
      </c>
      <c r="AJ58" t="s">
        <v>4695</v>
      </c>
      <c r="AK58" t="s">
        <v>4797</v>
      </c>
      <c r="AL58">
        <v>11761.69</v>
      </c>
      <c r="AM58">
        <v>22747.69</v>
      </c>
      <c r="AN58" s="10" cm="1">
        <f t="array" ref="AN58">Lair(100000000/($AM58-$AL58))</f>
        <v>9099.99635687095</v>
      </c>
      <c r="AO58" s="10">
        <f>100000000/($AM58-$AL58)</f>
        <v>9102.4940833788478</v>
      </c>
      <c r="AP58" s="12">
        <v>6200000</v>
      </c>
      <c r="AQ58" s="3">
        <v>0.52400000000000002</v>
      </c>
      <c r="AR58" s="3">
        <f>LN(AU58*100000000/($AM58-$AL58)/AP58)</f>
        <v>-5.0952004176948735</v>
      </c>
      <c r="AS58" s="13">
        <f>EXP(AR$4341*$AM58+AR$4342)*$AP58/(100000000/($AM58-$AL58))</f>
        <v>10.922568604212497</v>
      </c>
      <c r="AT58" s="3">
        <f>LN(AS58/$C58)</f>
        <v>-3.130629755039434</v>
      </c>
      <c r="AU58" s="3" cm="1">
        <f t="array" ref="AU58">$C58*EXP(poly_from_str($AO58,AU$4341))</f>
        <v>4.1726682624459501</v>
      </c>
      <c r="AV58" s="13">
        <f>LN(AS58/AU58)</f>
        <v>0.96227546055216606</v>
      </c>
    </row>
    <row r="59" spans="1:48" x14ac:dyDescent="0.25">
      <c r="A59" t="s">
        <v>71</v>
      </c>
      <c r="B59" s="2" t="str">
        <f t="shared" si="1"/>
        <v/>
      </c>
      <c r="C59">
        <v>25</v>
      </c>
      <c r="E59">
        <v>10986.91</v>
      </c>
      <c r="R59">
        <v>3</v>
      </c>
      <c r="S59" t="s">
        <v>22</v>
      </c>
      <c r="AA59" s="10">
        <f t="shared" si="6"/>
        <v>9099.24</v>
      </c>
      <c r="AB59" s="3">
        <f t="shared" si="7"/>
        <v>10986.91</v>
      </c>
      <c r="AC59" s="3" cm="1">
        <f t="array" ref="AC59">100000000/LvacE(AA59)</f>
        <v>10986.913149648744</v>
      </c>
      <c r="AD59" s="10">
        <f t="shared" si="8"/>
        <v>5.6037269678373552E-3</v>
      </c>
      <c r="AE59" s="10" t="b">
        <f t="shared" si="9"/>
        <v>1</v>
      </c>
      <c r="AP59"/>
      <c r="AQ59"/>
      <c r="AU59" s="3" cm="1">
        <f t="array" ref="AU59">$C59*EXP(poly_from_str(100000000/$E59,AU$4341))</f>
        <v>0.41736657450236481</v>
      </c>
    </row>
    <row r="60" spans="1:48" x14ac:dyDescent="0.25">
      <c r="A60" t="s">
        <v>72</v>
      </c>
      <c r="B60" s="2" t="str">
        <f t="shared" si="1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AA60" s="10">
        <f t="shared" si="6"/>
        <v>9085.4969999999994</v>
      </c>
      <c r="AB60" s="3">
        <f t="shared" si="7"/>
        <v>11003.53</v>
      </c>
      <c r="AC60" s="3" cm="1">
        <f t="array" ref="AC60">100000000/LvacE(AA60)</f>
        <v>11003.532226894638</v>
      </c>
      <c r="AD60" s="10">
        <f t="shared" si="8"/>
        <v>5.605554777404838E-3</v>
      </c>
      <c r="AE60" s="10" t="b">
        <f t="shared" si="9"/>
        <v>1</v>
      </c>
      <c r="AJ60" t="s">
        <v>4982</v>
      </c>
      <c r="AK60" t="s">
        <v>4736</v>
      </c>
      <c r="AL60">
        <v>15443.48</v>
      </c>
      <c r="AM60">
        <v>26446.97</v>
      </c>
      <c r="AN60" s="10" cm="1">
        <f t="array" ref="AN60">Lair(100000000/($AM60-$AL60))</f>
        <v>9085.531897175646</v>
      </c>
      <c r="AO60" s="10">
        <f>100000000/($AM60-$AL60)</f>
        <v>9088.0257082071221</v>
      </c>
      <c r="AP60" s="12">
        <v>721000</v>
      </c>
      <c r="AQ60" s="3">
        <v>0.26900000000000002</v>
      </c>
      <c r="AR60" s="3">
        <f>LN(AU60*100000000/($AM60-$AL60)/AP60)</f>
        <v>-4.1445778598558096</v>
      </c>
      <c r="AS60" s="13">
        <f>EXP(AR$4341*$AM60+AR$4342)*$AP60/(100000000/($AM60-$AL60))</f>
        <v>0.96380866096975304</v>
      </c>
      <c r="AT60" s="3">
        <f>LN(AS60/$C60)</f>
        <v>-4.3543506020797622</v>
      </c>
      <c r="AU60" s="3" cm="1">
        <f t="array" ref="AU60">$C60*EXP(poly_from_str($AO60,AU$4341))</f>
        <v>1.2574722896009605</v>
      </c>
      <c r="AV60" s="13">
        <f>LN(AS60/AU60)</f>
        <v>-0.26596607518979426</v>
      </c>
    </row>
    <row r="61" spans="1:48" x14ac:dyDescent="0.25">
      <c r="A61" t="s">
        <v>73</v>
      </c>
      <c r="B61" s="2" t="str">
        <f t="shared" si="1"/>
        <v/>
      </c>
      <c r="C61">
        <v>50</v>
      </c>
      <c r="E61">
        <v>11013.34</v>
      </c>
      <c r="R61">
        <v>3</v>
      </c>
      <c r="S61" t="s">
        <v>22</v>
      </c>
      <c r="AA61" s="10">
        <f t="shared" si="6"/>
        <v>9077.4040000000005</v>
      </c>
      <c r="AB61" s="3">
        <f t="shared" si="7"/>
        <v>11013.34</v>
      </c>
      <c r="AC61" s="3" cm="1">
        <f t="array" ref="AC61">100000000/LvacE(AA61)</f>
        <v>11013.342437925836</v>
      </c>
      <c r="AD61" s="10">
        <f t="shared" si="8"/>
        <v>5.6066350268163586E-3</v>
      </c>
      <c r="AE61" s="10" t="b">
        <f t="shared" si="9"/>
        <v>1</v>
      </c>
      <c r="AP61"/>
      <c r="AQ61"/>
      <c r="AU61" s="3" cm="1">
        <f t="array" ref="AU61">$C61*EXP(poly_from_str(100000000/$E61,AU$4341))</f>
        <v>0.84039556413489369</v>
      </c>
    </row>
    <row r="62" spans="1:48" x14ac:dyDescent="0.25">
      <c r="A62" t="s">
        <v>74</v>
      </c>
      <c r="B62" s="2" t="str">
        <f t="shared" si="1"/>
        <v/>
      </c>
      <c r="C62">
        <v>25</v>
      </c>
      <c r="E62">
        <v>11025.3</v>
      </c>
      <c r="R62">
        <v>3</v>
      </c>
      <c r="S62" t="s">
        <v>22</v>
      </c>
      <c r="AA62" s="10">
        <f t="shared" si="6"/>
        <v>9067.5630000000001</v>
      </c>
      <c r="AB62" s="3">
        <f t="shared" si="7"/>
        <v>11025.3</v>
      </c>
      <c r="AC62" s="3" cm="1">
        <f t="array" ref="AC62">100000000/LvacE(AA62)</f>
        <v>11025.295141353628</v>
      </c>
      <c r="AD62" s="10">
        <f t="shared" si="8"/>
        <v>5.6079524973443049E-3</v>
      </c>
      <c r="AE62" s="10" t="b">
        <f t="shared" si="9"/>
        <v>1</v>
      </c>
      <c r="AP62"/>
      <c r="AQ62"/>
      <c r="AU62" s="3" cm="1">
        <f t="array" ref="AU62">$C62*EXP(poly_from_str(100000000/$E62,AU$4341))</f>
        <v>0.42143771116551304</v>
      </c>
    </row>
    <row r="63" spans="1:48" x14ac:dyDescent="0.25">
      <c r="A63" t="s">
        <v>75</v>
      </c>
      <c r="B63" s="2" t="str">
        <f t="shared" si="1"/>
        <v/>
      </c>
      <c r="C63">
        <v>50</v>
      </c>
      <c r="E63">
        <v>11055.93</v>
      </c>
      <c r="R63">
        <v>3</v>
      </c>
      <c r="S63" t="s">
        <v>22</v>
      </c>
      <c r="AA63" s="10">
        <f t="shared" si="6"/>
        <v>9042.4410000000007</v>
      </c>
      <c r="AB63" s="3">
        <f t="shared" si="7"/>
        <v>11055.93</v>
      </c>
      <c r="AC63" s="3" cm="1">
        <f t="array" ref="AC63">100000000/LvacE(AA63)</f>
        <v>11055.925853533401</v>
      </c>
      <c r="AD63" s="10">
        <f t="shared" si="8"/>
        <v>5.6113352497148394E-3</v>
      </c>
      <c r="AE63" s="10" t="b">
        <f t="shared" si="9"/>
        <v>1</v>
      </c>
      <c r="AP63"/>
      <c r="AQ63"/>
      <c r="AU63" s="3" cm="1">
        <f t="array" ref="AU63">$C63*EXP(poly_from_str(100000000/$E63,AU$4341))</f>
        <v>0.84899810134739762</v>
      </c>
    </row>
    <row r="64" spans="1:48" x14ac:dyDescent="0.25">
      <c r="A64" t="s">
        <v>76</v>
      </c>
      <c r="B64" s="2" t="str">
        <f t="shared" si="1"/>
        <v/>
      </c>
      <c r="C64">
        <v>50</v>
      </c>
      <c r="E64">
        <v>11064.27</v>
      </c>
      <c r="R64">
        <v>3</v>
      </c>
      <c r="S64" t="s">
        <v>22</v>
      </c>
      <c r="AA64" s="10">
        <f t="shared" si="6"/>
        <v>9035.6219999999994</v>
      </c>
      <c r="AB64" s="3">
        <f t="shared" si="7"/>
        <v>11064.27</v>
      </c>
      <c r="AC64" s="3" cm="1">
        <f t="array" ref="AC64">100000000/LvacE(AA64)</f>
        <v>11064.269503807744</v>
      </c>
      <c r="AD64" s="10">
        <f t="shared" si="8"/>
        <v>5.6122583206672291E-3</v>
      </c>
      <c r="AE64" s="10" t="b">
        <f t="shared" si="9"/>
        <v>1</v>
      </c>
      <c r="AP64"/>
      <c r="AQ64"/>
      <c r="AU64" s="3" cm="1">
        <f t="array" ref="AU64">$C64*EXP(poly_from_str(100000000/$E64,AU$4341))</f>
        <v>0.8506093761522967</v>
      </c>
    </row>
    <row r="65" spans="1:48" x14ac:dyDescent="0.25">
      <c r="A65" t="s">
        <v>77</v>
      </c>
      <c r="B65" s="2" t="str">
        <f t="shared" si="1"/>
        <v/>
      </c>
      <c r="C65">
        <v>50</v>
      </c>
      <c r="E65">
        <v>11088.02</v>
      </c>
      <c r="R65">
        <v>3</v>
      </c>
      <c r="S65" t="s">
        <v>22</v>
      </c>
      <c r="AA65" s="10">
        <f t="shared" si="6"/>
        <v>9016.2690000000002</v>
      </c>
      <c r="AB65" s="3">
        <f t="shared" si="7"/>
        <v>11088.02</v>
      </c>
      <c r="AC65" s="3" cm="1">
        <f t="array" ref="AC65">100000000/LvacE(AA65)</f>
        <v>11088.018349980508</v>
      </c>
      <c r="AD65" s="10">
        <f t="shared" si="8"/>
        <v>5.6148895041829667E-3</v>
      </c>
      <c r="AE65" s="10" t="b">
        <f t="shared" si="9"/>
        <v>1</v>
      </c>
      <c r="AP65"/>
      <c r="AQ65"/>
      <c r="AU65" s="3" cm="1">
        <f t="array" ref="AU65">$C65*EXP(poly_from_str(100000000/$E65,AU$4341))</f>
        <v>0.85506990857162279</v>
      </c>
    </row>
    <row r="66" spans="1:48" x14ac:dyDescent="0.25">
      <c r="A66" t="s">
        <v>78</v>
      </c>
      <c r="B66" s="2" t="str">
        <f t="shared" si="1"/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6"/>
        <v>8960.7530000000006</v>
      </c>
      <c r="AB66" s="3">
        <f t="shared" si="7"/>
        <v>11156.71</v>
      </c>
      <c r="AC66" s="3" cm="1">
        <f t="array" ref="AC66">100000000/LvacE(AA66)</f>
        <v>11156.713473945278</v>
      </c>
      <c r="AD66" s="10">
        <f t="shared" si="8"/>
        <v>5.6225321395392373E-3</v>
      </c>
      <c r="AE66" s="10" t="b">
        <f t="shared" si="9"/>
        <v>1</v>
      </c>
      <c r="AJ66" t="s">
        <v>4715</v>
      </c>
      <c r="AK66" t="s">
        <v>4791</v>
      </c>
      <c r="AL66">
        <v>10138.18</v>
      </c>
      <c r="AM66">
        <v>21294.89</v>
      </c>
      <c r="AN66" s="10" cm="1">
        <f t="array" ref="AN66">Lair(100000000/($AM66-$AL66))</f>
        <v>8960.7558200059339</v>
      </c>
      <c r="AO66" s="10">
        <f>100000000/($AM66-$AL66)</f>
        <v>8963.2158584385543</v>
      </c>
      <c r="AU66" s="3" cm="1">
        <f t="array" ref="AU66">$C66*EXP(poly_from_str($AO66,AU$4341))</f>
        <v>0.86694217990517919</v>
      </c>
    </row>
    <row r="67" spans="1:48" x14ac:dyDescent="0.25">
      <c r="A67" t="s">
        <v>79</v>
      </c>
      <c r="B67" s="2" t="str">
        <f t="shared" ref="B67:B130" si="60">IF(OR(A67=A66,A67=A68),IF(B66="",1,B66+1),"")</f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61">ROUND($A67,3)+0</f>
        <v>8946.86</v>
      </c>
      <c r="AB67" s="3">
        <f t="shared" ref="AB67:AB130" si="62">ROUND($E67,2)+0</f>
        <v>11174.04</v>
      </c>
      <c r="AC67" s="3" cm="1">
        <f t="array" ref="AC67">100000000/LvacE(AA67)</f>
        <v>11174.037944818605</v>
      </c>
      <c r="AD67" s="10">
        <f t="shared" ref="AD67:AD130" si="63">0.0005/$AA67*AC67+0.005</f>
        <v>5.6244670166303379E-3</v>
      </c>
      <c r="AE67" s="10" t="b">
        <f t="shared" ref="AE67:AE130" si="64">ABS(AB67-AC67)&lt;AD67</f>
        <v>1</v>
      </c>
      <c r="AP67"/>
      <c r="AQ67"/>
      <c r="AU67" s="3" cm="1">
        <f t="array" ref="AU67">$C67*EXP(poly_from_str(100000000/$E67,AU$4341))</f>
        <v>0.8697050081664548</v>
      </c>
    </row>
    <row r="68" spans="1:48" x14ac:dyDescent="0.25">
      <c r="A68" t="s">
        <v>80</v>
      </c>
      <c r="B68" s="2" t="str">
        <f t="shared" si="60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AA68" s="10">
        <f t="shared" si="61"/>
        <v>8908.6980000000003</v>
      </c>
      <c r="AB68" s="3">
        <f t="shared" si="62"/>
        <v>11221.9</v>
      </c>
      <c r="AC68" s="3" cm="1">
        <f t="array" ref="AC68">100000000/LvacE(AA68)</f>
        <v>11221.903745174915</v>
      </c>
      <c r="AD68" s="10">
        <f t="shared" si="63"/>
        <v>5.6298284971145569E-3</v>
      </c>
      <c r="AE68" s="10" t="b">
        <f t="shared" si="64"/>
        <v>1</v>
      </c>
      <c r="AJ68" t="s">
        <v>4817</v>
      </c>
      <c r="AK68" t="s">
        <v>4790</v>
      </c>
      <c r="AL68">
        <v>10859.06</v>
      </c>
      <c r="AM68">
        <v>22080.94</v>
      </c>
      <c r="AN68" s="10" cm="1">
        <f t="array" ref="AN68">Lair(100000000/($AM68-$AL68))</f>
        <v>8908.7168801082807</v>
      </c>
      <c r="AO68" s="10">
        <f>100000000/($AM68-$AL68)</f>
        <v>8911.1628354607255</v>
      </c>
      <c r="AU68" s="3" cm="1">
        <f t="array" ref="AU68">$C68*EXP(poly_from_str($AO68,AU$4341))</f>
        <v>1.7537339114713879</v>
      </c>
    </row>
    <row r="69" spans="1:48" x14ac:dyDescent="0.25">
      <c r="A69" t="s">
        <v>81</v>
      </c>
      <c r="B69" s="2" t="str">
        <f t="shared" si="60"/>
        <v/>
      </c>
      <c r="C69">
        <v>50</v>
      </c>
      <c r="E69">
        <v>11237.55</v>
      </c>
      <c r="R69">
        <v>3</v>
      </c>
      <c r="S69" t="s">
        <v>22</v>
      </c>
      <c r="AA69" s="10">
        <f t="shared" si="61"/>
        <v>8896.2919999999995</v>
      </c>
      <c r="AB69" s="3">
        <f t="shared" si="62"/>
        <v>11237.55</v>
      </c>
      <c r="AC69" s="3" cm="1">
        <f t="array" ref="AC69">100000000/LvacE(AA69)</f>
        <v>11237.552780553347</v>
      </c>
      <c r="AD69" s="10">
        <f t="shared" si="63"/>
        <v>5.6315863272334895E-3</v>
      </c>
      <c r="AE69" s="10" t="b">
        <f t="shared" si="64"/>
        <v>1</v>
      </c>
      <c r="AP69"/>
      <c r="AQ69"/>
      <c r="AU69" s="3" cm="1">
        <f t="array" ref="AU69">$C69*EXP(poly_from_str(100000000/$E69,AU$4341))</f>
        <v>0.8790682472118887</v>
      </c>
    </row>
    <row r="70" spans="1:48" x14ac:dyDescent="0.25">
      <c r="A70" t="s">
        <v>82</v>
      </c>
      <c r="B70" s="2" t="str">
        <f t="shared" si="60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65">$G70&amp;""</f>
        <v>o</v>
      </c>
      <c r="N70" t="str">
        <f t="shared" ref="N70:N73" si="66">$H70&amp;""</f>
        <v>13/2</v>
      </c>
      <c r="O70">
        <v>36642.129999999997</v>
      </c>
      <c r="P70" t="str">
        <f t="shared" ref="P70:P73" si="67">$J70&amp;""</f>
        <v>e</v>
      </c>
      <c r="Q70" t="str">
        <f t="shared" ref="Q70:Q73" si="68">$K70&amp;""</f>
        <v>13/2</v>
      </c>
      <c r="R70">
        <v>3</v>
      </c>
      <c r="AA70" s="10">
        <f t="shared" si="61"/>
        <v>8886.1730000000007</v>
      </c>
      <c r="AB70" s="3">
        <f t="shared" si="62"/>
        <v>11250.35</v>
      </c>
      <c r="AC70" s="3" cm="1">
        <f t="array" ref="AC70">100000000/LvacE(AA70)</f>
        <v>11250.349329366518</v>
      </c>
      <c r="AD70" s="10">
        <f t="shared" si="63"/>
        <v>5.6330255628247684E-3</v>
      </c>
      <c r="AE70" s="10" t="b">
        <f t="shared" si="64"/>
        <v>1</v>
      </c>
      <c r="AJ70" t="s">
        <v>4984</v>
      </c>
      <c r="AK70" t="s">
        <v>4793</v>
      </c>
      <c r="AL70">
        <v>25391.75</v>
      </c>
      <c r="AM70">
        <v>36642.129999999997</v>
      </c>
      <c r="AN70" s="10" cm="1">
        <f t="array" ref="AN70">Lair(100000000/($AM70-$AL70))</f>
        <v>8886.1488038797143</v>
      </c>
      <c r="AO70" s="10">
        <f t="shared" ref="AO70:AO73" si="69">100000000/($AM70-$AL70)</f>
        <v>8888.5886521166412</v>
      </c>
      <c r="AP70" s="12">
        <v>3990000</v>
      </c>
      <c r="AQ70" s="3">
        <v>0.38400000000000001</v>
      </c>
      <c r="AR70" s="3">
        <f>LN(AU70*100000000/($AM70-$AL70)/AP70)</f>
        <v>-5.317390950060517</v>
      </c>
      <c r="AS70" s="13">
        <f>EXP(AR$4341*$AM70+AR$4342)*$AP70/(100000000/($AM70-$AL70))</f>
        <v>2.5373508649599725</v>
      </c>
      <c r="AT70" s="3">
        <f>LN(AS70/$C70)</f>
        <v>-3.89719316709113</v>
      </c>
      <c r="AU70" s="3" cm="1">
        <f t="array" ref="AU70">$C70*EXP(poly_from_str($AO70,AU$4341))</f>
        <v>2.2020467740431946</v>
      </c>
      <c r="AV70" s="13">
        <f>LN(AS70/AU70)</f>
        <v>0.1417332905181202</v>
      </c>
    </row>
    <row r="71" spans="1:48" x14ac:dyDescent="0.25">
      <c r="A71" t="s">
        <v>83</v>
      </c>
      <c r="B71" s="2" t="str">
        <f t="shared" si="60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65"/>
        <v>o</v>
      </c>
      <c r="N71" t="str">
        <f t="shared" si="66"/>
        <v>5/2</v>
      </c>
      <c r="O71">
        <v>21418.84</v>
      </c>
      <c r="P71" t="str">
        <f t="shared" si="67"/>
        <v>e</v>
      </c>
      <c r="Q71" t="str">
        <f t="shared" si="68"/>
        <v>5/2</v>
      </c>
      <c r="R71">
        <v>3</v>
      </c>
      <c r="AA71" s="10">
        <f t="shared" si="61"/>
        <v>8862.2950000000001</v>
      </c>
      <c r="AB71" s="3">
        <f t="shared" si="62"/>
        <v>11280.66</v>
      </c>
      <c r="AC71" s="3" cm="1">
        <f t="array" ref="AC71">100000000/LvacE(AA71)</f>
        <v>11280.661429463744</v>
      </c>
      <c r="AD71" s="10">
        <f t="shared" si="63"/>
        <v>5.6364413184995391E-3</v>
      </c>
      <c r="AE71" s="10" t="b">
        <f t="shared" si="64"/>
        <v>1</v>
      </c>
      <c r="AJ71" t="s">
        <v>4715</v>
      </c>
      <c r="AK71" t="s">
        <v>4792</v>
      </c>
      <c r="AL71">
        <v>10138.18</v>
      </c>
      <c r="AM71">
        <v>21418.84</v>
      </c>
      <c r="AN71" s="10" cm="1">
        <f t="array" ref="AN71">Lair(100000000/($AM71-$AL71))</f>
        <v>8862.2961522036821</v>
      </c>
      <c r="AO71" s="10">
        <f t="shared" si="69"/>
        <v>8864.7295459662819</v>
      </c>
      <c r="AU71" s="3" cm="1">
        <f t="array" ref="AU71">$C71*EXP(poly_from_str($AO71,AU$4341))</f>
        <v>0.44238403617653649</v>
      </c>
    </row>
    <row r="72" spans="1:48" x14ac:dyDescent="0.25">
      <c r="A72" t="s">
        <v>84</v>
      </c>
      <c r="B72" s="2" t="str">
        <f t="shared" si="60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65"/>
        <v>o</v>
      </c>
      <c r="N72" t="str">
        <f t="shared" si="66"/>
        <v>13/2</v>
      </c>
      <c r="O72">
        <v>27380.31</v>
      </c>
      <c r="P72" t="str">
        <f t="shared" si="67"/>
        <v>e</v>
      </c>
      <c r="Q72" t="str">
        <f t="shared" si="68"/>
        <v>11/2</v>
      </c>
      <c r="R72">
        <v>3</v>
      </c>
      <c r="AA72" s="10">
        <f t="shared" si="61"/>
        <v>8854.0529999999999</v>
      </c>
      <c r="AB72" s="3">
        <f t="shared" si="62"/>
        <v>11291.16</v>
      </c>
      <c r="AC72" s="3" cm="1">
        <f t="array" ref="AC72">100000000/LvacE(AA72)</f>
        <v>11291.162252167893</v>
      </c>
      <c r="AD72" s="10">
        <f t="shared" si="63"/>
        <v>5.6376267598673676E-3</v>
      </c>
      <c r="AE72" s="10" t="b">
        <f t="shared" si="64"/>
        <v>1</v>
      </c>
      <c r="AJ72" t="s">
        <v>4988</v>
      </c>
      <c r="AK72" t="s">
        <v>4712</v>
      </c>
      <c r="AL72">
        <v>16089.14</v>
      </c>
      <c r="AM72">
        <v>27380.31</v>
      </c>
      <c r="AN72" s="10" cm="1">
        <f t="array" ref="AN72">Lair(100000000/($AM72-$AL72))</f>
        <v>8854.0469535897046</v>
      </c>
      <c r="AO72" s="10">
        <f t="shared" si="69"/>
        <v>8856.4781151997522</v>
      </c>
      <c r="AU72" s="3" cm="1">
        <f t="array" ref="AU72">$C72*EXP(poly_from_str($AO72,AU$4341))</f>
        <v>17.721601754914101</v>
      </c>
    </row>
    <row r="73" spans="1:48" x14ac:dyDescent="0.25">
      <c r="A73" t="s">
        <v>85</v>
      </c>
      <c r="B73" s="2" t="str">
        <f t="shared" si="60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65"/>
        <v>o</v>
      </c>
      <c r="N73" t="str">
        <f t="shared" si="66"/>
        <v>15/2</v>
      </c>
      <c r="O73">
        <v>36642.129999999997</v>
      </c>
      <c r="P73" t="str">
        <f t="shared" si="67"/>
        <v>e</v>
      </c>
      <c r="Q73" t="str">
        <f t="shared" si="68"/>
        <v>13/2</v>
      </c>
      <c r="R73">
        <v>3</v>
      </c>
      <c r="AA73" s="10">
        <f t="shared" si="61"/>
        <v>8771.3829999999998</v>
      </c>
      <c r="AB73" s="3">
        <f t="shared" si="62"/>
        <v>11397.58</v>
      </c>
      <c r="AC73" s="3" cm="1">
        <f t="array" ref="AC73">100000000/LvacE(AA73)</f>
        <v>11397.580659147616</v>
      </c>
      <c r="AD73" s="10">
        <f t="shared" si="63"/>
        <v>5.649702598732014E-3</v>
      </c>
      <c r="AE73" s="10" t="b">
        <f t="shared" si="64"/>
        <v>1</v>
      </c>
      <c r="AJ73" t="s">
        <v>4986</v>
      </c>
      <c r="AK73" t="s">
        <v>4793</v>
      </c>
      <c r="AL73">
        <v>25244.61</v>
      </c>
      <c r="AM73">
        <v>36642.129999999997</v>
      </c>
      <c r="AN73" s="10" cm="1">
        <f t="array" ref="AN73">Lair(100000000/($AM73-$AL73))</f>
        <v>8771.4297112783461</v>
      </c>
      <c r="AO73" s="10">
        <f t="shared" si="69"/>
        <v>8773.8385192568239</v>
      </c>
      <c r="AU73" s="3" cm="1">
        <f t="array" ref="AU73">$C73*EXP(poly_from_str($AO73,AU$4341))</f>
        <v>8.9772253502741233</v>
      </c>
    </row>
    <row r="74" spans="1:48" x14ac:dyDescent="0.25">
      <c r="A74" t="s">
        <v>87</v>
      </c>
      <c r="B74" s="2" t="str">
        <f t="shared" si="60"/>
        <v/>
      </c>
      <c r="C74">
        <v>5</v>
      </c>
      <c r="E74">
        <v>11407.79</v>
      </c>
      <c r="R74">
        <v>3</v>
      </c>
      <c r="S74" t="s">
        <v>22</v>
      </c>
      <c r="AA74" s="10">
        <f t="shared" si="61"/>
        <v>8763.5329999999994</v>
      </c>
      <c r="AB74" s="3">
        <f t="shared" si="62"/>
        <v>11407.79</v>
      </c>
      <c r="AC74" s="3" cm="1">
        <f t="array" ref="AC74">100000000/LvacE(AA74)</f>
        <v>11407.79008539397</v>
      </c>
      <c r="AD74" s="10">
        <f t="shared" si="63"/>
        <v>5.6508670695593873E-3</v>
      </c>
      <c r="AE74" s="10" t="b">
        <f t="shared" si="64"/>
        <v>1</v>
      </c>
      <c r="AP74"/>
      <c r="AQ74"/>
      <c r="AU74" s="3" cm="1">
        <f t="array" ref="AU74">$C74*EXP(poly_from_str(100000000/$E74,AU$4341))</f>
        <v>8.9869484405346867E-2</v>
      </c>
    </row>
    <row r="75" spans="1:48" x14ac:dyDescent="0.25">
      <c r="A75" t="s">
        <v>88</v>
      </c>
      <c r="B75" s="2" t="str">
        <f t="shared" si="60"/>
        <v/>
      </c>
      <c r="C75">
        <v>5</v>
      </c>
      <c r="E75">
        <v>11429.23</v>
      </c>
      <c r="R75">
        <v>3</v>
      </c>
      <c r="S75" t="s">
        <v>22</v>
      </c>
      <c r="AA75" s="10">
        <f t="shared" si="61"/>
        <v>8747.0910000000003</v>
      </c>
      <c r="AB75" s="3">
        <f t="shared" si="62"/>
        <v>11429.23</v>
      </c>
      <c r="AC75" s="3" cm="1">
        <f t="array" ref="AC75">100000000/LvacE(AA75)</f>
        <v>11429.233342152796</v>
      </c>
      <c r="AD75" s="10">
        <f t="shared" si="63"/>
        <v>5.6533162477761349E-3</v>
      </c>
      <c r="AE75" s="10" t="b">
        <f t="shared" si="64"/>
        <v>1</v>
      </c>
      <c r="AP75"/>
      <c r="AQ75"/>
      <c r="AU75" s="3" cm="1">
        <f t="array" ref="AU75">$C75*EXP(poly_from_str(100000000/$E75,AU$4341))</f>
        <v>9.0064156541029977E-2</v>
      </c>
    </row>
    <row r="76" spans="1:48" x14ac:dyDescent="0.25">
      <c r="A76" t="s">
        <v>89</v>
      </c>
      <c r="B76" s="2" t="str">
        <f t="shared" si="60"/>
        <v/>
      </c>
      <c r="C76">
        <v>5</v>
      </c>
      <c r="E76">
        <v>11439.05</v>
      </c>
      <c r="R76">
        <v>3</v>
      </c>
      <c r="S76" t="s">
        <v>22</v>
      </c>
      <c r="AA76" s="10">
        <f t="shared" si="61"/>
        <v>8739.5869999999995</v>
      </c>
      <c r="AB76" s="3">
        <f t="shared" si="62"/>
        <v>11439.05</v>
      </c>
      <c r="AC76" s="3" cm="1">
        <f t="array" ref="AC76">100000000/LvacE(AA76)</f>
        <v>11439.046690972282</v>
      </c>
      <c r="AD76" s="10">
        <f t="shared" si="63"/>
        <v>5.6544386302792276E-3</v>
      </c>
      <c r="AE76" s="10" t="b">
        <f t="shared" si="64"/>
        <v>1</v>
      </c>
      <c r="AP76"/>
      <c r="AQ76"/>
      <c r="AU76" s="3" cm="1">
        <f t="array" ref="AU76">$C76*EXP(poly_from_str(100000000/$E76,AU$4341))</f>
        <v>9.0149608961620692E-2</v>
      </c>
    </row>
    <row r="77" spans="1:48" x14ac:dyDescent="0.25">
      <c r="A77" t="s">
        <v>90</v>
      </c>
      <c r="B77" s="2" t="str">
        <f t="shared" si="60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70">$G77&amp;""</f>
        <v>o</v>
      </c>
      <c r="N77" t="str">
        <f t="shared" ref="N77:N79" si="71">$H77&amp;""</f>
        <v>11/2</v>
      </c>
      <c r="O77">
        <v>35828.46</v>
      </c>
      <c r="P77" t="str">
        <f t="shared" ref="P77:P79" si="72">$J77&amp;""</f>
        <v>e</v>
      </c>
      <c r="Q77" t="str">
        <f t="shared" ref="Q77:Q79" si="73">$K77&amp;""</f>
        <v>9/2</v>
      </c>
      <c r="R77">
        <v>3</v>
      </c>
      <c r="AA77" s="10">
        <f t="shared" si="61"/>
        <v>8715.643</v>
      </c>
      <c r="AB77" s="3">
        <f t="shared" si="62"/>
        <v>11470.47</v>
      </c>
      <c r="AC77" s="3" cm="1">
        <f t="array" ref="AC77">100000000/LvacE(AA77)</f>
        <v>11470.472416771596</v>
      </c>
      <c r="AD77" s="10">
        <f t="shared" si="63"/>
        <v>5.6580393676503044E-3</v>
      </c>
      <c r="AE77" s="10" t="b">
        <f t="shared" si="64"/>
        <v>1</v>
      </c>
      <c r="AJ77" t="s">
        <v>4987</v>
      </c>
      <c r="AK77" t="s">
        <v>4773</v>
      </c>
      <c r="AL77">
        <v>24357.98</v>
      </c>
      <c r="AM77">
        <v>35828.46</v>
      </c>
      <c r="AN77" s="10" cm="1">
        <f t="array" ref="AN77">Lair(100000000/($AM77-$AL77))</f>
        <v>8715.6372662295253</v>
      </c>
      <c r="AO77" s="10">
        <f t="shared" ref="AO77:AO79" si="74">100000000/($AM77-$AL77)</f>
        <v>8718.030980394893</v>
      </c>
      <c r="AP77" s="12">
        <v>529000</v>
      </c>
      <c r="AQ77" s="3">
        <v>8.3000000000000004E-2</v>
      </c>
      <c r="AR77" s="3">
        <f>LN(AU77*100000000/($AM77-$AL77)/AP77)</f>
        <v>-6.5090210361500898</v>
      </c>
      <c r="AS77" s="13">
        <f>EXP(AR$4341*$AM77+AR$4342)*$AP77/(100000000/($AM77-$AL77))</f>
        <v>0.36458362207850803</v>
      </c>
      <c r="AT77" s="3">
        <f>LN(AS77/$C77)</f>
        <v>-2.6184372504260716</v>
      </c>
      <c r="AU77" s="3" cm="1">
        <f t="array" ref="AU77">$C77*EXP(poly_from_str($AO77,AU$4341))</f>
        <v>9.0407684314799258E-2</v>
      </c>
      <c r="AV77" s="13">
        <f>LN(AS77/AU77)</f>
        <v>1.3944266737223336</v>
      </c>
    </row>
    <row r="78" spans="1:48" x14ac:dyDescent="0.25">
      <c r="A78" t="s">
        <v>92</v>
      </c>
      <c r="B78" s="2" t="str">
        <f t="shared" si="60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70"/>
        <v>o</v>
      </c>
      <c r="N78" t="str">
        <f t="shared" si="71"/>
        <v>5/2</v>
      </c>
      <c r="O78">
        <v>21611.19</v>
      </c>
      <c r="P78" t="str">
        <f t="shared" si="72"/>
        <v>e</v>
      </c>
      <c r="Q78" t="str">
        <f t="shared" si="73"/>
        <v>5/2</v>
      </c>
      <c r="R78">
        <v>3</v>
      </c>
      <c r="AA78" s="10">
        <f t="shared" si="61"/>
        <v>8713.7189999999991</v>
      </c>
      <c r="AB78" s="3">
        <f t="shared" si="62"/>
        <v>11473</v>
      </c>
      <c r="AC78" s="3" cm="1">
        <f t="array" ref="AC78">100000000/LvacE(AA78)</f>
        <v>11473.005100918284</v>
      </c>
      <c r="AD78" s="10">
        <f t="shared" si="63"/>
        <v>5.6583299909555435E-3</v>
      </c>
      <c r="AE78" s="10" t="b">
        <f t="shared" si="64"/>
        <v>1</v>
      </c>
      <c r="AJ78" t="s">
        <v>4715</v>
      </c>
      <c r="AK78" t="s">
        <v>4796</v>
      </c>
      <c r="AL78">
        <v>10138.18</v>
      </c>
      <c r="AM78">
        <v>21611.19</v>
      </c>
      <c r="AN78" s="10" cm="1">
        <f t="array" ref="AN78">Lair(100000000/($AM78-$AL78))</f>
        <v>8713.7153073696591</v>
      </c>
      <c r="AO78" s="10">
        <f t="shared" si="74"/>
        <v>8716.1085016050729</v>
      </c>
      <c r="AU78" s="3" cm="1">
        <f t="array" ref="AU78">$C78*EXP(poly_from_str($AO78,AU$4341))</f>
        <v>0.81384702878913784</v>
      </c>
    </row>
    <row r="79" spans="1:48" x14ac:dyDescent="0.25">
      <c r="A79" t="s">
        <v>93</v>
      </c>
      <c r="B79" s="2" t="str">
        <f t="shared" si="60"/>
        <v/>
      </c>
      <c r="C79">
        <v>5</v>
      </c>
      <c r="D79" t="s">
        <v>91</v>
      </c>
      <c r="E79">
        <v>11476.09</v>
      </c>
      <c r="F79">
        <v>17409</v>
      </c>
      <c r="G79" t="s">
        <v>3</v>
      </c>
      <c r="H79" s="5" t="s">
        <v>16</v>
      </c>
      <c r="I79">
        <v>28885</v>
      </c>
      <c r="J79" t="s">
        <v>5</v>
      </c>
      <c r="K79" s="5" t="s">
        <v>4</v>
      </c>
      <c r="L79">
        <v>17409.580000000002</v>
      </c>
      <c r="M79" t="str">
        <f t="shared" si="70"/>
        <v>o</v>
      </c>
      <c r="N79" t="str">
        <f t="shared" si="71"/>
        <v>11/2</v>
      </c>
      <c r="O79">
        <v>28885.14</v>
      </c>
      <c r="P79" t="str">
        <f t="shared" si="72"/>
        <v>e</v>
      </c>
      <c r="Q79" t="str">
        <f t="shared" si="73"/>
        <v>9/2</v>
      </c>
      <c r="R79">
        <v>3</v>
      </c>
      <c r="AA79" s="10">
        <f t="shared" si="61"/>
        <v>8711.375</v>
      </c>
      <c r="AB79" s="3">
        <f t="shared" si="62"/>
        <v>11476.09</v>
      </c>
      <c r="AC79" s="3" cm="1">
        <f t="array" ref="AC79">100000000/LvacE(AA79)</f>
        <v>11476.09216961385</v>
      </c>
      <c r="AD79" s="10">
        <f t="shared" si="63"/>
        <v>5.6586843161736148E-3</v>
      </c>
      <c r="AE79" s="10" t="b">
        <f t="shared" si="64"/>
        <v>1</v>
      </c>
      <c r="AJ79" t="s">
        <v>4980</v>
      </c>
      <c r="AK79" t="s">
        <v>4742</v>
      </c>
      <c r="AL79">
        <v>17409.580000000002</v>
      </c>
      <c r="AM79">
        <v>28885.14</v>
      </c>
      <c r="AN79" s="10" cm="1">
        <f t="array" ref="AN79">Lair(100000000/($AM79-$AL79))</f>
        <v>8711.7790126956588</v>
      </c>
      <c r="AO79" s="10">
        <f t="shared" si="74"/>
        <v>8714.1716831248341</v>
      </c>
      <c r="AP79" s="12">
        <v>259000</v>
      </c>
      <c r="AQ79" s="3">
        <v>0.45</v>
      </c>
      <c r="AR79" s="3">
        <f>LN(AU79*100000000/($AM79-$AL79)/AP79)</f>
        <v>-5.7948662768724715</v>
      </c>
      <c r="AS79" s="13">
        <f>EXP(AR$4341*$AM79+AR$4342)*$AP79/(100000000/($AM79-$AL79))</f>
        <v>0.30069967753141857</v>
      </c>
      <c r="AT79" s="3">
        <f>LN(AS79/$C79)</f>
        <v>-2.8110811738153503</v>
      </c>
      <c r="AU79" s="3" cm="1">
        <f t="array" ref="AU79">$C79*EXP(poly_from_str($AO79,AU$4341))</f>
        <v>9.0447216216025805E-2</v>
      </c>
      <c r="AV79" s="13">
        <f>LN(AS79/AU79)</f>
        <v>1.2013455832810138</v>
      </c>
    </row>
    <row r="80" spans="1:48" x14ac:dyDescent="0.25">
      <c r="A80" t="s">
        <v>94</v>
      </c>
      <c r="B80" s="2" t="str">
        <f t="shared" si="60"/>
        <v/>
      </c>
      <c r="C80" s="4">
        <v>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4666</v>
      </c>
      <c r="V80">
        <f>$O81-$L81</f>
        <v>11477.73</v>
      </c>
      <c r="W80">
        <f>$E80-V80</f>
        <v>-5.9999999999490683E-2</v>
      </c>
      <c r="AA80" s="10">
        <f t="shared" si="61"/>
        <v>8710.1779999999999</v>
      </c>
      <c r="AB80" s="3">
        <f t="shared" si="62"/>
        <v>11477.67</v>
      </c>
      <c r="AC80" s="3" cm="1">
        <f t="array" ref="AC80">100000000/LvacE(AA80)</f>
        <v>11477.669270065731</v>
      </c>
      <c r="AD80" s="10">
        <f t="shared" si="63"/>
        <v>5.6588653681971671E-3</v>
      </c>
      <c r="AE80" s="10" t="b">
        <f t="shared" si="64"/>
        <v>1</v>
      </c>
      <c r="AP80"/>
      <c r="AQ80"/>
      <c r="AU80" s="3" cm="1">
        <f t="array" ref="AU80">$C80*EXP(poly_from_str(100000000/$E80,AU$4341))</f>
        <v>0</v>
      </c>
    </row>
    <row r="81" spans="1:48" x14ac:dyDescent="0.25">
      <c r="A81" t="s">
        <v>96</v>
      </c>
      <c r="B81" s="2" t="str">
        <f t="shared" si="60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4667</v>
      </c>
      <c r="V81">
        <f>$O81-$L81</f>
        <v>11477.73</v>
      </c>
      <c r="W81">
        <f>$E81-V81</f>
        <v>4.0000000000873115E-2</v>
      </c>
      <c r="AA81" s="10">
        <f t="shared" si="61"/>
        <v>8710.0990000000002</v>
      </c>
      <c r="AB81" s="3">
        <f t="shared" si="62"/>
        <v>11477.77</v>
      </c>
      <c r="AC81" s="3" cm="1">
        <f t="array" ref="AC81">100000000/LvacE(AA81)</f>
        <v>11477.773371308618</v>
      </c>
      <c r="AD81" s="10">
        <f t="shared" si="63"/>
        <v>5.6588773199540334E-3</v>
      </c>
      <c r="AE81" s="10" t="b">
        <f t="shared" si="64"/>
        <v>1</v>
      </c>
      <c r="AJ81" t="s">
        <v>4967</v>
      </c>
      <c r="AK81" t="s">
        <v>4800</v>
      </c>
      <c r="AL81">
        <v>9370.66</v>
      </c>
      <c r="AM81">
        <v>20848.39</v>
      </c>
      <c r="AN81" s="10" cm="1">
        <f t="array" ref="AN81">Lair(100000000/($AM81-$AL81))</f>
        <v>8710.1319414987975</v>
      </c>
      <c r="AO81" s="10">
        <f>100000000/($AM81-$AL81)</f>
        <v>8712.5241663639063</v>
      </c>
      <c r="AU81" s="3" cm="1">
        <f t="array" ref="AU81">$C81*EXP(poly_from_str($AO81,AU$4341))</f>
        <v>0.72371135778567819</v>
      </c>
    </row>
    <row r="82" spans="1:48" x14ac:dyDescent="0.25">
      <c r="A82" t="s">
        <v>98</v>
      </c>
      <c r="B82" s="2" t="str">
        <f t="shared" si="60"/>
        <v/>
      </c>
      <c r="C82">
        <v>5</v>
      </c>
      <c r="E82">
        <v>11488.46</v>
      </c>
      <c r="R82">
        <v>3</v>
      </c>
      <c r="S82" t="s">
        <v>22</v>
      </c>
      <c r="AA82" s="10">
        <f t="shared" si="61"/>
        <v>8701.9950000000008</v>
      </c>
      <c r="AB82" s="3">
        <f t="shared" si="62"/>
        <v>11488.46</v>
      </c>
      <c r="AC82" s="3" cm="1">
        <f t="array" ref="AC82">100000000/LvacE(AA82)</f>
        <v>11488.462355974014</v>
      </c>
      <c r="AD82" s="10">
        <f t="shared" si="63"/>
        <v>5.660105088314462E-3</v>
      </c>
      <c r="AE82" s="10" t="b">
        <f t="shared" si="64"/>
        <v>1</v>
      </c>
      <c r="AP82"/>
      <c r="AQ82"/>
      <c r="AU82" s="3" cm="1">
        <f t="array" ref="AU82">$C82*EXP(poly_from_str(100000000/$E82,AU$4341))</f>
        <v>9.0544909470846105E-2</v>
      </c>
    </row>
    <row r="83" spans="1:48" x14ac:dyDescent="0.25">
      <c r="A83" t="s">
        <v>99</v>
      </c>
      <c r="B83" s="2" t="str">
        <f t="shared" si="60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AA83" s="10">
        <f t="shared" si="61"/>
        <v>8691.5810000000001</v>
      </c>
      <c r="AB83" s="3">
        <f t="shared" si="62"/>
        <v>11502.23</v>
      </c>
      <c r="AC83" s="3" cm="1">
        <f t="array" ref="AC83">100000000/LvacE(AA83)</f>
        <v>11502.227441007892</v>
      </c>
      <c r="AD83" s="10">
        <f t="shared" si="63"/>
        <v>5.6616878701934601E-3</v>
      </c>
      <c r="AE83" s="10" t="b">
        <f t="shared" si="64"/>
        <v>1</v>
      </c>
      <c r="AJ83" t="s">
        <v>4812</v>
      </c>
      <c r="AK83" t="s">
        <v>4798</v>
      </c>
      <c r="AL83">
        <v>10032.92</v>
      </c>
      <c r="AM83">
        <v>21535.17</v>
      </c>
      <c r="AN83" s="10" cm="1">
        <f t="array" ref="AN83">Lair(100000000/($AM83-$AL83))</f>
        <v>8691.563981491694</v>
      </c>
      <c r="AO83" s="10">
        <f>100000000/($AM83-$AL83)</f>
        <v>8693.9511834641071</v>
      </c>
      <c r="AP83" s="12">
        <v>5520000</v>
      </c>
      <c r="AQ83" s="3">
        <v>0.41099999999999998</v>
      </c>
      <c r="AR83" s="3">
        <f>LN(AU83*100000000/($AM83-$AL83)/AP83)</f>
        <v>-4.2491387920131247</v>
      </c>
      <c r="AS83" s="13">
        <f>EXP(AR$4341*$AM83+AR$4342)*$AP83/(100000000/($AM83-$AL83))</f>
        <v>11.151526137300877</v>
      </c>
      <c r="AT83" s="3">
        <f>LN(AS83/$C83)</f>
        <v>-3.8030317365818322</v>
      </c>
      <c r="AU83" s="3" cm="1">
        <f t="array" ref="AU83">$C83*EXP(poly_from_str($AO83,AU$4341))</f>
        <v>9.0645103714986544</v>
      </c>
      <c r="AV83" s="13">
        <f>LN(AS83/AU83)</f>
        <v>0.20720953216470783</v>
      </c>
    </row>
    <row r="84" spans="1:48" x14ac:dyDescent="0.25">
      <c r="A84" t="s">
        <v>100</v>
      </c>
      <c r="B84" s="2" t="str">
        <f t="shared" si="60"/>
        <v/>
      </c>
      <c r="C84">
        <v>5</v>
      </c>
      <c r="E84">
        <v>11511.39</v>
      </c>
      <c r="R84">
        <v>3</v>
      </c>
      <c r="S84" t="s">
        <v>22</v>
      </c>
      <c r="AA84" s="10">
        <f t="shared" si="61"/>
        <v>8684.6589999999997</v>
      </c>
      <c r="AB84" s="3">
        <f t="shared" si="62"/>
        <v>11511.39</v>
      </c>
      <c r="AC84" s="3" cm="1">
        <f t="array" ref="AC84">100000000/LvacE(AA84)</f>
        <v>11511.395111038453</v>
      </c>
      <c r="AD84" s="10">
        <f t="shared" si="63"/>
        <v>5.6627430686131981E-3</v>
      </c>
      <c r="AE84" s="10" t="b">
        <f t="shared" si="64"/>
        <v>1</v>
      </c>
      <c r="AP84"/>
      <c r="AQ84"/>
      <c r="AU84" s="3" cm="1">
        <f t="array" ref="AU84">$C84*EXP(poly_from_str(100000000/$E84,AU$4341))</f>
        <v>9.0709120147471095E-2</v>
      </c>
    </row>
    <row r="85" spans="1:48" x14ac:dyDescent="0.25">
      <c r="A85" t="s">
        <v>101</v>
      </c>
      <c r="B85" s="2" t="str">
        <f t="shared" si="60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61"/>
        <v>8682.848</v>
      </c>
      <c r="AB85" s="3">
        <f t="shared" si="62"/>
        <v>11513.8</v>
      </c>
      <c r="AC85" s="3" cm="1">
        <f t="array" ref="AC85">100000000/LvacE(AA85)</f>
        <v>11513.796057133048</v>
      </c>
      <c r="AD85" s="10">
        <f t="shared" si="63"/>
        <v>5.6630195563214421E-3</v>
      </c>
      <c r="AE85" s="10" t="b">
        <f t="shared" si="64"/>
        <v>1</v>
      </c>
      <c r="AP85"/>
      <c r="AQ85"/>
      <c r="AU85" s="3" cm="1">
        <f t="array" ref="AU85">$C85*EXP(poly_from_str(100000000/$E85,AU$4341))</f>
        <v>9.0725684038733073E-2</v>
      </c>
    </row>
    <row r="86" spans="1:48" x14ac:dyDescent="0.25">
      <c r="A86" t="s">
        <v>102</v>
      </c>
      <c r="B86" s="2" t="str">
        <f t="shared" si="60"/>
        <v/>
      </c>
      <c r="C86">
        <v>5</v>
      </c>
      <c r="E86">
        <v>11516.44</v>
      </c>
      <c r="R86">
        <v>3</v>
      </c>
      <c r="S86" t="s">
        <v>22</v>
      </c>
      <c r="AA86" s="10">
        <f t="shared" si="61"/>
        <v>8680.8559999999998</v>
      </c>
      <c r="AB86" s="3">
        <f t="shared" si="62"/>
        <v>11516.44</v>
      </c>
      <c r="AC86" s="3" cm="1">
        <f t="array" ref="AC86">100000000/LvacE(AA86)</f>
        <v>11516.438122210669</v>
      </c>
      <c r="AD86" s="10">
        <f t="shared" si="63"/>
        <v>5.6633238774039495E-3</v>
      </c>
      <c r="AE86" s="10" t="b">
        <f t="shared" si="64"/>
        <v>1</v>
      </c>
      <c r="AP86"/>
      <c r="AQ86"/>
      <c r="AU86" s="3" cm="1">
        <f t="array" ref="AU86">$C86*EXP(poly_from_str(100000000/$E86,AU$4341))</f>
        <v>9.0743678038424022E-2</v>
      </c>
    </row>
    <row r="87" spans="1:48" x14ac:dyDescent="0.25">
      <c r="A87" t="s">
        <v>103</v>
      </c>
      <c r="B87" s="2" t="str">
        <f t="shared" si="60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75">$G87&amp;""</f>
        <v>o</v>
      </c>
      <c r="N87" t="str">
        <f t="shared" ref="N87:N88" si="76">$H87&amp;""</f>
        <v>7/2</v>
      </c>
      <c r="O87">
        <v>25409.74</v>
      </c>
      <c r="P87" t="str">
        <f t="shared" ref="P87:P88" si="77">$J87&amp;""</f>
        <v>e</v>
      </c>
      <c r="Q87" t="str">
        <f t="shared" ref="Q87:Q88" si="78">$K87&amp;""</f>
        <v>7/2</v>
      </c>
      <c r="R87">
        <v>3</v>
      </c>
      <c r="AA87" s="10">
        <f t="shared" si="61"/>
        <v>8676.5630000000001</v>
      </c>
      <c r="AB87" s="3">
        <f t="shared" si="62"/>
        <v>11522.14</v>
      </c>
      <c r="AC87" s="3" cm="1">
        <f t="array" ref="AC87">100000000/LvacE(AA87)</f>
        <v>11522.136215260385</v>
      </c>
      <c r="AD87" s="10">
        <f t="shared" si="63"/>
        <v>5.6639804387555526E-3</v>
      </c>
      <c r="AE87" s="10" t="b">
        <f t="shared" si="64"/>
        <v>1</v>
      </c>
      <c r="AJ87" t="s">
        <v>4818</v>
      </c>
      <c r="AK87" t="s">
        <v>4720</v>
      </c>
      <c r="AL87">
        <v>13887.6</v>
      </c>
      <c r="AM87">
        <v>25409.74</v>
      </c>
      <c r="AN87" s="10" cm="1">
        <f t="array" ref="AN87">Lair(100000000/($AM87-$AL87))</f>
        <v>8676.5601779329827</v>
      </c>
      <c r="AO87" s="10">
        <f t="shared" ref="AO87:AO88" si="79">100000000/($AM87-$AL87)</f>
        <v>8678.9433212927452</v>
      </c>
      <c r="AP87" s="12">
        <v>741000</v>
      </c>
      <c r="AQ87" s="3">
        <v>7.8E-2</v>
      </c>
      <c r="AR87" s="3">
        <f>LN(AU87*100000000/($AM87-$AL87)/AP87)</f>
        <v>-4.7669536288835745</v>
      </c>
      <c r="AS87" s="13">
        <f>EXP(AR$4341*$AM87+AR$4342)*$AP87/(100000000/($AM87-$AL87))</f>
        <v>1.1211978883482772</v>
      </c>
      <c r="AT87" s="3">
        <f>LN(AS87/$C87)</f>
        <v>-3.5744817971926248</v>
      </c>
      <c r="AU87" s="3" cm="1">
        <f t="array" ref="AU87">$C87*EXP(poly_from_str($AO87,AU$4341))</f>
        <v>0.72625594303344299</v>
      </c>
      <c r="AV87" s="13">
        <f>LN(AS87/AU87)</f>
        <v>0.43425044459223067</v>
      </c>
    </row>
    <row r="88" spans="1:48" x14ac:dyDescent="0.25">
      <c r="A88" t="s">
        <v>104</v>
      </c>
      <c r="B88" s="2" t="str">
        <f t="shared" si="60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75"/>
        <v>o</v>
      </c>
      <c r="N88" t="str">
        <f t="shared" si="76"/>
        <v>5/2</v>
      </c>
      <c r="O88">
        <v>39120.49</v>
      </c>
      <c r="P88" t="str">
        <f t="shared" si="77"/>
        <v>e</v>
      </c>
      <c r="Q88" t="str">
        <f t="shared" si="78"/>
        <v>3/2</v>
      </c>
      <c r="R88">
        <v>3</v>
      </c>
      <c r="AA88" s="10">
        <f t="shared" si="61"/>
        <v>8675.6419999999998</v>
      </c>
      <c r="AB88" s="3">
        <f t="shared" si="62"/>
        <v>11523.36</v>
      </c>
      <c r="AC88" s="3" cm="1">
        <f t="array" ref="AC88">100000000/LvacE(AA88)</f>
        <v>11523.359391979733</v>
      </c>
      <c r="AD88" s="10">
        <f t="shared" si="63"/>
        <v>5.6641214213299564E-3</v>
      </c>
      <c r="AE88" s="10" t="b">
        <f t="shared" si="64"/>
        <v>1</v>
      </c>
      <c r="AJ88" t="s">
        <v>4991</v>
      </c>
      <c r="AK88" t="s">
        <v>4733</v>
      </c>
      <c r="AL88">
        <v>27597.13</v>
      </c>
      <c r="AM88">
        <v>39120.400000000001</v>
      </c>
      <c r="AN88" s="10" cm="1">
        <f t="array" ref="AN88">Lair(100000000/($AM88-$AL88))</f>
        <v>8675.7093297097344</v>
      </c>
      <c r="AO88" s="10">
        <f t="shared" si="79"/>
        <v>8678.0922429136863</v>
      </c>
      <c r="AU88" s="3" cm="1">
        <f t="array" ref="AU88">$C88*EXP(poly_from_str($AO88,AU$4341))</f>
        <v>0.18157900367733959</v>
      </c>
    </row>
    <row r="89" spans="1:48" x14ac:dyDescent="0.25">
      <c r="A89" t="s">
        <v>105</v>
      </c>
      <c r="B89" s="2" t="str">
        <f t="shared" si="60"/>
        <v/>
      </c>
      <c r="C89">
        <v>35</v>
      </c>
      <c r="E89">
        <v>11531.21</v>
      </c>
      <c r="R89">
        <v>3</v>
      </c>
      <c r="S89" t="s">
        <v>22</v>
      </c>
      <c r="AA89" s="10">
        <f t="shared" si="61"/>
        <v>8669.7330000000002</v>
      </c>
      <c r="AB89" s="3">
        <f t="shared" si="62"/>
        <v>11531.21</v>
      </c>
      <c r="AC89" s="3" cm="1">
        <f t="array" ref="AC89">100000000/LvacE(AA89)</f>
        <v>11531.213295571335</v>
      </c>
      <c r="AD89" s="10">
        <f t="shared" si="63"/>
        <v>5.6650270138406417E-3</v>
      </c>
      <c r="AE89" s="10" t="b">
        <f t="shared" si="64"/>
        <v>1</v>
      </c>
      <c r="AP89"/>
      <c r="AQ89"/>
      <c r="AU89" s="3" cm="1">
        <f t="array" ref="AU89">$C89*EXP(poly_from_str(100000000/$E89,AU$4341))</f>
        <v>0.63589019926258983</v>
      </c>
    </row>
    <row r="90" spans="1:48" x14ac:dyDescent="0.25">
      <c r="A90" t="s">
        <v>106</v>
      </c>
      <c r="B90" s="2" t="str">
        <f t="shared" si="60"/>
        <v/>
      </c>
      <c r="C90">
        <v>5</v>
      </c>
      <c r="E90">
        <v>11558.89</v>
      </c>
      <c r="R90">
        <v>3</v>
      </c>
      <c r="S90" t="s">
        <v>22</v>
      </c>
      <c r="AA90" s="10">
        <f t="shared" si="61"/>
        <v>8648.9719999999998</v>
      </c>
      <c r="AB90" s="3">
        <f t="shared" si="62"/>
        <v>11558.89</v>
      </c>
      <c r="AC90" s="3" cm="1">
        <f t="array" ref="AC90">100000000/LvacE(AA90)</f>
        <v>11558.892714406054</v>
      </c>
      <c r="AD90" s="10">
        <f t="shared" si="63"/>
        <v>5.6682235018454246E-3</v>
      </c>
      <c r="AE90" s="10" t="b">
        <f t="shared" si="64"/>
        <v>1</v>
      </c>
      <c r="AP90"/>
      <c r="AQ90"/>
      <c r="AU90" s="3" cm="1">
        <f t="array" ref="AU90">$C90*EXP(poly_from_str(100000000/$E90,AU$4341))</f>
        <v>9.1011633835867897E-2</v>
      </c>
    </row>
    <row r="91" spans="1:48" x14ac:dyDescent="0.25">
      <c r="A91" t="s">
        <v>107</v>
      </c>
      <c r="B91" s="2" t="str">
        <f t="shared" si="60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61"/>
        <v>8646.1409999999996</v>
      </c>
      <c r="AB91" s="3">
        <f t="shared" si="62"/>
        <v>11562.68</v>
      </c>
      <c r="AC91" s="3" cm="1">
        <f t="array" ref="AC91">100000000/LvacE(AA91)</f>
        <v>11562.677418847336</v>
      </c>
      <c r="AD91" s="10">
        <f t="shared" si="63"/>
        <v>5.66866116449219E-3</v>
      </c>
      <c r="AE91" s="10" t="b">
        <f t="shared" si="64"/>
        <v>1</v>
      </c>
      <c r="AP91"/>
      <c r="AQ91"/>
      <c r="AU91" s="3" cm="1">
        <f t="array" ref="AU91">$C91*EXP(poly_from_str(100000000/$E91,AU$4341))</f>
        <v>9.1033623438481912E-2</v>
      </c>
    </row>
    <row r="92" spans="1:48" x14ac:dyDescent="0.25">
      <c r="A92" t="s">
        <v>108</v>
      </c>
      <c r="B92" s="2" t="str">
        <f t="shared" si="60"/>
        <v/>
      </c>
      <c r="C92">
        <v>5</v>
      </c>
      <c r="E92">
        <v>11593.96</v>
      </c>
      <c r="R92">
        <v>3</v>
      </c>
      <c r="S92" t="s">
        <v>22</v>
      </c>
      <c r="AA92" s="10">
        <f t="shared" si="61"/>
        <v>8622.81</v>
      </c>
      <c r="AB92" s="3">
        <f t="shared" si="62"/>
        <v>11593.96</v>
      </c>
      <c r="AC92" s="3" cm="1">
        <f t="array" ref="AC92">100000000/LvacE(AA92)</f>
        <v>11593.962776209468</v>
      </c>
      <c r="AD92" s="10">
        <f t="shared" si="63"/>
        <v>5.6722844859279902E-3</v>
      </c>
      <c r="AE92" s="10" t="b">
        <f t="shared" si="64"/>
        <v>1</v>
      </c>
      <c r="AP92"/>
      <c r="AQ92"/>
      <c r="AU92" s="3" cm="1">
        <f t="array" ref="AU92">$C92*EXP(poly_from_str(100000000/$E92,AU$4341))</f>
        <v>9.1203234854812937E-2</v>
      </c>
    </row>
    <row r="93" spans="1:48" x14ac:dyDescent="0.25">
      <c r="A93" t="s">
        <v>109</v>
      </c>
      <c r="B93" s="2" t="str">
        <f t="shared" si="60"/>
        <v/>
      </c>
      <c r="C93">
        <v>10</v>
      </c>
      <c r="E93">
        <v>11618.41</v>
      </c>
      <c r="R93">
        <v>3</v>
      </c>
      <c r="S93" t="s">
        <v>22</v>
      </c>
      <c r="AA93" s="10">
        <f t="shared" si="61"/>
        <v>8604.6659999999993</v>
      </c>
      <c r="AB93" s="3">
        <f t="shared" si="62"/>
        <v>11618.41</v>
      </c>
      <c r="AC93" s="3" cm="1">
        <f t="array" ref="AC93">100000000/LvacE(AA93)</f>
        <v>11618.409974021792</v>
      </c>
      <c r="AD93" s="10">
        <f t="shared" si="63"/>
        <v>5.6751226586843574E-3</v>
      </c>
      <c r="AE93" s="10" t="b">
        <f t="shared" si="64"/>
        <v>1</v>
      </c>
      <c r="AP93"/>
      <c r="AQ93"/>
      <c r="AU93" s="3" cm="1">
        <f t="array" ref="AU93">$C93*EXP(poly_from_str(100000000/$E93,AU$4341))</f>
        <v>0.18264255203073024</v>
      </c>
    </row>
    <row r="94" spans="1:48" x14ac:dyDescent="0.25">
      <c r="A94" t="s">
        <v>110</v>
      </c>
      <c r="B94" s="2" t="str">
        <f t="shared" si="60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61"/>
        <v>8602.7369999999992</v>
      </c>
      <c r="AB94" s="3">
        <f t="shared" si="62"/>
        <v>11621.01</v>
      </c>
      <c r="AC94" s="3" cm="1">
        <f t="array" ref="AC94">100000000/LvacE(AA94)</f>
        <v>11621.015170252917</v>
      </c>
      <c r="AD94" s="10">
        <f t="shared" si="63"/>
        <v>5.6754254587960155E-3</v>
      </c>
      <c r="AE94" s="10" t="b">
        <f t="shared" si="64"/>
        <v>1</v>
      </c>
      <c r="AJ94" t="s">
        <v>4978</v>
      </c>
      <c r="AK94" t="s">
        <v>4699</v>
      </c>
      <c r="AL94">
        <v>17642.060000000001</v>
      </c>
      <c r="AM94">
        <v>29263.08</v>
      </c>
      <c r="AN94" s="10" cm="1">
        <f t="array" ref="AN94">Lair(100000000/($AM94-$AL94))</f>
        <v>8602.7334521510729</v>
      </c>
      <c r="AO94" s="10">
        <f>100000000/($AM94-$AL94)</f>
        <v>8605.0966266300202</v>
      </c>
      <c r="AU94" s="3" cm="1">
        <f t="array" ref="AU94">$C94*EXP(poly_from_str($AO94,AU$4341))</f>
        <v>91.333134132295854</v>
      </c>
    </row>
    <row r="95" spans="1:48" x14ac:dyDescent="0.25">
      <c r="A95" t="s">
        <v>111</v>
      </c>
      <c r="B95" s="2" t="str">
        <f t="shared" si="60"/>
        <v/>
      </c>
      <c r="C95">
        <v>20</v>
      </c>
      <c r="E95">
        <v>11625.22</v>
      </c>
      <c r="R95">
        <v>3</v>
      </c>
      <c r="S95" t="s">
        <v>22</v>
      </c>
      <c r="AA95" s="10">
        <f t="shared" si="61"/>
        <v>8599.625</v>
      </c>
      <c r="AB95" s="3">
        <f t="shared" si="62"/>
        <v>11625.22</v>
      </c>
      <c r="AC95" s="3" cm="1">
        <f t="array" ref="AC95">100000000/LvacE(AA95)</f>
        <v>11625.220521775374</v>
      </c>
      <c r="AD95" s="10">
        <f t="shared" si="63"/>
        <v>5.6759143870677717E-3</v>
      </c>
      <c r="AE95" s="10" t="b">
        <f t="shared" si="64"/>
        <v>1</v>
      </c>
      <c r="AP95"/>
      <c r="AQ95"/>
      <c r="AU95" s="3" cm="1">
        <f t="array" ref="AU95">$C95*EXP(poly_from_str(100000000/$E95,AU$4341))</f>
        <v>0.36540767101021643</v>
      </c>
    </row>
    <row r="96" spans="1:48" x14ac:dyDescent="0.25">
      <c r="A96" t="s">
        <v>112</v>
      </c>
      <c r="B96" s="2" t="str">
        <f t="shared" si="60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80">$G96&amp;""</f>
        <v>o</v>
      </c>
      <c r="N96" t="str">
        <f t="shared" ref="N96:N97" si="81">$H96&amp;""</f>
        <v>3/2</v>
      </c>
      <c r="O96">
        <v>38549.9</v>
      </c>
      <c r="P96" t="str">
        <f t="shared" ref="P96:P97" si="82">$J96&amp;""</f>
        <v>e</v>
      </c>
      <c r="Q96" t="str">
        <f t="shared" ref="Q96:Q97" si="83">$K96&amp;""</f>
        <v>1/2</v>
      </c>
      <c r="R96">
        <v>3</v>
      </c>
      <c r="AA96" s="10">
        <f t="shared" si="61"/>
        <v>8597.2669999999998</v>
      </c>
      <c r="AB96" s="3">
        <f t="shared" si="62"/>
        <v>11628.41</v>
      </c>
      <c r="AC96" s="3" cm="1">
        <f t="array" ref="AC96">100000000/LvacE(AA96)</f>
        <v>11628.408994792933</v>
      </c>
      <c r="AD96" s="10">
        <f t="shared" si="63"/>
        <v>5.6762852075428697E-3</v>
      </c>
      <c r="AE96" s="10" t="b">
        <f t="shared" si="64"/>
        <v>1</v>
      </c>
      <c r="AJ96" t="s">
        <v>4981</v>
      </c>
      <c r="AK96" t="s">
        <v>4704</v>
      </c>
      <c r="AL96">
        <v>26921.49</v>
      </c>
      <c r="AM96">
        <v>38549.9</v>
      </c>
      <c r="AN96" s="10" cm="1">
        <f t="array" ref="AN96">Lair(100000000/($AM96-$AL96))</f>
        <v>8597.2662842800382</v>
      </c>
      <c r="AO96" s="10">
        <f t="shared" ref="AO96:AO97" si="84">100000000/($AM96-$AL96)</f>
        <v>8599.6279800935808</v>
      </c>
      <c r="AU96" s="3" cm="1">
        <f t="array" ref="AU96">$C96*EXP(poly_from_str($AO96,AU$4341))</f>
        <v>0.36546375606710357</v>
      </c>
    </row>
    <row r="97" spans="1:48" x14ac:dyDescent="0.25">
      <c r="A97" t="s">
        <v>114</v>
      </c>
      <c r="B97" s="2" t="str">
        <f t="shared" si="60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80"/>
        <v>o</v>
      </c>
      <c r="N97" t="str">
        <f t="shared" si="81"/>
        <v>11/2</v>
      </c>
      <c r="O97">
        <v>39732.99</v>
      </c>
      <c r="P97" t="str">
        <f t="shared" si="82"/>
        <v>e</v>
      </c>
      <c r="Q97" t="str">
        <f t="shared" si="83"/>
        <v>11/2</v>
      </c>
      <c r="R97">
        <v>3</v>
      </c>
      <c r="AA97" s="10">
        <f t="shared" si="61"/>
        <v>8595.1910000000007</v>
      </c>
      <c r="AB97" s="3">
        <f t="shared" si="62"/>
        <v>11631.22</v>
      </c>
      <c r="AC97" s="3" cm="1">
        <f t="array" ref="AC97">100000000/LvacE(AA97)</f>
        <v>11631.217597271425</v>
      </c>
      <c r="AD97" s="10">
        <f t="shared" si="63"/>
        <v>5.6766119331886529E-3</v>
      </c>
      <c r="AE97" s="10" t="b">
        <f t="shared" si="64"/>
        <v>1</v>
      </c>
      <c r="AJ97" t="s">
        <v>4778</v>
      </c>
      <c r="AK97" t="s">
        <v>4725</v>
      </c>
      <c r="AL97">
        <v>28101.77</v>
      </c>
      <c r="AM97">
        <v>39732.99</v>
      </c>
      <c r="AN97" s="10" cm="1">
        <f t="array" ref="AN97">Lair(100000000/($AM97-$AL97))</f>
        <v>8595.1892518863915</v>
      </c>
      <c r="AO97" s="10">
        <f t="shared" si="84"/>
        <v>8597.5503859440378</v>
      </c>
      <c r="AP97" s="12">
        <v>3000000</v>
      </c>
      <c r="AQ97" s="3">
        <v>0.18099999999999999</v>
      </c>
      <c r="AR97" s="3">
        <f>LN(AU97*100000000/($AM97-$AL97)/AP97)</f>
        <v>-6.0504149375113396</v>
      </c>
      <c r="AS97" s="13">
        <f>EXP(AR$4341*$AM97+AR$4342)*$AP97/(100000000/($AM97-$AL97))</f>
        <v>1.5640420938886459</v>
      </c>
      <c r="AT97" s="3">
        <f>LN(AS97/$C97)</f>
        <v>-3.3593889337583298</v>
      </c>
      <c r="AU97" s="3" cm="1">
        <f t="array" ref="AU97">$C97*EXP(poly_from_str($AO97,AU$4341))</f>
        <v>0.82240303513751223</v>
      </c>
      <c r="AV97" s="13">
        <f>LN(AS97/AU97)</f>
        <v>0.64279824971453992</v>
      </c>
    </row>
    <row r="98" spans="1:48" x14ac:dyDescent="0.25">
      <c r="A98" t="s">
        <v>115</v>
      </c>
      <c r="B98" s="2" t="str">
        <f t="shared" si="60"/>
        <v/>
      </c>
      <c r="C98">
        <v>5</v>
      </c>
      <c r="E98">
        <v>11632.82</v>
      </c>
      <c r="R98">
        <v>3</v>
      </c>
      <c r="S98" t="s">
        <v>22</v>
      </c>
      <c r="AA98" s="10">
        <f t="shared" si="61"/>
        <v>8594.01</v>
      </c>
      <c r="AB98" s="3">
        <f t="shared" si="62"/>
        <v>11632.82</v>
      </c>
      <c r="AC98" s="3" cm="1">
        <f t="array" ref="AC98">100000000/LvacE(AA98)</f>
        <v>11632.815967500972</v>
      </c>
      <c r="AD98" s="10">
        <f t="shared" si="63"/>
        <v>5.6767979073506416E-3</v>
      </c>
      <c r="AE98" s="10" t="b">
        <f t="shared" si="64"/>
        <v>1</v>
      </c>
      <c r="AP98"/>
      <c r="AQ98"/>
      <c r="AU98" s="3" cm="1">
        <f t="array" ref="AU98">$C98*EXP(poly_from_str(100000000/$E98,AU$4341))</f>
        <v>9.1384974858565712E-2</v>
      </c>
    </row>
    <row r="99" spans="1:48" x14ac:dyDescent="0.25">
      <c r="A99" t="s">
        <v>116</v>
      </c>
      <c r="B99" s="2" t="str">
        <f t="shared" si="60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61"/>
        <v>8567.6270000000004</v>
      </c>
      <c r="AB99" s="3">
        <f t="shared" si="62"/>
        <v>11668.64</v>
      </c>
      <c r="AC99" s="3" cm="1">
        <f t="array" ref="AC99">100000000/LvacE(AA99)</f>
        <v>11668.637703915583</v>
      </c>
      <c r="AD99" s="10">
        <f t="shared" si="63"/>
        <v>5.6809725554062742E-3</v>
      </c>
      <c r="AE99" s="10" t="b">
        <f t="shared" si="64"/>
        <v>1</v>
      </c>
      <c r="AJ99" t="s">
        <v>4817</v>
      </c>
      <c r="AK99" t="s">
        <v>4799</v>
      </c>
      <c r="AL99">
        <v>10859.06</v>
      </c>
      <c r="AM99">
        <v>22527.7</v>
      </c>
      <c r="AN99" s="10" cm="1">
        <f t="array" ref="AN99">Lair(100000000/($AM99-$AL99))</f>
        <v>8567.6253413794293</v>
      </c>
      <c r="AO99" s="10">
        <f>100000000/($AM99-$AL99)</f>
        <v>8569.9790206913567</v>
      </c>
      <c r="AU99" s="3" cm="1">
        <f t="array" ref="AU99">$C99*EXP(poly_from_str($AO99,AU$4341))</f>
        <v>3.6609919948027767</v>
      </c>
    </row>
    <row r="100" spans="1:48" x14ac:dyDescent="0.25">
      <c r="A100" t="s">
        <v>117</v>
      </c>
      <c r="B100" s="2" t="str">
        <f t="shared" si="60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61"/>
        <v>8565.0609999999997</v>
      </c>
      <c r="AB100" s="3">
        <f t="shared" si="62"/>
        <v>11672.13</v>
      </c>
      <c r="AC100" s="3" cm="1">
        <f t="array" ref="AC100">100000000/LvacE(AA100)</f>
        <v>11672.133487135095</v>
      </c>
      <c r="AD100" s="10">
        <f t="shared" si="63"/>
        <v>5.6813806397371311E-3</v>
      </c>
      <c r="AE100" s="10" t="b">
        <f t="shared" si="64"/>
        <v>1</v>
      </c>
      <c r="AP100"/>
      <c r="AQ100"/>
      <c r="AU100" s="3" cm="1">
        <f t="array" ref="AU100">$C100*EXP(poly_from_str(100000000/$E100,AU$4341))</f>
        <v>0.36614812104815897</v>
      </c>
    </row>
    <row r="101" spans="1:48" x14ac:dyDescent="0.25">
      <c r="A101" t="s">
        <v>118</v>
      </c>
      <c r="B101" s="2" t="str">
        <f t="shared" si="60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61"/>
        <v>8559.18</v>
      </c>
      <c r="AB101" s="3">
        <f t="shared" si="62"/>
        <v>11680.15</v>
      </c>
      <c r="AC101" s="3" cm="1">
        <f t="array" ref="AC101">100000000/LvacE(AA101)</f>
        <v>11680.153358620821</v>
      </c>
      <c r="AD101" s="10">
        <f t="shared" si="63"/>
        <v>5.6823173106898568E-3</v>
      </c>
      <c r="AE101" s="10" t="b">
        <f t="shared" si="64"/>
        <v>1</v>
      </c>
      <c r="AP101"/>
      <c r="AQ101"/>
      <c r="AU101" s="3" cm="1">
        <f t="array" ref="AU101">$C101*EXP(poly_from_str(100000000/$E101,AU$4341))</f>
        <v>9.156420947284756E-2</v>
      </c>
    </row>
    <row r="102" spans="1:48" x14ac:dyDescent="0.25">
      <c r="A102" t="s">
        <v>119</v>
      </c>
      <c r="B102" s="2" t="str">
        <f t="shared" si="60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85">$G102&amp;""</f>
        <v>o</v>
      </c>
      <c r="N102" t="str">
        <f t="shared" ref="N102:N103" si="86">$H102&amp;""</f>
        <v>9/2</v>
      </c>
      <c r="O102">
        <v>23442.25</v>
      </c>
      <c r="P102" t="str">
        <f t="shared" ref="P102:P103" si="87">$J102&amp;""</f>
        <v>e</v>
      </c>
      <c r="Q102" t="str">
        <f t="shared" ref="Q102:Q103" si="88">$K102&amp;""</f>
        <v>11/2</v>
      </c>
      <c r="R102">
        <v>3</v>
      </c>
      <c r="AA102" s="10">
        <f t="shared" si="61"/>
        <v>8558.8979999999992</v>
      </c>
      <c r="AB102" s="3">
        <f t="shared" si="62"/>
        <v>11680.54</v>
      </c>
      <c r="AC102" s="3" cm="1">
        <f t="array" ref="AC102">100000000/LvacE(AA102)</f>
        <v>11680.538196617741</v>
      </c>
      <c r="AD102" s="10">
        <f t="shared" si="63"/>
        <v>5.6823622735437283E-3</v>
      </c>
      <c r="AE102" s="10" t="b">
        <f t="shared" si="64"/>
        <v>1</v>
      </c>
      <c r="AJ102" t="s">
        <v>4695</v>
      </c>
      <c r="AK102" t="s">
        <v>4782</v>
      </c>
      <c r="AL102">
        <v>11761.69</v>
      </c>
      <c r="AM102">
        <v>23442.25</v>
      </c>
      <c r="AN102" s="10" cm="1">
        <f t="array" ref="AN102">Lair(100000000/($AM102-$AL102))</f>
        <v>8558.8820507790424</v>
      </c>
      <c r="AO102" s="10">
        <f t="shared" ref="AO102:AO103" si="89">100000000/($AM102-$AL102)</f>
        <v>8561.2333655235707</v>
      </c>
      <c r="AP102" s="12">
        <v>56500</v>
      </c>
      <c r="AQ102" s="3">
        <v>1.2E-2</v>
      </c>
      <c r="AR102" s="3"/>
      <c r="AS102" s="13">
        <f t="shared" ref="AS102:AS103" si="90">EXP(AR$4341*$AM102+AR$4342)*$AP102/(100000000/($AM102-$AL102))</f>
        <v>0.10045423171154098</v>
      </c>
      <c r="AT102" s="3"/>
      <c r="AU102" s="3" cm="1">
        <f t="array" ref="AU102">$C102*EXP(poly_from_str($AO102,AU$4341))</f>
        <v>0.18313112872227891</v>
      </c>
    </row>
    <row r="103" spans="1:48" x14ac:dyDescent="0.25">
      <c r="A103" t="s">
        <v>120</v>
      </c>
      <c r="B103" s="2" t="str">
        <f t="shared" si="60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85"/>
        <v>o</v>
      </c>
      <c r="N103" t="str">
        <f t="shared" si="86"/>
        <v>7/2</v>
      </c>
      <c r="O103">
        <v>27138.55</v>
      </c>
      <c r="P103" t="str">
        <f t="shared" si="87"/>
        <v>e</v>
      </c>
      <c r="Q103" t="str">
        <f t="shared" si="88"/>
        <v>7/2</v>
      </c>
      <c r="R103">
        <v>3</v>
      </c>
      <c r="AA103" s="10">
        <f t="shared" si="61"/>
        <v>8548.2839999999997</v>
      </c>
      <c r="AB103" s="3">
        <f t="shared" si="62"/>
        <v>11695.04</v>
      </c>
      <c r="AC103" s="3" cm="1">
        <f t="array" ref="AC103">100000000/LvacE(AA103)</f>
        <v>11695.041306394292</v>
      </c>
      <c r="AD103" s="10">
        <f t="shared" si="63"/>
        <v>5.684057835841339E-3</v>
      </c>
      <c r="AE103" s="10" t="b">
        <f t="shared" si="64"/>
        <v>1</v>
      </c>
      <c r="AJ103" t="s">
        <v>4982</v>
      </c>
      <c r="AK103" t="s">
        <v>4723</v>
      </c>
      <c r="AL103">
        <v>15443.48</v>
      </c>
      <c r="AM103">
        <v>27138.55</v>
      </c>
      <c r="AN103" s="10" cm="1">
        <f t="array" ref="AN103">Lair(100000000/($AM103-$AL103))</f>
        <v>8548.2630540229111</v>
      </c>
      <c r="AO103" s="10">
        <f t="shared" si="89"/>
        <v>8550.6114969812061</v>
      </c>
      <c r="AP103" s="12">
        <v>78600</v>
      </c>
      <c r="AQ103" s="3">
        <v>1.4E-2</v>
      </c>
      <c r="AR103" s="3"/>
      <c r="AS103" s="13">
        <f t="shared" si="90"/>
        <v>0.10602547597959086</v>
      </c>
      <c r="AT103" s="3"/>
      <c r="AU103" s="3" cm="1">
        <f t="array" ref="AU103">$C103*EXP(poly_from_str($AO103,AU$4341))</f>
        <v>9.161136119705883E-2</v>
      </c>
    </row>
    <row r="104" spans="1:48" x14ac:dyDescent="0.25">
      <c r="A104" t="s">
        <v>121</v>
      </c>
      <c r="B104" s="2" t="str">
        <f t="shared" si="60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61"/>
        <v>8545.66</v>
      </c>
      <c r="AB104" s="3">
        <f t="shared" si="62"/>
        <v>11698.63</v>
      </c>
      <c r="AC104" s="3" cm="1">
        <f t="array" ref="AC104">100000000/LvacE(AA104)</f>
        <v>11698.632328827025</v>
      </c>
      <c r="AD104" s="10">
        <f t="shared" si="63"/>
        <v>5.6844779881733551E-3</v>
      </c>
      <c r="AE104" s="10" t="b">
        <f t="shared" si="64"/>
        <v>1</v>
      </c>
      <c r="AP104"/>
      <c r="AQ104"/>
      <c r="AU104" s="3" cm="1">
        <f t="array" ref="AU104">$C104*EXP(poly_from_str(100000000/$E104,AU$4341))</f>
        <v>9.1621960610916847E-2</v>
      </c>
    </row>
    <row r="105" spans="1:48" x14ac:dyDescent="0.25">
      <c r="A105" t="s">
        <v>122</v>
      </c>
      <c r="B105" s="2" t="str">
        <f t="shared" si="60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61"/>
        <v>8537.2070000000003</v>
      </c>
      <c r="AB105" s="3">
        <f t="shared" si="62"/>
        <v>11710.22</v>
      </c>
      <c r="AC105" s="3" cm="1">
        <f t="array" ref="AC105">100000000/LvacE(AA105)</f>
        <v>11710.215521575621</v>
      </c>
      <c r="AD105" s="10">
        <f t="shared" si="63"/>
        <v>5.685834109538144E-3</v>
      </c>
      <c r="AE105" s="10" t="b">
        <f t="shared" si="64"/>
        <v>1</v>
      </c>
      <c r="AP105"/>
      <c r="AQ105"/>
      <c r="AU105" s="3" cm="1">
        <f t="array" ref="AU105">$C105*EXP(poly_from_str(100000000/$E105,AU$4341))</f>
        <v>0.54992846014931218</v>
      </c>
    </row>
    <row r="106" spans="1:48" x14ac:dyDescent="0.25">
      <c r="A106" t="s">
        <v>123</v>
      </c>
      <c r="B106" s="2" t="str">
        <f t="shared" si="60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61"/>
        <v>8536.1759999999995</v>
      </c>
      <c r="AB106" s="3">
        <f t="shared" si="62"/>
        <v>11711.63</v>
      </c>
      <c r="AC106" s="3" cm="1">
        <f t="array" ref="AC106">100000000/LvacE(AA106)</f>
        <v>11711.62987623459</v>
      </c>
      <c r="AD106" s="10">
        <f t="shared" si="63"/>
        <v>5.6859997893807836E-3</v>
      </c>
      <c r="AE106" s="10" t="b">
        <f t="shared" si="64"/>
        <v>1</v>
      </c>
      <c r="AP106"/>
      <c r="AQ106"/>
      <c r="AU106" s="3" cm="1">
        <f t="array" ref="AU106">$C106*EXP(poly_from_str(100000000/$E106,AU$4341))</f>
        <v>9.165855229366722E-2</v>
      </c>
    </row>
    <row r="107" spans="1:48" x14ac:dyDescent="0.25">
      <c r="A107" t="s">
        <v>124</v>
      </c>
      <c r="B107" s="2" t="str">
        <f t="shared" si="60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61"/>
        <v>8519.4989999999998</v>
      </c>
      <c r="AB107" s="3">
        <f t="shared" si="62"/>
        <v>11734.56</v>
      </c>
      <c r="AC107" s="3" cm="1">
        <f t="array" ref="AC107">100000000/LvacE(AA107)</f>
        <v>11734.55540379812</v>
      </c>
      <c r="AD107" s="10">
        <f t="shared" si="63"/>
        <v>5.6886881143948798E-3</v>
      </c>
      <c r="AE107" s="10" t="b">
        <f t="shared" si="64"/>
        <v>1</v>
      </c>
      <c r="AP107"/>
      <c r="AQ107"/>
      <c r="AU107" s="3" cm="1">
        <f t="array" ref="AU107">$C107*EXP(poly_from_str(100000000/$E107,AU$4341))</f>
        <v>0.82543577185178385</v>
      </c>
    </row>
    <row r="108" spans="1:48" x14ac:dyDescent="0.25">
      <c r="A108" t="s">
        <v>125</v>
      </c>
      <c r="B108" s="2" t="str">
        <f t="shared" si="60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AA108" s="10">
        <f t="shared" si="61"/>
        <v>8510.0429999999997</v>
      </c>
      <c r="AB108" s="3">
        <f t="shared" si="62"/>
        <v>11747.59</v>
      </c>
      <c r="AC108" s="3" cm="1">
        <f t="array" ref="AC108">100000000/LvacE(AA108)</f>
        <v>11747.594289274031</v>
      </c>
      <c r="AD108" s="10">
        <f t="shared" si="63"/>
        <v>5.6902194436193824E-3</v>
      </c>
      <c r="AE108" s="10" t="b">
        <f t="shared" si="64"/>
        <v>1</v>
      </c>
      <c r="AJ108" t="s">
        <v>4979</v>
      </c>
      <c r="AK108" t="s">
        <v>4713</v>
      </c>
      <c r="AL108">
        <v>14187.35</v>
      </c>
      <c r="AM108">
        <v>25934.98</v>
      </c>
      <c r="AN108" s="10" cm="1">
        <f t="array" ref="AN108">Lair(100000000/($AM108-$AL108))</f>
        <v>8510.0171577521251</v>
      </c>
      <c r="AO108" s="10">
        <f>100000000/($AM108-$AL108)</f>
        <v>8512.3552580392825</v>
      </c>
      <c r="AP108" s="12">
        <v>174000</v>
      </c>
      <c r="AQ108" s="3">
        <v>0.20599999999999999</v>
      </c>
      <c r="AR108" s="3">
        <f>LN(AU108*100000000/($AM108-$AL108)/AP108)</f>
        <v>-4.3076906807669761</v>
      </c>
      <c r="AS108" s="13">
        <f>EXP(AR$4341*$AM108+AR$4342)*$AP108/(100000000/($AM108-$AL108))</f>
        <v>0.25805459366094091</v>
      </c>
      <c r="AT108" s="3">
        <f>LN(AS108/$C108)</f>
        <v>-4.0626343142105776</v>
      </c>
      <c r="AU108" s="3" cm="1">
        <f t="array" ref="AU108">$C108*EXP(poly_from_str($AO108,AU$4341))</f>
        <v>0.27522838105063635</v>
      </c>
      <c r="AV108" s="13">
        <f>LN(AS108/AU108)</f>
        <v>-6.4430063685727651E-2</v>
      </c>
    </row>
    <row r="109" spans="1:48" x14ac:dyDescent="0.25">
      <c r="A109" t="s">
        <v>126</v>
      </c>
      <c r="B109" s="2" t="str">
        <f t="shared" si="60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61"/>
        <v>8509.94</v>
      </c>
      <c r="AB109" s="3">
        <f t="shared" si="62"/>
        <v>11747.74</v>
      </c>
      <c r="AC109" s="3" cm="1">
        <f t="array" ref="AC109">100000000/LvacE(AA109)</f>
        <v>11747.736475585134</v>
      </c>
      <c r="AD109" s="10">
        <f t="shared" si="63"/>
        <v>5.6902361518168833E-3</v>
      </c>
      <c r="AE109" s="10" t="b">
        <f t="shared" si="64"/>
        <v>1</v>
      </c>
      <c r="AP109"/>
      <c r="AQ109"/>
      <c r="AU109" s="3" cm="1">
        <f t="array" ref="AU109">$C109*EXP(poly_from_str(100000000/$E109,AU$4341))</f>
        <v>9.174301309566385E-2</v>
      </c>
    </row>
    <row r="110" spans="1:48" x14ac:dyDescent="0.25">
      <c r="A110" t="s">
        <v>127</v>
      </c>
      <c r="B110" s="2" t="str">
        <f t="shared" si="60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61"/>
        <v>8508.5030000000006</v>
      </c>
      <c r="AB110" s="3">
        <f t="shared" si="62"/>
        <v>11749.72</v>
      </c>
      <c r="AC110" s="3" cm="1">
        <f t="array" ref="AC110">100000000/LvacE(AA110)</f>
        <v>11749.720540731794</v>
      </c>
      <c r="AD110" s="10">
        <f t="shared" si="63"/>
        <v>5.6904693187939046E-3</v>
      </c>
      <c r="AE110" s="10" t="b">
        <f t="shared" si="64"/>
        <v>1</v>
      </c>
      <c r="AP110"/>
      <c r="AQ110"/>
      <c r="AU110" s="3" cm="1">
        <f t="array" ref="AU110">$C110*EXP(poly_from_str(100000000/$E110,AU$4341))</f>
        <v>0.36698769334400466</v>
      </c>
    </row>
    <row r="111" spans="1:48" x14ac:dyDescent="0.25">
      <c r="A111" t="s">
        <v>128</v>
      </c>
      <c r="B111" s="2" t="str">
        <f t="shared" si="60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61"/>
        <v>8506.1589999999997</v>
      </c>
      <c r="AB111" s="3">
        <f t="shared" si="62"/>
        <v>11752.96</v>
      </c>
      <c r="AC111" s="3" cm="1">
        <f t="array" ref="AC111">100000000/LvacE(AA111)</f>
        <v>11752.95833885998</v>
      </c>
      <c r="AD111" s="10">
        <f t="shared" si="63"/>
        <v>5.6908499088049016E-3</v>
      </c>
      <c r="AE111" s="10" t="b">
        <f t="shared" si="64"/>
        <v>1</v>
      </c>
      <c r="AP111"/>
      <c r="AQ111"/>
      <c r="AU111" s="3" cm="1">
        <f t="array" ref="AU111">$C111*EXP(poly_from_str(100000000/$E111,AU$4341))</f>
        <v>0.18350632397656982</v>
      </c>
    </row>
    <row r="112" spans="1:48" x14ac:dyDescent="0.25">
      <c r="A112" t="s">
        <v>129</v>
      </c>
      <c r="B112" s="2" t="str">
        <f t="shared" si="60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AA112" s="10">
        <f t="shared" si="61"/>
        <v>8505.4830000000002</v>
      </c>
      <c r="AB112" s="3">
        <f t="shared" si="62"/>
        <v>11753.89</v>
      </c>
      <c r="AC112" s="3" cm="1">
        <f t="array" ref="AC112">100000000/LvacE(AA112)</f>
        <v>11753.892438125664</v>
      </c>
      <c r="AD112" s="10">
        <f t="shared" si="63"/>
        <v>5.6909597278676392E-3</v>
      </c>
      <c r="AE112" s="10" t="b">
        <f t="shared" si="64"/>
        <v>1</v>
      </c>
      <c r="AJ112" t="s">
        <v>4989</v>
      </c>
      <c r="AK112" t="s">
        <v>4805</v>
      </c>
      <c r="AL112">
        <v>24886.51</v>
      </c>
      <c r="AM112">
        <v>36640.379999999997</v>
      </c>
      <c r="AN112" s="10" cm="1">
        <f t="array" ref="AN112">Lair(100000000/($AM112-$AL112))</f>
        <v>8505.4992638948115</v>
      </c>
      <c r="AO112" s="10">
        <f>100000000/($AM112-$AL112)</f>
        <v>8507.836142479031</v>
      </c>
      <c r="AU112" s="3" cm="1">
        <f t="array" ref="AU112">$C112*EXP(poly_from_str($AO112,AU$4341))</f>
        <v>9.1754878548487961E-2</v>
      </c>
    </row>
    <row r="113" spans="1:48" x14ac:dyDescent="0.25">
      <c r="A113" t="s">
        <v>130</v>
      </c>
      <c r="B113" s="2" t="str">
        <f t="shared" si="60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61"/>
        <v>8497.0030000000006</v>
      </c>
      <c r="AB113" s="3">
        <f t="shared" si="62"/>
        <v>11765.62</v>
      </c>
      <c r="AC113" s="3" cm="1">
        <f t="array" ref="AC113">100000000/LvacE(AA113)</f>
        <v>11765.6227594498</v>
      </c>
      <c r="AD113" s="10">
        <f t="shared" si="63"/>
        <v>5.692339567224456E-3</v>
      </c>
      <c r="AE113" s="10" t="b">
        <f t="shared" si="64"/>
        <v>1</v>
      </c>
      <c r="AP113"/>
      <c r="AQ113"/>
      <c r="AU113" s="3" cm="1">
        <f t="array" ref="AU113">$C113*EXP(poly_from_str(100000000/$E113,AU$4341))</f>
        <v>0.45887822279402979</v>
      </c>
    </row>
    <row r="114" spans="1:48" x14ac:dyDescent="0.25">
      <c r="A114" t="s">
        <v>131</v>
      </c>
      <c r="B114" s="2" t="str">
        <f t="shared" si="60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61"/>
        <v>8494.9860000000008</v>
      </c>
      <c r="AB114" s="3">
        <f t="shared" si="62"/>
        <v>11768.42</v>
      </c>
      <c r="AC114" s="3" cm="1">
        <f t="array" ref="AC114">100000000/LvacE(AA114)</f>
        <v>11768.416308263839</v>
      </c>
      <c r="AD114" s="10">
        <f t="shared" si="63"/>
        <v>5.6926683756903093E-3</v>
      </c>
      <c r="AE114" s="10" t="b">
        <f t="shared" si="64"/>
        <v>1</v>
      </c>
      <c r="AJ114" t="s">
        <v>4778</v>
      </c>
      <c r="AK114" t="s">
        <v>4731</v>
      </c>
      <c r="AL114">
        <v>28101.77</v>
      </c>
      <c r="AM114">
        <v>39870.17</v>
      </c>
      <c r="AN114" s="10" cm="1">
        <f t="array" ref="AN114">Lair(100000000/($AM114-$AL114))</f>
        <v>8494.9977989223717</v>
      </c>
      <c r="AO114" s="10">
        <f>100000000/($AM114-$AL114)</f>
        <v>8497.3318378029307</v>
      </c>
      <c r="AP114" s="12">
        <v>3900000</v>
      </c>
      <c r="AQ114" s="3">
        <v>0.47199999999999998</v>
      </c>
      <c r="AR114" s="3">
        <f>LN(AU114*100000000/($AM114-$AL114)/AP114)</f>
        <v>-5.5216062594866768</v>
      </c>
      <c r="AS114" s="13">
        <f>EXP(AR$4341*$AM114+AR$4342)*$AP114/(100000000/($AM114-$AL114))</f>
        <v>2.0361647563813179</v>
      </c>
      <c r="AT114" s="3">
        <f>LN(AS114/$C114)</f>
        <v>-3.894102168971965</v>
      </c>
      <c r="AU114" s="3" cm="1">
        <f t="array" ref="AU114">$C114*EXP(poly_from_str($AO114,AU$4341))</f>
        <v>1.8356035910035158</v>
      </c>
      <c r="AV114" s="13">
        <f>LN(AS114/AU114)</f>
        <v>0.10369465716901903</v>
      </c>
    </row>
    <row r="115" spans="1:48" x14ac:dyDescent="0.25">
      <c r="A115" t="s">
        <v>132</v>
      </c>
      <c r="B115" s="2" t="str">
        <f t="shared" si="60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61"/>
        <v>8491.7060000000001</v>
      </c>
      <c r="AB115" s="3">
        <f t="shared" si="62"/>
        <v>11772.96</v>
      </c>
      <c r="AC115" s="3" cm="1">
        <f t="array" ref="AC115">100000000/LvacE(AA115)</f>
        <v>11772.961948182359</v>
      </c>
      <c r="AD115" s="10">
        <f t="shared" si="63"/>
        <v>5.6932035770069266E-3</v>
      </c>
      <c r="AE115" s="10" t="b">
        <f t="shared" si="64"/>
        <v>1</v>
      </c>
      <c r="AP115"/>
      <c r="AQ115"/>
      <c r="AU115" s="3" cm="1">
        <f t="array" ref="AU115">$C115*EXP(poly_from_str(100000000/$E115,AU$4341))</f>
        <v>9.1787306495093701E-2</v>
      </c>
    </row>
    <row r="116" spans="1:48" x14ac:dyDescent="0.25">
      <c r="A116" t="s">
        <v>133</v>
      </c>
      <c r="B116" s="2" t="str">
        <f t="shared" si="60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61"/>
        <v>8488.34</v>
      </c>
      <c r="AB116" s="3">
        <f t="shared" si="62"/>
        <v>11777.63</v>
      </c>
      <c r="AC116" s="3" cm="1">
        <f t="array" ref="AC116">100000000/LvacE(AA116)</f>
        <v>11777.63042489197</v>
      </c>
      <c r="AD116" s="10">
        <f t="shared" si="63"/>
        <v>5.6937534562053341E-3</v>
      </c>
      <c r="AE116" s="10" t="b">
        <f t="shared" si="64"/>
        <v>1</v>
      </c>
      <c r="AP116"/>
      <c r="AQ116"/>
      <c r="AU116" s="3" cm="1">
        <f t="array" ref="AU116">$C116*EXP(poly_from_str(100000000/$E116,AU$4341))</f>
        <v>9.1794205184717398E-2</v>
      </c>
    </row>
    <row r="117" spans="1:48" x14ac:dyDescent="0.25">
      <c r="A117" t="s">
        <v>135</v>
      </c>
      <c r="B117" s="2" t="str">
        <f t="shared" si="60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61"/>
        <v>8488.2360000000008</v>
      </c>
      <c r="AB117" s="3">
        <f t="shared" si="62"/>
        <v>11777.77</v>
      </c>
      <c r="AC117" s="3" cm="1">
        <f t="array" ref="AC117">100000000/LvacE(AA117)</f>
        <v>11777.774726751217</v>
      </c>
      <c r="AD117" s="10">
        <f t="shared" si="63"/>
        <v>5.6937704563557855E-3</v>
      </c>
      <c r="AE117" s="10" t="b">
        <f t="shared" si="64"/>
        <v>1</v>
      </c>
      <c r="AP117"/>
      <c r="AQ117"/>
      <c r="AU117" s="3" cm="1">
        <f t="array" ref="AU117">$C117*EXP(poly_from_str(100000000/$E117,AU$4341))</f>
        <v>0</v>
      </c>
    </row>
    <row r="118" spans="1:48" x14ac:dyDescent="0.25">
      <c r="A118" t="s">
        <v>136</v>
      </c>
      <c r="B118" s="2" t="str">
        <f t="shared" si="60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61"/>
        <v>8487.1059999999998</v>
      </c>
      <c r="AB118" s="3">
        <f t="shared" si="62"/>
        <v>11779.34</v>
      </c>
      <c r="AC118" s="3" cm="1">
        <f t="array" ref="AC118">100000000/LvacE(AA118)</f>
        <v>11779.342849918445</v>
      </c>
      <c r="AD118" s="10">
        <f t="shared" si="63"/>
        <v>5.6939552098158337E-3</v>
      </c>
      <c r="AE118" s="10" t="b">
        <f t="shared" si="64"/>
        <v>1</v>
      </c>
      <c r="AP118"/>
      <c r="AQ118"/>
      <c r="AU118" s="3" cm="1">
        <f t="array" ref="AU118">$C118*EXP(poly_from_str(100000000/$E118,AU$4341))</f>
        <v>9.1796630270945312E-2</v>
      </c>
    </row>
    <row r="119" spans="1:48" x14ac:dyDescent="0.25">
      <c r="A119" t="s">
        <v>137</v>
      </c>
      <c r="B119" s="2" t="str">
        <f t="shared" si="60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61"/>
        <v>8485.1509999999998</v>
      </c>
      <c r="AB119" s="3">
        <f t="shared" si="62"/>
        <v>11782.06</v>
      </c>
      <c r="AC119" s="3" cm="1">
        <f t="array" ref="AC119">100000000/LvacE(AA119)</f>
        <v>11782.05682814276</v>
      </c>
      <c r="AD119" s="10">
        <f t="shared" si="63"/>
        <v>5.6942750239885398E-3</v>
      </c>
      <c r="AE119" s="10" t="b">
        <f t="shared" si="64"/>
        <v>1</v>
      </c>
      <c r="AP119"/>
      <c r="AQ119"/>
      <c r="AU119" s="3" cm="1">
        <f t="array" ref="AU119">$C119*EXP(poly_from_str(100000000/$E119,AU$4341))</f>
        <v>9.1800376455945909E-2</v>
      </c>
    </row>
    <row r="120" spans="1:48" x14ac:dyDescent="0.25">
      <c r="A120" t="s">
        <v>138</v>
      </c>
      <c r="B120" s="2" t="str">
        <f t="shared" si="60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61"/>
        <v>8476.8960000000006</v>
      </c>
      <c r="AB120" s="3">
        <f t="shared" si="62"/>
        <v>11793.53</v>
      </c>
      <c r="AC120" s="3" cm="1">
        <f t="array" ref="AC120">100000000/LvacE(AA120)</f>
        <v>11793.530421204065</v>
      </c>
      <c r="AD120" s="10">
        <f t="shared" si="63"/>
        <v>5.6956278820221497E-3</v>
      </c>
      <c r="AE120" s="10" t="b">
        <f t="shared" si="64"/>
        <v>1</v>
      </c>
      <c r="AP120"/>
      <c r="AQ120"/>
      <c r="AU120" s="3" cm="1">
        <f t="array" ref="AU120">$C120*EXP(poly_from_str(100000000/$E120,AU$4341))</f>
        <v>9.1814677411641565E-2</v>
      </c>
    </row>
    <row r="121" spans="1:48" x14ac:dyDescent="0.25">
      <c r="A121" t="s">
        <v>139</v>
      </c>
      <c r="B121" s="2" t="str">
        <f t="shared" si="60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61"/>
        <v>8450.2389999999996</v>
      </c>
      <c r="AB121" s="3">
        <f t="shared" si="62"/>
        <v>11830.73</v>
      </c>
      <c r="AC121" s="3" cm="1">
        <f t="array" ref="AC121">100000000/LvacE(AA121)</f>
        <v>11830.733956234753</v>
      </c>
      <c r="AD121" s="10">
        <f t="shared" si="63"/>
        <v>5.7000236298780874E-3</v>
      </c>
      <c r="AE121" s="10" t="b">
        <f t="shared" si="64"/>
        <v>1</v>
      </c>
      <c r="AP121"/>
      <c r="AQ121"/>
      <c r="AU121" s="3" cm="1">
        <f t="array" ref="AU121">$C121*EXP(poly_from_str(100000000/$E121,AU$4341))</f>
        <v>0.64291252986478242</v>
      </c>
    </row>
    <row r="122" spans="1:48" x14ac:dyDescent="0.25">
      <c r="A122" t="s">
        <v>140</v>
      </c>
      <c r="B122" s="2" t="str">
        <f t="shared" si="60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61"/>
        <v>8449.4719999999998</v>
      </c>
      <c r="AB122" s="3">
        <f t="shared" si="62"/>
        <v>11831.81</v>
      </c>
      <c r="AC122" s="3" cm="1">
        <f t="array" ref="AC122">100000000/LvacE(AA122)</f>
        <v>11831.807885245364</v>
      </c>
      <c r="AD122" s="10">
        <f t="shared" si="63"/>
        <v>5.7001507245213294E-3</v>
      </c>
      <c r="AE122" s="10" t="b">
        <f t="shared" si="64"/>
        <v>1</v>
      </c>
      <c r="AP122"/>
      <c r="AQ122"/>
      <c r="AU122" s="3" cm="1">
        <f t="array" ref="AU122">$C122*EXP(poly_from_str(100000000/$E122,AU$4341))</f>
        <v>0.1836902952725335</v>
      </c>
    </row>
    <row r="123" spans="1:48" x14ac:dyDescent="0.25">
      <c r="A123" t="s">
        <v>141</v>
      </c>
      <c r="B123" s="2" t="str">
        <f t="shared" si="60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61"/>
        <v>8446.7659999999996</v>
      </c>
      <c r="AB123" s="3">
        <f t="shared" si="62"/>
        <v>11835.6</v>
      </c>
      <c r="AC123" s="3" cm="1">
        <f t="array" ref="AC123">100000000/LvacE(AA123)</f>
        <v>11835.598298226507</v>
      </c>
      <c r="AD123" s="10">
        <f t="shared" si="63"/>
        <v>5.7005993949771142E-3</v>
      </c>
      <c r="AE123" s="10" t="b">
        <f t="shared" si="64"/>
        <v>1</v>
      </c>
      <c r="AP123"/>
      <c r="AQ123"/>
      <c r="AU123" s="3" cm="1">
        <f t="array" ref="AU123">$C123*EXP(poly_from_str(100000000/$E123,AU$4341))</f>
        <v>9.1846741026427647E-2</v>
      </c>
    </row>
    <row r="124" spans="1:48" x14ac:dyDescent="0.25">
      <c r="A124" t="s">
        <v>142</v>
      </c>
      <c r="B124" s="2" t="str">
        <f t="shared" si="60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AA124" s="10">
        <f t="shared" si="61"/>
        <v>8443.06</v>
      </c>
      <c r="AB124" s="3">
        <f t="shared" si="62"/>
        <v>11840.79</v>
      </c>
      <c r="AC124" s="3" cm="1">
        <f t="array" ref="AC124">100000000/LvacE(AA124)</f>
        <v>11840.793397450405</v>
      </c>
      <c r="AD124" s="10">
        <f t="shared" si="63"/>
        <v>5.7012145713432336E-3</v>
      </c>
      <c r="AE124" s="10" t="b">
        <f t="shared" si="64"/>
        <v>1</v>
      </c>
      <c r="AJ124" t="s">
        <v>4856</v>
      </c>
      <c r="AK124" t="s">
        <v>4801</v>
      </c>
      <c r="AL124">
        <v>17095.63</v>
      </c>
      <c r="AM124">
        <v>28936.46</v>
      </c>
      <c r="AN124" s="10" cm="1">
        <f t="array" ref="AN124">Lair(100000000/($AM124-$AL124))</f>
        <v>8443.0339270295426</v>
      </c>
      <c r="AO124" s="10">
        <f>100000000/($AM124-$AL124)</f>
        <v>8445.35391522385</v>
      </c>
      <c r="AU124" s="3" cm="1">
        <f t="array" ref="AU124">$C124*EXP(poly_from_str($AO124,AU$4341))</f>
        <v>0.45924262161228691</v>
      </c>
    </row>
    <row r="125" spans="1:48" x14ac:dyDescent="0.25">
      <c r="A125" t="s">
        <v>144</v>
      </c>
      <c r="B125" s="2" t="str">
        <f t="shared" si="60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61"/>
        <v>8441.5300000000007</v>
      </c>
      <c r="AB125" s="3">
        <f t="shared" si="62"/>
        <v>11842.94</v>
      </c>
      <c r="AC125" s="3" cm="1">
        <f t="array" ref="AC125">100000000/LvacE(AA125)</f>
        <v>11842.939493502892</v>
      </c>
      <c r="AD125" s="10">
        <f t="shared" si="63"/>
        <v>5.7014687795638288E-3</v>
      </c>
      <c r="AE125" s="10" t="b">
        <f t="shared" si="64"/>
        <v>1</v>
      </c>
      <c r="AP125"/>
      <c r="AQ125"/>
      <c r="AU125" s="3" cm="1">
        <f t="array" ref="AU125">$C125*EXP(poly_from_str(100000000/$E125,AU$4341))</f>
        <v>0.27554732342226723</v>
      </c>
    </row>
    <row r="126" spans="1:48" x14ac:dyDescent="0.25">
      <c r="A126" t="s">
        <v>145</v>
      </c>
      <c r="B126" s="2" t="str">
        <f t="shared" si="60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61"/>
        <v>8429.2980000000007</v>
      </c>
      <c r="AB126" s="3">
        <f t="shared" si="62"/>
        <v>11860.12</v>
      </c>
      <c r="AC126" s="3" cm="1">
        <f t="array" ref="AC126">100000000/LvacE(AA126)</f>
        <v>11860.125052396201</v>
      </c>
      <c r="AD126" s="10">
        <f t="shared" si="63"/>
        <v>5.7035060957861617E-3</v>
      </c>
      <c r="AE126" s="10" t="b">
        <f t="shared" si="64"/>
        <v>1</v>
      </c>
      <c r="AP126"/>
      <c r="AQ126"/>
      <c r="AU126" s="3" cm="1">
        <f t="array" ref="AU126">$C126*EXP(poly_from_str(100000000/$E126,AU$4341))</f>
        <v>0.18370193938187246</v>
      </c>
    </row>
    <row r="127" spans="1:48" x14ac:dyDescent="0.25">
      <c r="A127" t="s">
        <v>146</v>
      </c>
      <c r="B127" s="2" t="str">
        <f t="shared" si="60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61"/>
        <v>8424.64</v>
      </c>
      <c r="AB127" s="3">
        <f t="shared" si="62"/>
        <v>11866.68</v>
      </c>
      <c r="AC127" s="3" cm="1">
        <f t="array" ref="AC127">100000000/LvacE(AA127)</f>
        <v>11866.682509870829</v>
      </c>
      <c r="AD127" s="10">
        <f t="shared" si="63"/>
        <v>5.7042842489335348E-3</v>
      </c>
      <c r="AE127" s="10" t="b">
        <f t="shared" si="64"/>
        <v>1</v>
      </c>
      <c r="AP127"/>
      <c r="AQ127"/>
      <c r="AU127" s="3" cm="1">
        <f t="array" ref="AU127">$C127*EXP(poly_from_str(100000000/$E127,AU$4341))</f>
        <v>0.18370066653109379</v>
      </c>
    </row>
    <row r="128" spans="1:48" x14ac:dyDescent="0.25">
      <c r="A128" t="s">
        <v>147</v>
      </c>
      <c r="B128" s="2" t="str">
        <f t="shared" si="60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61"/>
        <v>8419.2849999999999</v>
      </c>
      <c r="AB128" s="3">
        <f t="shared" si="62"/>
        <v>11874.23</v>
      </c>
      <c r="AC128" s="3" cm="1">
        <f t="array" ref="AC128">100000000/LvacE(AA128)</f>
        <v>11874.230158379229</v>
      </c>
      <c r="AD128" s="10">
        <f t="shared" si="63"/>
        <v>5.7051804374349622E-3</v>
      </c>
      <c r="AE128" s="10" t="b">
        <f t="shared" si="64"/>
        <v>1</v>
      </c>
      <c r="AP128"/>
      <c r="AQ128"/>
      <c r="AU128" s="3" cm="1">
        <f t="array" ref="AU128">$C128*EXP(poly_from_str(100000000/$E128,AU$4341))</f>
        <v>0.18369737522244101</v>
      </c>
    </row>
    <row r="129" spans="1:47" x14ac:dyDescent="0.25">
      <c r="A129" t="s">
        <v>148</v>
      </c>
      <c r="B129" s="2" t="str">
        <f t="shared" si="60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91">$G129&amp;""</f>
        <v>o</v>
      </c>
      <c r="N129" t="str">
        <f t="shared" ref="N129:N130" si="92">$H129&amp;""</f>
        <v>7/2</v>
      </c>
      <c r="O129">
        <v>22747.69</v>
      </c>
      <c r="P129" t="str">
        <f t="shared" ref="P129:P130" si="93">$J129&amp;""</f>
        <v>e</v>
      </c>
      <c r="Q129" t="str">
        <f t="shared" ref="Q129:Q130" si="94">$K129&amp;""</f>
        <v>9/2</v>
      </c>
      <c r="R129">
        <v>3</v>
      </c>
      <c r="AA129" s="10">
        <f t="shared" si="61"/>
        <v>8409.0969999999998</v>
      </c>
      <c r="AB129" s="3">
        <f t="shared" si="62"/>
        <v>11888.62</v>
      </c>
      <c r="AC129" s="3" cm="1">
        <f t="array" ref="AC129">100000000/LvacE(AA129)</f>
        <v>11888.61625962138</v>
      </c>
      <c r="AD129" s="10">
        <f t="shared" si="63"/>
        <v>5.7068901845002728E-3</v>
      </c>
      <c r="AE129" s="10" t="b">
        <f t="shared" si="64"/>
        <v>1</v>
      </c>
      <c r="AJ129" t="s">
        <v>4817</v>
      </c>
      <c r="AK129" t="s">
        <v>4797</v>
      </c>
      <c r="AL129">
        <v>10859.06</v>
      </c>
      <c r="AM129">
        <v>22747.69</v>
      </c>
      <c r="AN129" s="10" cm="1">
        <f t="array" ref="AN129">Lair(100000000/($AM129-$AL129))</f>
        <v>8409.087307310092</v>
      </c>
      <c r="AO129" s="10">
        <f t="shared" ref="AO129:AO130" si="95">100000000/($AM129-$AL129)</f>
        <v>8411.3981173608736</v>
      </c>
      <c r="AU129" s="3" cm="1">
        <f t="array" ref="AU129">$C129*EXP(poly_from_str($AO129,AU$4341))</f>
        <v>1.8368572488234092</v>
      </c>
    </row>
    <row r="130" spans="1:47" x14ac:dyDescent="0.25">
      <c r="A130" t="s">
        <v>149</v>
      </c>
      <c r="B130" s="2" t="str">
        <f t="shared" si="60"/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91"/>
        <v>o</v>
      </c>
      <c r="N130" t="str">
        <f t="shared" si="92"/>
        <v>9/2</v>
      </c>
      <c r="O130">
        <v>23651.88</v>
      </c>
      <c r="P130" t="str">
        <f t="shared" si="93"/>
        <v>e</v>
      </c>
      <c r="Q130" t="str">
        <f t="shared" si="94"/>
        <v>7/2</v>
      </c>
      <c r="R130">
        <v>4</v>
      </c>
      <c r="S130" t="s">
        <v>6</v>
      </c>
      <c r="AA130" s="10">
        <f t="shared" si="61"/>
        <v>8408</v>
      </c>
      <c r="AB130" s="3">
        <f t="shared" si="62"/>
        <v>11890.17</v>
      </c>
      <c r="AC130" s="3" cm="1">
        <f t="array" ref="AC130">100000000/LvacE(AA130)</f>
        <v>11890.16737215686</v>
      </c>
      <c r="AD130" s="10">
        <f t="shared" si="63"/>
        <v>5.7070746534346375E-3</v>
      </c>
      <c r="AE130" s="10" t="b">
        <f t="shared" si="64"/>
        <v>1</v>
      </c>
      <c r="AJ130" t="s">
        <v>4695</v>
      </c>
      <c r="AK130" t="s">
        <v>4759</v>
      </c>
      <c r="AL130">
        <v>11761.69</v>
      </c>
      <c r="AM130">
        <v>23651.88</v>
      </c>
      <c r="AN130" s="10" cm="1">
        <f t="array" ref="AN130">Lair(100000000/($AM130-$AL130))</f>
        <v>8407.9840251577734</v>
      </c>
      <c r="AO130" s="10">
        <f t="shared" si="95"/>
        <v>8410.2945369249774</v>
      </c>
      <c r="AP130" s="12">
        <v>311000</v>
      </c>
      <c r="AQ130" s="3">
        <v>3.3000000000000002E-2</v>
      </c>
      <c r="AR130" s="3"/>
      <c r="AS130" s="13">
        <f>EXP(AR$4341*$AM130+AR$4342)*$AP130/(100000000/($AM130-$AL130))</f>
        <v>0.55408062497329502</v>
      </c>
      <c r="AT130" s="3"/>
      <c r="AU130" s="3" cm="1">
        <f t="array" ref="AU130">$C130*EXP(poly_from_str($AO130,AU$4341))</f>
        <v>0.82657819141784694</v>
      </c>
    </row>
    <row r="131" spans="1:47" x14ac:dyDescent="0.25">
      <c r="A131" t="s">
        <v>151</v>
      </c>
      <c r="B131" s="2" t="str">
        <f t="shared" ref="B131:B194" si="96">IF(OR(A131=A130,A131=A132),IF(B130="",1,B130+1),"")</f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97">ROUND($A131,3)+0</f>
        <v>8407.6540000000005</v>
      </c>
      <c r="AB131" s="3">
        <f t="shared" ref="AB131:AB194" si="98">ROUND($E131,2)+0</f>
        <v>11890.66</v>
      </c>
      <c r="AC131" s="3" cm="1">
        <f t="array" ref="AC131">100000000/LvacE(AA131)</f>
        <v>11890.656685782682</v>
      </c>
      <c r="AD131" s="10">
        <f t="shared" ref="AD131:AD194" si="99">0.0005/$AA131*AC131+0.005</f>
        <v>5.7071328509583456E-3</v>
      </c>
      <c r="AE131" s="10" t="b">
        <f t="shared" ref="AE131:AE194" si="100">ABS(AB131-AC131)&lt;AD131</f>
        <v>1</v>
      </c>
      <c r="AP131"/>
      <c r="AQ131"/>
      <c r="AU131" s="3" cm="1">
        <f t="array" ref="AU131">$C131*EXP(poly_from_str(100000000/$E131,AU$4341))</f>
        <v>0.82657583844184235</v>
      </c>
    </row>
    <row r="132" spans="1:47" x14ac:dyDescent="0.25">
      <c r="A132" t="s">
        <v>153</v>
      </c>
      <c r="B132" s="2" t="str">
        <f t="shared" si="96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101">$G132&amp;""</f>
        <v>o</v>
      </c>
      <c r="N132" t="str">
        <f t="shared" ref="N132:N134" si="102">$H132&amp;""</f>
        <v>5/2</v>
      </c>
      <c r="O132">
        <v>35137.82</v>
      </c>
      <c r="P132" t="str">
        <f t="shared" ref="P132:P134" si="103">$J132&amp;""</f>
        <v>e</v>
      </c>
      <c r="Q132" t="str">
        <f t="shared" ref="Q132:Q134" si="104">$K132&amp;""</f>
        <v>3/2</v>
      </c>
      <c r="R132">
        <v>4</v>
      </c>
      <c r="AA132" s="10">
        <f t="shared" si="97"/>
        <v>8406.8209999999999</v>
      </c>
      <c r="AB132" s="3">
        <f t="shared" si="98"/>
        <v>11891.83</v>
      </c>
      <c r="AC132" s="3" cm="1">
        <f t="array" ref="AC132">100000000/LvacE(AA132)</f>
        <v>11891.834880617454</v>
      </c>
      <c r="AD132" s="10">
        <f t="shared" si="99"/>
        <v>5.7072729918132819E-3</v>
      </c>
      <c r="AE132" s="10" t="b">
        <f t="shared" si="100"/>
        <v>1</v>
      </c>
      <c r="AJ132" t="s">
        <v>4990</v>
      </c>
      <c r="AK132" t="s">
        <v>4740</v>
      </c>
      <c r="AL132">
        <v>23245.99</v>
      </c>
      <c r="AM132">
        <v>35137.82</v>
      </c>
      <c r="AN132" s="10" cm="1">
        <f t="array" ref="AN132">Lair(100000000/($AM132-$AL132))</f>
        <v>8406.824476542417</v>
      </c>
      <c r="AO132" s="10">
        <f t="shared" ref="AO132:AO134" si="105">100000000/($AM132-$AL132)</f>
        <v>8409.1346748145588</v>
      </c>
      <c r="AU132" s="3" cm="1">
        <f t="array" ref="AU132">$C132*EXP(poly_from_str($AO132,AU$4341))</f>
        <v>0.55104655744628761</v>
      </c>
    </row>
    <row r="133" spans="1:47" x14ac:dyDescent="0.25">
      <c r="A133" t="s">
        <v>155</v>
      </c>
      <c r="B133" s="2" t="str">
        <f t="shared" si="96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101"/>
        <v>o</v>
      </c>
      <c r="N133" t="str">
        <f t="shared" si="102"/>
        <v>9/2</v>
      </c>
      <c r="O133">
        <v>27604.26</v>
      </c>
      <c r="P133" t="str">
        <f t="shared" si="103"/>
        <v>e</v>
      </c>
      <c r="Q133" t="str">
        <f t="shared" si="104"/>
        <v>9/2</v>
      </c>
      <c r="R133">
        <v>4</v>
      </c>
      <c r="AA133" s="10">
        <f t="shared" si="97"/>
        <v>8401.6650000000009</v>
      </c>
      <c r="AB133" s="3">
        <f t="shared" si="98"/>
        <v>11899.13</v>
      </c>
      <c r="AC133" s="3" cm="1">
        <f t="array" ref="AC133">100000000/LvacE(AA133)</f>
        <v>11899.132723172826</v>
      </c>
      <c r="AD133" s="10">
        <f t="shared" si="99"/>
        <v>5.7081413459815896E-3</v>
      </c>
      <c r="AE133" s="10" t="b">
        <f t="shared" si="100"/>
        <v>1</v>
      </c>
      <c r="AJ133" t="s">
        <v>4767</v>
      </c>
      <c r="AK133" t="s">
        <v>4718</v>
      </c>
      <c r="AL133">
        <v>15705.13</v>
      </c>
      <c r="AM133">
        <v>27604.26</v>
      </c>
      <c r="AN133" s="10" cm="1">
        <f t="array" ref="AN133">Lair(100000000/($AM133-$AL133))</f>
        <v>8401.6669489548894</v>
      </c>
      <c r="AO133" s="10">
        <f t="shared" si="105"/>
        <v>8403.9757528491591</v>
      </c>
      <c r="AP133" s="12">
        <v>175000</v>
      </c>
      <c r="AQ133" s="3">
        <v>1.9E-2</v>
      </c>
      <c r="AR133" s="3"/>
      <c r="AS133" s="13">
        <f t="shared" ref="AS133:AS134" si="106">EXP(AR$4341*$AM133+AR$4342)*$AP133/(100000000/($AM133-$AL133))</f>
        <v>0.23193138075917827</v>
      </c>
      <c r="AT133" s="3"/>
      <c r="AU133" s="3" cm="1">
        <f t="array" ref="AU133">$C133*EXP(poly_from_str($AO133,AU$4341))</f>
        <v>0.45918207261718735</v>
      </c>
    </row>
    <row r="134" spans="1:47" x14ac:dyDescent="0.25">
      <c r="A134" t="s">
        <v>157</v>
      </c>
      <c r="B134" s="2" t="str">
        <f t="shared" si="96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101"/>
        <v>e</v>
      </c>
      <c r="N134" t="str">
        <f t="shared" si="102"/>
        <v>7/2</v>
      </c>
      <c r="O134">
        <v>31787.93</v>
      </c>
      <c r="P134" t="str">
        <f t="shared" si="103"/>
        <v>o</v>
      </c>
      <c r="Q134" t="str">
        <f t="shared" si="104"/>
        <v>7/2</v>
      </c>
      <c r="R134">
        <v>4</v>
      </c>
      <c r="S134" t="s">
        <v>159</v>
      </c>
      <c r="AA134" s="10">
        <f t="shared" si="97"/>
        <v>8390.1319999999996</v>
      </c>
      <c r="AB134" s="3">
        <f t="shared" si="98"/>
        <v>11915.49</v>
      </c>
      <c r="AC134" s="3" cm="1">
        <f t="array" ref="AC134">100000000/LvacE(AA134)</f>
        <v>11915.489091204563</v>
      </c>
      <c r="AD134" s="10">
        <f t="shared" si="99"/>
        <v>5.7100894891286913E-3</v>
      </c>
      <c r="AE134" s="10" t="b">
        <f t="shared" si="100"/>
        <v>1</v>
      </c>
      <c r="AJ134" t="s">
        <v>4785</v>
      </c>
      <c r="AK134" t="s">
        <v>4804</v>
      </c>
      <c r="AL134">
        <v>19872.43</v>
      </c>
      <c r="AM134">
        <v>31787.93</v>
      </c>
      <c r="AN134" s="10" cm="1">
        <f t="array" ref="AN134">Lair(100000000/($AM134-$AL134))</f>
        <v>8390.1243447998895</v>
      </c>
      <c r="AO134" s="10">
        <f t="shared" si="105"/>
        <v>8392.4300281146407</v>
      </c>
      <c r="AP134" s="12">
        <v>361000</v>
      </c>
      <c r="AQ134" s="3">
        <v>3.7999999999999999E-2</v>
      </c>
      <c r="AR134" s="3"/>
      <c r="AS134" s="13">
        <f t="shared" si="106"/>
        <v>0.350001502451806</v>
      </c>
      <c r="AT134" s="3"/>
      <c r="AU134" s="3" cm="1">
        <f t="array" ref="AU134">$C134*EXP(poly_from_str($AO134,AU$4341))</f>
        <v>0.55093623987318852</v>
      </c>
    </row>
    <row r="135" spans="1:47" x14ac:dyDescent="0.25">
      <c r="A135" t="s">
        <v>160</v>
      </c>
      <c r="B135" s="2" t="str">
        <f t="shared" si="96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97"/>
        <v>8376.509</v>
      </c>
      <c r="AB135" s="3">
        <f t="shared" si="98"/>
        <v>11934.87</v>
      </c>
      <c r="AC135" s="3" cm="1">
        <f t="array" ref="AC135">100000000/LvacE(AA135)</f>
        <v>11934.867567728523</v>
      </c>
      <c r="AD135" s="10">
        <f t="shared" si="99"/>
        <v>5.7124010472458468E-3</v>
      </c>
      <c r="AE135" s="10" t="b">
        <f t="shared" si="100"/>
        <v>1</v>
      </c>
      <c r="AP135"/>
      <c r="AQ135"/>
      <c r="AU135" s="3" cm="1">
        <f t="array" ref="AU135">$C135*EXP(poly_from_str(100000000/$E135,AU$4341))</f>
        <v>0.45900408215109612</v>
      </c>
    </row>
    <row r="136" spans="1:47" x14ac:dyDescent="0.25">
      <c r="A136" t="s">
        <v>162</v>
      </c>
      <c r="B136" s="2" t="str">
        <f t="shared" si="96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97"/>
        <v>8370.9680000000008</v>
      </c>
      <c r="AB136" s="3">
        <f t="shared" si="98"/>
        <v>11942.77</v>
      </c>
      <c r="AC136" s="3" cm="1">
        <f t="array" ref="AC136">100000000/LvacE(AA136)</f>
        <v>11942.767586618267</v>
      </c>
      <c r="AD136" s="10">
        <f t="shared" si="99"/>
        <v>5.7133444774020324E-3</v>
      </c>
      <c r="AE136" s="10" t="b">
        <f t="shared" si="100"/>
        <v>1</v>
      </c>
      <c r="AJ136" t="s">
        <v>4715</v>
      </c>
      <c r="AK136" t="s">
        <v>4790</v>
      </c>
      <c r="AL136">
        <v>10138.18</v>
      </c>
      <c r="AM136">
        <v>22080.94</v>
      </c>
      <c r="AN136" s="10" cm="1">
        <f t="array" ref="AN136">Lair(100000000/($AM136-$AL136))</f>
        <v>8370.9733436504248</v>
      </c>
      <c r="AO136" s="10">
        <f>100000000/($AM136-$AL136)</f>
        <v>8373.2738495959074</v>
      </c>
      <c r="AU136" s="3" cm="1">
        <f t="array" ref="AU136">$C136*EXP(poly_from_str($AO136,AU$4341))</f>
        <v>0.82611146328626406</v>
      </c>
    </row>
    <row r="137" spans="1:47" x14ac:dyDescent="0.25">
      <c r="A137" t="s">
        <v>164</v>
      </c>
      <c r="B137" s="2" t="str">
        <f t="shared" si="96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97"/>
        <v>8361.2510000000002</v>
      </c>
      <c r="AB137" s="3">
        <f t="shared" si="98"/>
        <v>11956.65</v>
      </c>
      <c r="AC137" s="3" cm="1">
        <f t="array" ref="AC137">100000000/LvacE(AA137)</f>
        <v>11956.64677196318</v>
      </c>
      <c r="AD137" s="10">
        <f t="shared" si="99"/>
        <v>5.7150034589299606E-3</v>
      </c>
      <c r="AE137" s="10" t="b">
        <f t="shared" si="100"/>
        <v>1</v>
      </c>
      <c r="AP137"/>
      <c r="AQ137"/>
      <c r="AU137" s="3" cm="1">
        <f t="array" ref="AU137">$C137*EXP(poly_from_str(100000000/$E137,AU$4341))</f>
        <v>0</v>
      </c>
    </row>
    <row r="138" spans="1:47" x14ac:dyDescent="0.25">
      <c r="A138" t="s">
        <v>166</v>
      </c>
      <c r="B138" s="2" t="str">
        <f t="shared" si="96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97"/>
        <v>8361.1589999999997</v>
      </c>
      <c r="AB138" s="3">
        <f t="shared" si="98"/>
        <v>11956.78</v>
      </c>
      <c r="AC138" s="3" cm="1">
        <f t="array" ref="AC138">100000000/LvacE(AA138)</f>
        <v>11956.778333456998</v>
      </c>
      <c r="AD138" s="10">
        <f t="shared" si="99"/>
        <v>5.7150191937180598E-3</v>
      </c>
      <c r="AE138" s="10" t="b">
        <f t="shared" si="100"/>
        <v>1</v>
      </c>
      <c r="AP138"/>
      <c r="AQ138"/>
      <c r="AU138" s="3" cm="1">
        <f t="array" ref="AU138">$C138*EXP(poly_from_str(100000000/$E138,AU$4341))</f>
        <v>0</v>
      </c>
    </row>
    <row r="139" spans="1:47" x14ac:dyDescent="0.25">
      <c r="A139" t="s">
        <v>169</v>
      </c>
      <c r="B139" s="2" t="str">
        <f t="shared" si="96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97"/>
        <v>8361.06</v>
      </c>
      <c r="AB139" s="3">
        <f t="shared" si="98"/>
        <v>11956.92</v>
      </c>
      <c r="AC139" s="3" cm="1">
        <f t="array" ref="AC139">100000000/LvacE(AA139)</f>
        <v>11956.919908298514</v>
      </c>
      <c r="AD139" s="10">
        <f t="shared" si="99"/>
        <v>5.7150361262984905E-3</v>
      </c>
      <c r="AE139" s="10" t="b">
        <f t="shared" si="100"/>
        <v>1</v>
      </c>
      <c r="AJ139" t="s">
        <v>4985</v>
      </c>
      <c r="AK139" t="s">
        <v>4708</v>
      </c>
      <c r="AL139">
        <v>16763.98</v>
      </c>
      <c r="AM139">
        <v>28720.71</v>
      </c>
      <c r="AN139" s="10" cm="1">
        <f t="array" ref="AN139">Lair(100000000/($AM139-$AL139))</f>
        <v>8361.1928249200901</v>
      </c>
      <c r="AO139" s="10">
        <f>100000000/($AM139-$AL139)</f>
        <v>8363.4906868349462</v>
      </c>
      <c r="AP139" s="12">
        <v>139000</v>
      </c>
      <c r="AQ139" s="3">
        <v>2.1999999999999999E-2</v>
      </c>
      <c r="AR139" s="3"/>
      <c r="AS139" s="13">
        <f>EXP(AR$4341*$AM139+AR$4342)*$AP139/(100000000/($AM139-$AL139))</f>
        <v>0.17023376335060109</v>
      </c>
      <c r="AT139" s="3"/>
      <c r="AU139" s="3" cm="1">
        <f t="array" ref="AU139">$C139*EXP(poly_from_str($AO139,AU$4341))</f>
        <v>9.1768865101163957E-2</v>
      </c>
    </row>
    <row r="140" spans="1:47" x14ac:dyDescent="0.25">
      <c r="A140" t="s">
        <v>173</v>
      </c>
      <c r="B140" s="2" t="str">
        <f t="shared" si="96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97"/>
        <v>8358.8629999999994</v>
      </c>
      <c r="AB140" s="3">
        <f t="shared" si="98"/>
        <v>11960.06</v>
      </c>
      <c r="AC140" s="3" cm="1">
        <f t="array" ref="AC140">100000000/LvacE(AA140)</f>
        <v>11960.062588724839</v>
      </c>
      <c r="AD140" s="10">
        <f t="shared" si="99"/>
        <v>5.7154120475909724E-3</v>
      </c>
      <c r="AE140" s="10" t="b">
        <f t="shared" si="100"/>
        <v>1</v>
      </c>
      <c r="AP140"/>
      <c r="AQ140"/>
      <c r="AU140" s="3" cm="1">
        <f t="array" ref="AU140">$C140*EXP(poly_from_str(100000000/$E140,AU$4341))</f>
        <v>0.36705333254395595</v>
      </c>
    </row>
    <row r="141" spans="1:47" x14ac:dyDescent="0.25">
      <c r="A141" t="s">
        <v>175</v>
      </c>
      <c r="B141" s="2" t="str">
        <f t="shared" si="96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AA141" s="10">
        <f t="shared" si="97"/>
        <v>8354.1569999999992</v>
      </c>
      <c r="AB141" s="3">
        <f t="shared" si="98"/>
        <v>11966.8</v>
      </c>
      <c r="AC141" s="3" cm="1">
        <f t="array" ref="AC141">100000000/LvacE(AA141)</f>
        <v>11966.799809688757</v>
      </c>
      <c r="AD141" s="10">
        <f t="shared" si="99"/>
        <v>5.7162182737102475E-3</v>
      </c>
      <c r="AE141" s="10" t="b">
        <f t="shared" si="100"/>
        <v>1</v>
      </c>
      <c r="AJ141" t="s">
        <v>4977</v>
      </c>
      <c r="AK141" t="s">
        <v>4709</v>
      </c>
      <c r="AL141">
        <v>2893.14</v>
      </c>
      <c r="AM141">
        <v>14859.96</v>
      </c>
      <c r="AN141" s="10" cm="1">
        <f t="array" ref="AN141">Lair(100000000/($AM141-$AL141))</f>
        <v>8354.1429307504204</v>
      </c>
      <c r="AO141" s="10">
        <f>100000000/($AM141-$AL141)</f>
        <v>8356.4388868554888</v>
      </c>
      <c r="AP141" s="12">
        <v>16700</v>
      </c>
      <c r="AQ141" s="3">
        <v>8.9999999999999993E-3</v>
      </c>
      <c r="AR141" s="3"/>
      <c r="AS141" s="13">
        <f>EXP(AR$4341*$AM141+AR$4342)*$AP141/(100000000/($AM141-$AL141))</f>
        <v>5.7925358232956199E-2</v>
      </c>
      <c r="AT141" s="3"/>
      <c r="AU141" s="3" cm="1">
        <f t="array" ref="AU141">$C141*EXP(poly_from_str($AO141,AU$4341))</f>
        <v>9.1751568292175525E-2</v>
      </c>
    </row>
    <row r="142" spans="1:47" x14ac:dyDescent="0.25">
      <c r="A142" t="s">
        <v>178</v>
      </c>
      <c r="B142" s="2" t="str">
        <f t="shared" si="96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97"/>
        <v>8344.1299999999992</v>
      </c>
      <c r="AB142" s="3">
        <f t="shared" si="98"/>
        <v>11981.18</v>
      </c>
      <c r="AC142" s="3" cm="1">
        <f t="array" ref="AC142">100000000/LvacE(AA142)</f>
        <v>11981.180046029867</v>
      </c>
      <c r="AD142" s="10">
        <f t="shared" si="99"/>
        <v>5.7179406388700726E-3</v>
      </c>
      <c r="AE142" s="10" t="b">
        <f t="shared" si="100"/>
        <v>1</v>
      </c>
      <c r="AP142"/>
      <c r="AQ142"/>
      <c r="AU142" s="3" cm="1">
        <f t="array" ref="AU142">$C142*EXP(poly_from_str(100000000/$E142,AU$4341))</f>
        <v>9.1724218356313211E-2</v>
      </c>
    </row>
    <row r="143" spans="1:47" x14ac:dyDescent="0.25">
      <c r="A143" t="s">
        <v>180</v>
      </c>
      <c r="B143" s="2" t="str">
        <f t="shared" si="96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97"/>
        <v>8327.8050000000003</v>
      </c>
      <c r="AB143" s="3">
        <f t="shared" si="98"/>
        <v>12004.67</v>
      </c>
      <c r="AC143" s="3" cm="1">
        <f t="array" ref="AC143">100000000/LvacE(AA143)</f>
        <v>12004.666652698452</v>
      </c>
      <c r="AD143" s="10">
        <f t="shared" si="99"/>
        <v>5.7207581501186964E-3</v>
      </c>
      <c r="AE143" s="10" t="b">
        <f t="shared" si="100"/>
        <v>1</v>
      </c>
      <c r="AP143"/>
      <c r="AQ143"/>
      <c r="AU143" s="3" cm="1">
        <f t="array" ref="AU143">$C143*EXP(poly_from_str(100000000/$E143,AU$4341))</f>
        <v>0.27501801286974514</v>
      </c>
    </row>
    <row r="144" spans="1:47" x14ac:dyDescent="0.25">
      <c r="A144" t="s">
        <v>182</v>
      </c>
      <c r="B144" s="2" t="str">
        <f t="shared" si="96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107">$G144&amp;""</f>
        <v>o</v>
      </c>
      <c r="N144" t="str">
        <f t="shared" ref="N144:N147" si="108">$H144&amp;""</f>
        <v>3/2</v>
      </c>
      <c r="O144">
        <v>35137.82</v>
      </c>
      <c r="P144" t="str">
        <f t="shared" ref="P144:P147" si="109">$J144&amp;""</f>
        <v>e</v>
      </c>
      <c r="Q144" t="str">
        <f t="shared" ref="Q144:Q147" si="110">$K144&amp;""</f>
        <v>3/2</v>
      </c>
      <c r="R144">
        <v>4</v>
      </c>
      <c r="AA144" s="10">
        <f t="shared" si="97"/>
        <v>8299.0830000000005</v>
      </c>
      <c r="AB144" s="3">
        <f t="shared" si="98"/>
        <v>12046.21</v>
      </c>
      <c r="AC144" s="3" cm="1">
        <f t="array" ref="AC144">100000000/LvacE(AA144)</f>
        <v>12046.212985918934</v>
      </c>
      <c r="AD144" s="10">
        <f t="shared" si="99"/>
        <v>5.7257556639642559E-3</v>
      </c>
      <c r="AE144" s="10" t="b">
        <f t="shared" si="100"/>
        <v>1</v>
      </c>
      <c r="AJ144" t="s">
        <v>4992</v>
      </c>
      <c r="AK144" t="s">
        <v>4740</v>
      </c>
      <c r="AL144">
        <v>23091.7</v>
      </c>
      <c r="AM144">
        <v>35137.82</v>
      </c>
      <c r="AN144" s="10" cm="1">
        <f t="array" ref="AN144">Lair(100000000/($AM144-$AL144))</f>
        <v>8299.1470877452102</v>
      </c>
      <c r="AO144" s="10">
        <f t="shared" ref="AO144:AO147" si="111">100000000/($AM144-$AL144)</f>
        <v>8301.4281777036922</v>
      </c>
      <c r="AU144" s="3" cm="1">
        <f t="array" ref="AU144">$C144*EXP(poly_from_str($AO144,AU$4341))</f>
        <v>9.1561668890975251E-2</v>
      </c>
    </row>
    <row r="145" spans="1:48" x14ac:dyDescent="0.25">
      <c r="A145" t="s">
        <v>184</v>
      </c>
      <c r="B145" s="2" t="str">
        <f t="shared" si="96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107"/>
        <v>o</v>
      </c>
      <c r="N145" t="str">
        <f t="shared" si="108"/>
        <v>7/2</v>
      </c>
      <c r="O145">
        <v>25934.98</v>
      </c>
      <c r="P145" t="str">
        <f t="shared" si="109"/>
        <v>e</v>
      </c>
      <c r="Q145" t="str">
        <f t="shared" si="110"/>
        <v>5/2</v>
      </c>
      <c r="R145">
        <v>4</v>
      </c>
      <c r="AA145" s="10">
        <f t="shared" si="97"/>
        <v>8298.2980000000007</v>
      </c>
      <c r="AB145" s="3">
        <f t="shared" si="98"/>
        <v>12047.35</v>
      </c>
      <c r="AC145" s="3" cm="1">
        <f t="array" ref="AC145">100000000/LvacE(AA145)</f>
        <v>12047.352524907552</v>
      </c>
      <c r="AD145" s="10">
        <f t="shared" si="99"/>
        <v>5.7258929797958302E-3</v>
      </c>
      <c r="AE145" s="10" t="b">
        <f t="shared" si="100"/>
        <v>1</v>
      </c>
      <c r="AJ145" t="s">
        <v>4818</v>
      </c>
      <c r="AK145" t="s">
        <v>4713</v>
      </c>
      <c r="AL145">
        <v>13887.6</v>
      </c>
      <c r="AM145">
        <v>25934.98</v>
      </c>
      <c r="AN145" s="10" cm="1">
        <f t="array" ref="AN145">Lair(100000000/($AM145-$AL145))</f>
        <v>8298.2791004313331</v>
      </c>
      <c r="AO145" s="10">
        <f t="shared" si="111"/>
        <v>8300.5599557746173</v>
      </c>
      <c r="AP145" s="12">
        <v>513000</v>
      </c>
      <c r="AQ145" s="3">
        <v>6.8000000000000005E-2</v>
      </c>
      <c r="AR145" s="3">
        <f>LN(AU145*100000000/($AM145-$AL145)/AP145)</f>
        <v>-4.9052986368746554</v>
      </c>
      <c r="AS145" s="13">
        <f t="shared" ref="AS145:AS146" si="112">EXP(AR$4341*$AM145+AR$4342)*$AP145/(100000000/($AM145-$AL145))</f>
        <v>0.78022895028687644</v>
      </c>
      <c r="AT145" s="3">
        <f t="shared" ref="AT145" si="113">LN(AS145/$C145)</f>
        <v>-3.4670437012282154</v>
      </c>
      <c r="AU145" s="3" cm="1">
        <f t="array" ref="AU145">$C145*EXP(poly_from_str($AO145,AU$4341))</f>
        <v>0.45778951772769266</v>
      </c>
      <c r="AV145" s="13">
        <f>LN(AS145/AU145)</f>
        <v>0.53317789242195179</v>
      </c>
    </row>
    <row r="146" spans="1:48" x14ac:dyDescent="0.25">
      <c r="A146" t="s">
        <v>186</v>
      </c>
      <c r="B146" s="2" t="str">
        <f t="shared" si="96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107"/>
        <v>o</v>
      </c>
      <c r="N146" t="str">
        <f t="shared" si="108"/>
        <v>9/2</v>
      </c>
      <c r="O146">
        <v>23844.58</v>
      </c>
      <c r="P146" t="str">
        <f t="shared" si="109"/>
        <v>e</v>
      </c>
      <c r="Q146" t="str">
        <f t="shared" si="110"/>
        <v>9/2</v>
      </c>
      <c r="R146">
        <v>4</v>
      </c>
      <c r="S146" t="s">
        <v>6</v>
      </c>
      <c r="AA146" s="10">
        <f t="shared" si="97"/>
        <v>8273.902</v>
      </c>
      <c r="AB146" s="3">
        <f t="shared" si="98"/>
        <v>12082.87</v>
      </c>
      <c r="AC146" s="3" cm="1">
        <f t="array" ref="AC146">100000000/LvacE(AA146)</f>
        <v>12082.874563605315</v>
      </c>
      <c r="AD146" s="10">
        <f t="shared" si="99"/>
        <v>5.730179941918899E-3</v>
      </c>
      <c r="AE146" s="10" t="b">
        <f t="shared" si="100"/>
        <v>1</v>
      </c>
      <c r="AJ146" t="s">
        <v>4695</v>
      </c>
      <c r="AK146" t="s">
        <v>4763</v>
      </c>
      <c r="AL146">
        <v>11761.69</v>
      </c>
      <c r="AM146">
        <v>23844.58</v>
      </c>
      <c r="AN146" s="10" cm="1">
        <f t="array" ref="AN146">Lair(100000000/($AM146-$AL146))</f>
        <v>8273.8914550405916</v>
      </c>
      <c r="AO146" s="10">
        <f t="shared" si="111"/>
        <v>8276.1657186318826</v>
      </c>
      <c r="AP146" s="12">
        <v>18200</v>
      </c>
      <c r="AQ146" s="3">
        <v>3.0000000000000001E-3</v>
      </c>
      <c r="AR146" s="3"/>
      <c r="AS146" s="13">
        <f t="shared" si="112"/>
        <v>3.247771272513008E-2</v>
      </c>
      <c r="AT146" s="3"/>
      <c r="AU146" s="3" cm="1">
        <f t="array" ref="AU146">$C146*EXP(poly_from_str($AO146,AU$4341))</f>
        <v>9.1442575397805079E-2</v>
      </c>
    </row>
    <row r="147" spans="1:48" x14ac:dyDescent="0.25">
      <c r="A147" t="s">
        <v>188</v>
      </c>
      <c r="B147" s="2" t="str">
        <f t="shared" si="96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107"/>
        <v>o</v>
      </c>
      <c r="N147" t="str">
        <f t="shared" si="108"/>
        <v>3/2</v>
      </c>
      <c r="O147">
        <v>23050.61</v>
      </c>
      <c r="P147" t="str">
        <f t="shared" si="109"/>
        <v>e</v>
      </c>
      <c r="Q147" t="str">
        <f t="shared" si="110"/>
        <v>3/2</v>
      </c>
      <c r="R147">
        <v>4</v>
      </c>
      <c r="AA147" s="10">
        <f t="shared" si="97"/>
        <v>8261.9449999999997</v>
      </c>
      <c r="AB147" s="3">
        <f t="shared" si="98"/>
        <v>12100.36</v>
      </c>
      <c r="AC147" s="3" cm="1">
        <f t="array" ref="AC147">100000000/LvacE(AA147)</f>
        <v>12100.361277378654</v>
      </c>
      <c r="AD147" s="10">
        <f t="shared" si="99"/>
        <v>5.7322949546008027E-3</v>
      </c>
      <c r="AE147" s="10" t="b">
        <f t="shared" si="100"/>
        <v>1</v>
      </c>
      <c r="AJ147" t="s">
        <v>4815</v>
      </c>
      <c r="AK147" t="s">
        <v>4769</v>
      </c>
      <c r="AL147">
        <v>10950.24</v>
      </c>
      <c r="AM147">
        <v>23050.61</v>
      </c>
      <c r="AN147" s="10" cm="1">
        <f t="array" ref="AN147">Lair(100000000/($AM147-$AL147))</f>
        <v>8261.9390695661241</v>
      </c>
      <c r="AO147" s="10">
        <f t="shared" si="111"/>
        <v>8264.2101026662822</v>
      </c>
      <c r="AU147" s="3" cm="1">
        <f t="array" ref="AU147">$C147*EXP(poly_from_str($AO147,AU$4341))</f>
        <v>0.73103526561020471</v>
      </c>
    </row>
    <row r="148" spans="1:48" x14ac:dyDescent="0.25">
      <c r="A148" t="s">
        <v>190</v>
      </c>
      <c r="B148" s="2" t="str">
        <f t="shared" si="96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97"/>
        <v>8253.86</v>
      </c>
      <c r="AB148" s="3">
        <f t="shared" si="98"/>
        <v>12112.21</v>
      </c>
      <c r="AC148" s="3" cm="1">
        <f t="array" ref="AC148">100000000/LvacE(AA148)</f>
        <v>12112.214031176978</v>
      </c>
      <c r="AD148" s="10">
        <f t="shared" si="99"/>
        <v>5.7337302808126728E-3</v>
      </c>
      <c r="AE148" s="10" t="b">
        <f t="shared" si="100"/>
        <v>1</v>
      </c>
      <c r="AP148"/>
      <c r="AQ148"/>
      <c r="AU148" s="3" cm="1">
        <f t="array" ref="AU148">$C148*EXP(poly_from_str(100000000/$E148,AU$4341))</f>
        <v>9.133428724042908E-2</v>
      </c>
    </row>
    <row r="149" spans="1:48" x14ac:dyDescent="0.25">
      <c r="A149" t="s">
        <v>192</v>
      </c>
      <c r="B149" s="2" t="str">
        <f t="shared" si="96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97"/>
        <v>8250.2360000000008</v>
      </c>
      <c r="AB149" s="3">
        <f t="shared" si="98"/>
        <v>12117.53</v>
      </c>
      <c r="AC149" s="3" cm="1">
        <f t="array" ref="AC149">100000000/LvacE(AA149)</f>
        <v>12117.534419744947</v>
      </c>
      <c r="AD149" s="10">
        <f t="shared" si="99"/>
        <v>5.7343750178628188E-3</v>
      </c>
      <c r="AE149" s="10" t="b">
        <f t="shared" si="100"/>
        <v>1</v>
      </c>
      <c r="AP149"/>
      <c r="AQ149"/>
      <c r="AU149" s="3" cm="1">
        <f t="array" ref="AU149">$C149*EXP(poly_from_str(100000000/$E149,AU$4341))</f>
        <v>0.27394022422837599</v>
      </c>
    </row>
    <row r="150" spans="1:48" x14ac:dyDescent="0.25">
      <c r="A150" t="s">
        <v>194</v>
      </c>
      <c r="B150" s="2" t="str">
        <f t="shared" si="96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114">$G150&amp;""</f>
        <v>o</v>
      </c>
      <c r="N150" t="str">
        <f t="shared" ref="N150:N151" si="115">$H150&amp;""</f>
        <v>7/2</v>
      </c>
      <c r="O150">
        <v>37011.919999999998</v>
      </c>
      <c r="P150" t="str">
        <f t="shared" ref="P150:P151" si="116">$J150&amp;""</f>
        <v>e</v>
      </c>
      <c r="Q150" t="str">
        <f t="shared" ref="Q150:Q151" si="117">$K150&amp;""</f>
        <v>5/2</v>
      </c>
      <c r="R150">
        <v>4</v>
      </c>
      <c r="AA150" s="10">
        <f t="shared" si="97"/>
        <v>8244.8870000000006</v>
      </c>
      <c r="AB150" s="3">
        <f t="shared" si="98"/>
        <v>12125.4</v>
      </c>
      <c r="AC150" s="3" cm="1">
        <f t="array" ref="AC150">100000000/LvacE(AA150)</f>
        <v>12125.395824327599</v>
      </c>
      <c r="AD150" s="10">
        <f t="shared" si="99"/>
        <v>5.7353281994239336E-3</v>
      </c>
      <c r="AE150" s="10" t="b">
        <f t="shared" si="100"/>
        <v>1</v>
      </c>
      <c r="AJ150" t="s">
        <v>4989</v>
      </c>
      <c r="AK150" t="s">
        <v>4768</v>
      </c>
      <c r="AL150">
        <v>24886.51</v>
      </c>
      <c r="AM150">
        <v>37011.919999999998</v>
      </c>
      <c r="AN150" s="10" cm="1">
        <f t="array" ref="AN150">Lair(100000000/($AM150-$AL150))</f>
        <v>8244.8773861076024</v>
      </c>
      <c r="AO150" s="10">
        <f t="shared" ref="AO150:AO151" si="118">100000000/($AM150-$AL150)</f>
        <v>8247.1438079207219</v>
      </c>
      <c r="AU150" s="3" cm="1">
        <f t="array" ref="AU150">$C150*EXP(poly_from_str($AO150,AU$4341))</f>
        <v>4.5640899750487538</v>
      </c>
    </row>
    <row r="151" spans="1:48" x14ac:dyDescent="0.25">
      <c r="A151" t="s">
        <v>196</v>
      </c>
      <c r="B151" s="2" t="str">
        <f t="shared" si="96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114"/>
        <v>o</v>
      </c>
      <c r="N151" t="str">
        <f t="shared" si="115"/>
        <v>5/2</v>
      </c>
      <c r="O151">
        <v>22277.66</v>
      </c>
      <c r="P151" t="str">
        <f t="shared" si="116"/>
        <v>e</v>
      </c>
      <c r="Q151" t="str">
        <f t="shared" si="117"/>
        <v>3/2</v>
      </c>
      <c r="R151">
        <v>4</v>
      </c>
      <c r="AA151" s="10">
        <f t="shared" si="97"/>
        <v>8235.3259999999991</v>
      </c>
      <c r="AB151" s="3">
        <f t="shared" si="98"/>
        <v>12139.47</v>
      </c>
      <c r="AC151" s="3" cm="1">
        <f t="array" ref="AC151">100000000/LvacE(AA151)</f>
        <v>12139.473029438492</v>
      </c>
      <c r="AD151" s="10">
        <f t="shared" si="99"/>
        <v>5.7370365805457183E-3</v>
      </c>
      <c r="AE151" s="10" t="b">
        <f t="shared" si="100"/>
        <v>1</v>
      </c>
      <c r="AJ151" t="s">
        <v>4715</v>
      </c>
      <c r="AK151" t="s">
        <v>4766</v>
      </c>
      <c r="AL151">
        <v>10138.18</v>
      </c>
      <c r="AM151">
        <v>22277.66</v>
      </c>
      <c r="AN151" s="10" cm="1">
        <f t="array" ref="AN151">Lair(100000000/($AM151-$AL151))</f>
        <v>8235.3212962930902</v>
      </c>
      <c r="AO151" s="10">
        <f t="shared" si="118"/>
        <v>8237.5851354423758</v>
      </c>
      <c r="AU151" s="3" cm="1">
        <f t="array" ref="AU151">$C151*EXP(poly_from_str($AO151,AU$4341))</f>
        <v>2.7367007754435329</v>
      </c>
    </row>
    <row r="152" spans="1:48" x14ac:dyDescent="0.25">
      <c r="A152" t="s">
        <v>198</v>
      </c>
      <c r="B152" s="2" t="str">
        <f t="shared" si="96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97"/>
        <v>8225.27</v>
      </c>
      <c r="AB152" s="3">
        <f t="shared" si="98"/>
        <v>12154.31</v>
      </c>
      <c r="AC152" s="3" cm="1">
        <f t="array" ref="AC152">100000000/LvacE(AA152)</f>
        <v>12154.314362883826</v>
      </c>
      <c r="AD152" s="10">
        <f t="shared" si="99"/>
        <v>5.738839841299059E-3</v>
      </c>
      <c r="AE152" s="10" t="b">
        <f t="shared" si="100"/>
        <v>1</v>
      </c>
      <c r="AP152"/>
      <c r="AQ152"/>
      <c r="AU152" s="3" cm="1">
        <f t="array" ref="AU152">$C152*EXP(poly_from_str(100000000/$E152,AU$4341))</f>
        <v>9.1159028105453357E-2</v>
      </c>
    </row>
    <row r="153" spans="1:48" x14ac:dyDescent="0.25">
      <c r="A153" t="s">
        <v>200</v>
      </c>
      <c r="B153" s="2" t="str">
        <f t="shared" si="96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97"/>
        <v>8220.91</v>
      </c>
      <c r="AB153" s="3">
        <f t="shared" si="98"/>
        <v>12160.76</v>
      </c>
      <c r="AC153" s="3" cm="1">
        <f t="array" ref="AC153">100000000/LvacE(AA153)</f>
        <v>12160.760433275951</v>
      </c>
      <c r="AD153" s="10">
        <f t="shared" si="99"/>
        <v>5.7396237419747908E-3</v>
      </c>
      <c r="AE153" s="10" t="b">
        <f t="shared" si="100"/>
        <v>1</v>
      </c>
      <c r="AJ153" t="s">
        <v>4982</v>
      </c>
      <c r="AK153" t="s">
        <v>4718</v>
      </c>
      <c r="AL153">
        <v>15443.48</v>
      </c>
      <c r="AM153">
        <v>27604.26</v>
      </c>
      <c r="AN153" s="10" cm="1">
        <f t="array" ref="AN153">Lair(100000000/($AM153-$AL153))</f>
        <v>8220.8967974673433</v>
      </c>
      <c r="AO153" s="10">
        <f>100000000/($AM153-$AL153)</f>
        <v>8223.1567383013262</v>
      </c>
      <c r="AP153" s="12">
        <v>81000</v>
      </c>
      <c r="AQ153" s="3">
        <v>8.5999999999999993E-2</v>
      </c>
      <c r="AR153" s="3">
        <f>LN(AU153*100000000/($AM153-$AL153)/AP153)</f>
        <v>-4.6829621489248634</v>
      </c>
      <c r="AS153" s="13">
        <f>EXP(AR$4341*$AM153+AR$4342)*$AP153/(100000000/($AM153-$AL153))</f>
        <v>0.10971163976679527</v>
      </c>
      <c r="AT153" s="3">
        <f>LN(AS153/$C153)</f>
        <v>-3.8193377243235882</v>
      </c>
      <c r="AU153" s="3" cm="1">
        <f t="array" ref="AU153">$C153*EXP(poly_from_str($AO153,AU$4341))</f>
        <v>9.1130096547844736E-2</v>
      </c>
      <c r="AV153" s="13">
        <f>LN(AS153/AU153)</f>
        <v>0.1855673491333506</v>
      </c>
    </row>
    <row r="154" spans="1:48" x14ac:dyDescent="0.25">
      <c r="A154" t="s">
        <v>202</v>
      </c>
      <c r="B154" s="2" t="str">
        <f t="shared" si="96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97"/>
        <v>8213.0949999999993</v>
      </c>
      <c r="AB154" s="3">
        <f t="shared" si="98"/>
        <v>12172.33</v>
      </c>
      <c r="AC154" s="3" cm="1">
        <f t="array" ref="AC154">100000000/LvacE(AA154)</f>
        <v>12172.331698519434</v>
      </c>
      <c r="AD154" s="10">
        <f t="shared" si="99"/>
        <v>5.741031955585528E-3</v>
      </c>
      <c r="AE154" s="10" t="b">
        <f t="shared" si="100"/>
        <v>1</v>
      </c>
      <c r="AP154"/>
      <c r="AQ154"/>
      <c r="AU154" s="3" cm="1">
        <f t="array" ref="AU154">$C154*EXP(poly_from_str(100000000/$E154,AU$4341))</f>
        <v>9.1077161567629933E-2</v>
      </c>
    </row>
    <row r="155" spans="1:48" x14ac:dyDescent="0.25">
      <c r="A155" t="s">
        <v>204</v>
      </c>
      <c r="B155" s="2" t="str">
        <f t="shared" si="96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97"/>
        <v>8207.0589999999993</v>
      </c>
      <c r="AB155" s="3">
        <f t="shared" si="98"/>
        <v>12181.28</v>
      </c>
      <c r="AC155" s="3" cm="1">
        <f t="array" ref="AC155">100000000/LvacE(AA155)</f>
        <v>12181.283973848935</v>
      </c>
      <c r="AD155" s="10">
        <f t="shared" si="99"/>
        <v>5.7421223591696451E-3</v>
      </c>
      <c r="AE155" s="10" t="b">
        <f t="shared" si="100"/>
        <v>1</v>
      </c>
      <c r="AP155"/>
      <c r="AQ155"/>
      <c r="AU155" s="3" cm="1">
        <f t="array" ref="AU155">$C155*EXP(poly_from_str(100000000/$E155,AU$4341))</f>
        <v>9.1035021864516924E-2</v>
      </c>
    </row>
    <row r="156" spans="1:48" x14ac:dyDescent="0.25">
      <c r="A156" t="s">
        <v>206</v>
      </c>
      <c r="B156" s="2" t="str">
        <f t="shared" si="96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119">$G156&amp;""</f>
        <v>o</v>
      </c>
      <c r="N156" t="str">
        <f t="shared" ref="N156:N157" si="120">$H156&amp;""</f>
        <v>3/2</v>
      </c>
      <c r="O156">
        <v>39120.49</v>
      </c>
      <c r="P156" t="str">
        <f t="shared" ref="P156:P157" si="121">$J156&amp;""</f>
        <v>e</v>
      </c>
      <c r="Q156" t="str">
        <f t="shared" ref="Q156:Q157" si="122">$K156&amp;""</f>
        <v>3/2</v>
      </c>
      <c r="R156">
        <v>4</v>
      </c>
      <c r="S156" t="s">
        <v>208</v>
      </c>
      <c r="AA156" s="10">
        <f t="shared" si="97"/>
        <v>8195.1389999999992</v>
      </c>
      <c r="AB156" s="3">
        <f t="shared" si="98"/>
        <v>12199</v>
      </c>
      <c r="AC156" s="3" cm="1">
        <f t="array" ref="AC156">100000000/LvacE(AA156)</f>
        <v>12199.001821793618</v>
      </c>
      <c r="AD156" s="10">
        <f t="shared" si="99"/>
        <v>5.7442827889675587E-3</v>
      </c>
      <c r="AE156" s="10" t="b">
        <f t="shared" si="100"/>
        <v>1</v>
      </c>
      <c r="AJ156" t="s">
        <v>4981</v>
      </c>
      <c r="AK156" t="s">
        <v>4733</v>
      </c>
      <c r="AL156">
        <v>26921.49</v>
      </c>
      <c r="AM156">
        <v>39120.400000000001</v>
      </c>
      <c r="AN156" s="10" cm="1">
        <f t="array" ref="AN156">Lair(100000000/($AM156-$AL156))</f>
        <v>8195.200710323772</v>
      </c>
      <c r="AO156" s="10">
        <f t="shared" ref="AO156:AO157" si="123">100000000/($AM156-$AL156)</f>
        <v>8197.4537069295529</v>
      </c>
      <c r="AU156" s="3" cm="1">
        <f t="array" ref="AU156">$C156*EXP(poly_from_str($AO156,AU$4341))</f>
        <v>0.63664441565112817</v>
      </c>
    </row>
    <row r="157" spans="1:48" x14ac:dyDescent="0.25">
      <c r="A157" t="s">
        <v>209</v>
      </c>
      <c r="B157" s="2" t="str">
        <f t="shared" si="96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119"/>
        <v>o</v>
      </c>
      <c r="N157" t="str">
        <f t="shared" si="120"/>
        <v>5/2</v>
      </c>
      <c r="O157">
        <v>31254.71</v>
      </c>
      <c r="P157" t="str">
        <f t="shared" si="121"/>
        <v>e</v>
      </c>
      <c r="Q157" t="str">
        <f t="shared" si="122"/>
        <v>7/2</v>
      </c>
      <c r="R157">
        <v>4</v>
      </c>
      <c r="AA157" s="10">
        <f t="shared" si="97"/>
        <v>8188.7160000000003</v>
      </c>
      <c r="AB157" s="3">
        <f t="shared" si="98"/>
        <v>12208.57</v>
      </c>
      <c r="AC157" s="3" cm="1">
        <f t="array" ref="AC157">100000000/LvacE(AA157)</f>
        <v>12208.570333140695</v>
      </c>
      <c r="AD157" s="10">
        <f t="shared" si="99"/>
        <v>5.7454508333871085E-3</v>
      </c>
      <c r="AE157" s="10" t="b">
        <f t="shared" si="100"/>
        <v>1</v>
      </c>
      <c r="AJ157" t="s">
        <v>4983</v>
      </c>
      <c r="AK157" t="s">
        <v>4735</v>
      </c>
      <c r="AL157">
        <v>19046.09</v>
      </c>
      <c r="AM157">
        <v>31254.71</v>
      </c>
      <c r="AN157" s="10" cm="1">
        <f t="array" ref="AN157">Lair(100000000/($AM157-$AL157))</f>
        <v>8188.6827114554926</v>
      </c>
      <c r="AO157" s="10">
        <f t="shared" si="123"/>
        <v>8190.9339466704678</v>
      </c>
      <c r="AU157" s="3" cm="1">
        <f t="array" ref="AU157">$C157*EXP(poly_from_str($AO157,AU$4341))</f>
        <v>0.81810333614123598</v>
      </c>
    </row>
    <row r="158" spans="1:48" x14ac:dyDescent="0.25">
      <c r="A158" t="s">
        <v>211</v>
      </c>
      <c r="B158" s="2" t="str">
        <f t="shared" si="96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97"/>
        <v>8188.0079999999998</v>
      </c>
      <c r="AB158" s="3">
        <f t="shared" si="98"/>
        <v>12209.63</v>
      </c>
      <c r="AC158" s="3" cm="1">
        <f t="array" ref="AC158">100000000/LvacE(AA158)</f>
        <v>12209.625977849035</v>
      </c>
      <c r="AD158" s="10">
        <f t="shared" si="99"/>
        <v>5.7455797538210167E-3</v>
      </c>
      <c r="AE158" s="10" t="b">
        <f t="shared" si="100"/>
        <v>1</v>
      </c>
      <c r="AP158"/>
      <c r="AQ158"/>
      <c r="AU158" s="3" cm="1">
        <f t="array" ref="AU158">$C158*EXP(poly_from_str(100000000/$E158,AU$4341))</f>
        <v>0.45447614225606969</v>
      </c>
    </row>
    <row r="159" spans="1:48" x14ac:dyDescent="0.25">
      <c r="A159" t="s">
        <v>213</v>
      </c>
      <c r="B159" s="2" t="str">
        <f t="shared" si="96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97"/>
        <v>8175.8879999999999</v>
      </c>
      <c r="AB159" s="3">
        <f t="shared" si="98"/>
        <v>12227.73</v>
      </c>
      <c r="AC159" s="3" cm="1">
        <f t="array" ref="AC159">100000000/LvacE(AA159)</f>
        <v>12227.725537462322</v>
      </c>
      <c r="AD159" s="10">
        <f t="shared" si="99"/>
        <v>5.7477918935204542E-3</v>
      </c>
      <c r="AE159" s="10" t="b">
        <f t="shared" si="100"/>
        <v>1</v>
      </c>
      <c r="AP159"/>
      <c r="AQ159"/>
      <c r="AU159" s="3" cm="1">
        <f t="array" ref="AU159">$C159*EXP(poly_from_str(100000000/$E159,AU$4341))</f>
        <v>0.72640874875005834</v>
      </c>
    </row>
    <row r="160" spans="1:48" x14ac:dyDescent="0.25">
      <c r="A160" t="s">
        <v>215</v>
      </c>
      <c r="B160" s="2" t="str">
        <f t="shared" si="96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97"/>
        <v>8175.7370000000001</v>
      </c>
      <c r="AB160" s="3">
        <f t="shared" si="98"/>
        <v>12227.95</v>
      </c>
      <c r="AC160" s="3" cm="1">
        <f t="array" ref="AC160">100000000/LvacE(AA160)</f>
        <v>12227.951373724229</v>
      </c>
      <c r="AD160" s="10">
        <f t="shared" si="99"/>
        <v>5.7478195160707976E-3</v>
      </c>
      <c r="AE160" s="10" t="b">
        <f t="shared" si="100"/>
        <v>1</v>
      </c>
      <c r="AP160"/>
      <c r="AQ160"/>
      <c r="AU160" s="3" cm="1">
        <f t="array" ref="AU160">$C160*EXP(poly_from_str(100000000/$E160,AU$4341))</f>
        <v>0.45399963271899463</v>
      </c>
    </row>
    <row r="161" spans="1:48" x14ac:dyDescent="0.25">
      <c r="A161" t="s">
        <v>217</v>
      </c>
      <c r="B161" s="2" t="str">
        <f t="shared" si="96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97"/>
        <v>8169.8249999999998</v>
      </c>
      <c r="AB161" s="3">
        <f t="shared" si="98"/>
        <v>12236.8</v>
      </c>
      <c r="AC161" s="3" cm="1">
        <f t="array" ref="AC161">100000000/LvacE(AA161)</f>
        <v>12236.799948637336</v>
      </c>
      <c r="AD161" s="10">
        <f t="shared" si="99"/>
        <v>5.7489022071242251E-3</v>
      </c>
      <c r="AE161" s="10" t="b">
        <f t="shared" si="100"/>
        <v>1</v>
      </c>
      <c r="AP161"/>
      <c r="AQ161"/>
      <c r="AU161" s="3" cm="1">
        <f t="array" ref="AU161">$C161*EXP(poly_from_str(100000000/$E161,AU$4341))</f>
        <v>0.36301012086176421</v>
      </c>
    </row>
    <row r="162" spans="1:48" x14ac:dyDescent="0.25">
      <c r="A162" t="s">
        <v>219</v>
      </c>
      <c r="B162" s="2" t="str">
        <f t="shared" si="96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124">$G162&amp;""</f>
        <v>o</v>
      </c>
      <c r="N162" t="str">
        <f t="shared" ref="N162:N163" si="125">$H162&amp;""</f>
        <v>3/2</v>
      </c>
      <c r="O162">
        <v>21611.19</v>
      </c>
      <c r="P162" t="str">
        <f t="shared" ref="P162:P163" si="126">$J162&amp;""</f>
        <v>e</v>
      </c>
      <c r="Q162" t="str">
        <f t="shared" ref="Q162:Q163" si="127">$K162&amp;""</f>
        <v>5/2</v>
      </c>
      <c r="R162">
        <v>4</v>
      </c>
      <c r="AA162" s="10">
        <f t="shared" si="97"/>
        <v>8167.3410000000003</v>
      </c>
      <c r="AB162" s="3">
        <f t="shared" si="98"/>
        <v>12240.52</v>
      </c>
      <c r="AC162" s="3" cm="1">
        <f t="array" ref="AC162">100000000/LvacE(AA162)</f>
        <v>12240.521608844791</v>
      </c>
      <c r="AD162" s="10">
        <f t="shared" si="99"/>
        <v>5.7493578147921574E-3</v>
      </c>
      <c r="AE162" s="10" t="b">
        <f t="shared" si="100"/>
        <v>1</v>
      </c>
      <c r="AJ162" t="s">
        <v>4967</v>
      </c>
      <c r="AK162" t="s">
        <v>4796</v>
      </c>
      <c r="AL162">
        <v>9370.66</v>
      </c>
      <c r="AM162">
        <v>21611.19</v>
      </c>
      <c r="AN162" s="10" cm="1">
        <f t="array" ref="AN162">Lair(100000000/($AM162-$AL162))</f>
        <v>8167.3354257175706</v>
      </c>
      <c r="AO162" s="10">
        <f t="shared" ref="AO162:AO163" si="128">100000000/($AM162-$AL162)</f>
        <v>8169.5808923306431</v>
      </c>
      <c r="AU162" s="3" cm="1">
        <f t="array" ref="AU162">$C162*EXP(poly_from_str($AO162,AU$4341))</f>
        <v>0.72585834676412597</v>
      </c>
    </row>
    <row r="163" spans="1:48" x14ac:dyDescent="0.25">
      <c r="A163" t="s">
        <v>221</v>
      </c>
      <c r="B163" s="2" t="str">
        <f t="shared" si="96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124"/>
        <v>o</v>
      </c>
      <c r="N163" t="str">
        <f t="shared" si="125"/>
        <v>11/2</v>
      </c>
      <c r="O163">
        <v>36642.129999999997</v>
      </c>
      <c r="P163" t="str">
        <f t="shared" si="126"/>
        <v>e</v>
      </c>
      <c r="Q163" t="str">
        <f t="shared" si="127"/>
        <v>13/2</v>
      </c>
      <c r="R163">
        <v>4</v>
      </c>
      <c r="AA163" s="10">
        <f t="shared" si="97"/>
        <v>8138.3429999999998</v>
      </c>
      <c r="AB163" s="3">
        <f t="shared" si="98"/>
        <v>12284.14</v>
      </c>
      <c r="AC163" s="3" cm="1">
        <f t="array" ref="AC163">100000000/LvacE(AA163)</f>
        <v>12284.136011128068</v>
      </c>
      <c r="AD163" s="10">
        <f t="shared" si="99"/>
        <v>5.7547074392863551E-3</v>
      </c>
      <c r="AE163" s="10" t="b">
        <f t="shared" si="100"/>
        <v>1</v>
      </c>
      <c r="AJ163" t="s">
        <v>4987</v>
      </c>
      <c r="AK163" t="s">
        <v>4793</v>
      </c>
      <c r="AL163">
        <v>24357.98</v>
      </c>
      <c r="AM163">
        <v>36642.129999999997</v>
      </c>
      <c r="AN163" s="10" cm="1">
        <f t="array" ref="AN163">Lair(100000000/($AM163-$AL163))</f>
        <v>8138.3337566668415</v>
      </c>
      <c r="AO163" s="10">
        <f t="shared" si="128"/>
        <v>8140.5713867056347</v>
      </c>
      <c r="AP163" s="12">
        <v>1830000</v>
      </c>
      <c r="AQ163" s="3">
        <v>0.29599999999999999</v>
      </c>
      <c r="AR163" s="3">
        <f>LN(AU163*100000000/($AM163-$AL163)/AP163)</f>
        <v>-4.822055353493325</v>
      </c>
      <c r="AS163" s="13">
        <f>EXP(AR$4341*$AM163+AR$4342)*$AP163/(100000000/($AM163-$AL163))</f>
        <v>1.2706813006267317</v>
      </c>
      <c r="AT163" s="3">
        <f>LN(AS163/$C163)</f>
        <v>-4.3656169721729041</v>
      </c>
      <c r="AU163" s="3" cm="1">
        <f t="array" ref="AU163">$C163*EXP(poly_from_str($AO163,AU$4341))</f>
        <v>1.8096899275640121</v>
      </c>
      <c r="AV163" s="13">
        <f>LN(AS163/AU163)</f>
        <v>-0.35360230604907167</v>
      </c>
    </row>
    <row r="164" spans="1:48" x14ac:dyDescent="0.25">
      <c r="A164" t="s">
        <v>223</v>
      </c>
      <c r="B164" s="2" t="str">
        <f t="shared" si="96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97"/>
        <v>8132.7</v>
      </c>
      <c r="AB164" s="3">
        <f t="shared" si="98"/>
        <v>12292.66</v>
      </c>
      <c r="AC164" s="3" cm="1">
        <f t="array" ref="AC164">100000000/LvacE(AA164)</f>
        <v>12292.659508913099</v>
      </c>
      <c r="AD164" s="10">
        <f t="shared" si="99"/>
        <v>5.7557551310704379E-3</v>
      </c>
      <c r="AE164" s="10" t="b">
        <f t="shared" si="100"/>
        <v>1</v>
      </c>
      <c r="AP164"/>
      <c r="AQ164"/>
      <c r="AU164" s="3" cm="1">
        <f t="array" ref="AU164">$C164*EXP(poly_from_str(100000000/$E164,AU$4341))</f>
        <v>9.0433832845711104E-2</v>
      </c>
    </row>
    <row r="165" spans="1:48" x14ac:dyDescent="0.25">
      <c r="A165" t="s">
        <v>225</v>
      </c>
      <c r="B165" s="2" t="str">
        <f t="shared" si="96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129">$G165&amp;""</f>
        <v>o</v>
      </c>
      <c r="N165" t="str">
        <f t="shared" ref="N165:N166" si="130">$H165&amp;""</f>
        <v>11/2</v>
      </c>
      <c r="O165">
        <v>24788.02</v>
      </c>
      <c r="P165" t="str">
        <f t="shared" ref="P165:P166" si="131">$J165&amp;""</f>
        <v>e</v>
      </c>
      <c r="Q165" t="str">
        <f t="shared" ref="Q165:Q166" si="132">$K165&amp;""</f>
        <v>9/2</v>
      </c>
      <c r="R165">
        <v>4</v>
      </c>
      <c r="AA165" s="10">
        <f t="shared" si="97"/>
        <v>8132.2330000000002</v>
      </c>
      <c r="AB165" s="3">
        <f t="shared" si="98"/>
        <v>12293.37</v>
      </c>
      <c r="AC165" s="3" cm="1">
        <f t="array" ref="AC165">100000000/LvacE(AA165)</f>
        <v>12293.365421388315</v>
      </c>
      <c r="AD165" s="10">
        <f t="shared" si="99"/>
        <v>5.7558419330452238E-3</v>
      </c>
      <c r="AE165" s="10" t="b">
        <f t="shared" si="100"/>
        <v>1</v>
      </c>
      <c r="AJ165" t="s">
        <v>4760</v>
      </c>
      <c r="AK165" t="s">
        <v>4705</v>
      </c>
      <c r="AL165">
        <v>12494.63</v>
      </c>
      <c r="AM165">
        <v>24788.02</v>
      </c>
      <c r="AN165" s="10" cm="1">
        <f t="array" ref="AN165">Lair(100000000/($AM165-$AL165))</f>
        <v>8132.2167652646422</v>
      </c>
      <c r="AO165" s="10">
        <f t="shared" ref="AO165:AO166" si="133">100000000/($AM165-$AL165)</f>
        <v>8134.4527424900689</v>
      </c>
      <c r="AP165" s="12">
        <v>2990000</v>
      </c>
      <c r="AQ165" s="3">
        <v>0.16400000000000001</v>
      </c>
      <c r="AR165" s="3">
        <f t="shared" ref="AR165:AR166" si="134">LN(AU165*100000000/($AM165-$AL165)/AP165)</f>
        <v>-3.9280788264499402</v>
      </c>
      <c r="AS165" s="13">
        <f t="shared" ref="AS165:AS166" si="135">EXP(AR$4341*$AM165+AR$4342)*$AP165/(100000000/($AM165-$AL165))</f>
        <v>5.0575141466292282</v>
      </c>
      <c r="AT165" s="3">
        <f t="shared" ref="AT165:AT166" si="136">LN(AS165/$C165)</f>
        <v>-4.3705894598936084</v>
      </c>
      <c r="AU165" s="3" cm="1">
        <f t="array" ref="AU165">$C165*EXP(poly_from_str($AO165,AU$4341))</f>
        <v>7.2343562107194854</v>
      </c>
      <c r="AV165" s="13">
        <f t="shared" ref="AV165:AV166" si="137">LN(AS165/AU165)</f>
        <v>-0.35796628628645483</v>
      </c>
    </row>
    <row r="166" spans="1:48" x14ac:dyDescent="0.25">
      <c r="A166" t="s">
        <v>227</v>
      </c>
      <c r="B166" s="2" t="str">
        <f t="shared" si="96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129"/>
        <v>o</v>
      </c>
      <c r="N166" t="str">
        <f t="shared" si="130"/>
        <v>11/2</v>
      </c>
      <c r="O166">
        <v>36670.57</v>
      </c>
      <c r="P166" t="str">
        <f t="shared" si="131"/>
        <v>e</v>
      </c>
      <c r="Q166" t="str">
        <f t="shared" si="132"/>
        <v>11/2</v>
      </c>
      <c r="R166">
        <v>4</v>
      </c>
      <c r="AA166" s="10">
        <f t="shared" si="97"/>
        <v>8119.5370000000003</v>
      </c>
      <c r="AB166" s="3">
        <f t="shared" si="98"/>
        <v>12312.59</v>
      </c>
      <c r="AC166" s="3" cm="1">
        <f t="array" ref="AC166">100000000/LvacE(AA166)</f>
        <v>12312.587678067413</v>
      </c>
      <c r="AD166" s="10">
        <f t="shared" si="99"/>
        <v>5.7582074986583234E-3</v>
      </c>
      <c r="AE166" s="10" t="b">
        <f t="shared" si="100"/>
        <v>1</v>
      </c>
      <c r="AJ166" t="s">
        <v>4987</v>
      </c>
      <c r="AK166" t="s">
        <v>4772</v>
      </c>
      <c r="AL166">
        <v>24357.98</v>
      </c>
      <c r="AM166">
        <v>36670.57</v>
      </c>
      <c r="AN166" s="10" cm="1">
        <f t="array" ref="AN166">Lair(100000000/($AM166-$AL166))</f>
        <v>8119.5354931144911</v>
      </c>
      <c r="AO166" s="10">
        <f t="shared" si="133"/>
        <v>8121.7680439290189</v>
      </c>
      <c r="AP166" s="12">
        <v>6810000</v>
      </c>
      <c r="AQ166" s="3">
        <v>0.41799999999999998</v>
      </c>
      <c r="AR166" s="3">
        <f t="shared" si="134"/>
        <v>-5.2240577188638948</v>
      </c>
      <c r="AS166" s="13">
        <f t="shared" si="135"/>
        <v>4.7294434885213565</v>
      </c>
      <c r="AT166" s="3">
        <f t="shared" si="136"/>
        <v>-3.9676533779841101</v>
      </c>
      <c r="AU166" s="3" cm="1">
        <f t="array" ref="AU166">$C166*EXP(poly_from_str($AO166,AU$4341))</f>
        <v>4.5156168974180098</v>
      </c>
      <c r="AV166" s="13">
        <f t="shared" si="137"/>
        <v>4.626572947040232E-2</v>
      </c>
    </row>
    <row r="167" spans="1:48" x14ac:dyDescent="0.25">
      <c r="A167" t="s">
        <v>229</v>
      </c>
      <c r="B167" s="2" t="str">
        <f t="shared" si="96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97"/>
        <v>8115.3019999999997</v>
      </c>
      <c r="AB167" s="3">
        <f t="shared" si="98"/>
        <v>12319.01</v>
      </c>
      <c r="AC167" s="3" cm="1">
        <f t="array" ref="AC167">100000000/LvacE(AA167)</f>
        <v>12319.013016294359</v>
      </c>
      <c r="AD167" s="10">
        <f t="shared" si="99"/>
        <v>5.7589990499610708E-3</v>
      </c>
      <c r="AE167" s="10" t="b">
        <f t="shared" si="100"/>
        <v>1</v>
      </c>
      <c r="AP167"/>
      <c r="AQ167"/>
      <c r="AU167" s="3" cm="1">
        <f t="array" ref="AU167">$C167*EXP(poly_from_str(100000000/$E167,AU$4341))</f>
        <v>0.72217895974921187</v>
      </c>
    </row>
    <row r="168" spans="1:48" x14ac:dyDescent="0.25">
      <c r="A168" t="s">
        <v>231</v>
      </c>
      <c r="B168" s="2" t="str">
        <f t="shared" si="96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97"/>
        <v>8110.5569999999998</v>
      </c>
      <c r="AB168" s="3">
        <f t="shared" si="98"/>
        <v>12326.22</v>
      </c>
      <c r="AC168" s="3" cm="1">
        <f t="array" ref="AC168">100000000/LvacE(AA168)</f>
        <v>12326.220096855423</v>
      </c>
      <c r="AD168" s="10">
        <f t="shared" si="99"/>
        <v>5.7598873971821804E-3</v>
      </c>
      <c r="AE168" s="10" t="b">
        <f t="shared" si="100"/>
        <v>1</v>
      </c>
      <c r="AP168"/>
      <c r="AQ168"/>
      <c r="AU168" s="3" cm="1">
        <f t="array" ref="AU168">$C168*EXP(poly_from_str(100000000/$E168,AU$4341))</f>
        <v>0.63158907552809118</v>
      </c>
    </row>
    <row r="169" spans="1:48" x14ac:dyDescent="0.25">
      <c r="A169" t="s">
        <v>233</v>
      </c>
      <c r="B169" s="2" t="str">
        <f t="shared" si="96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97"/>
        <v>8106.2820000000002</v>
      </c>
      <c r="AB169" s="3">
        <f t="shared" si="98"/>
        <v>12332.72</v>
      </c>
      <c r="AC169" s="3" cm="1">
        <f t="array" ref="AC169">100000000/LvacE(AA169)</f>
        <v>12332.72052936695</v>
      </c>
      <c r="AD169" s="10">
        <f t="shared" si="99"/>
        <v>5.7606890883741121E-3</v>
      </c>
      <c r="AE169" s="10" t="b">
        <f t="shared" si="100"/>
        <v>1</v>
      </c>
      <c r="AP169"/>
      <c r="AQ169"/>
      <c r="AU169" s="3" cm="1">
        <f t="array" ref="AU169">$C169*EXP(poly_from_str(100000000/$E169,AU$4341))</f>
        <v>9.0185694726229504E-2</v>
      </c>
    </row>
    <row r="170" spans="1:48" x14ac:dyDescent="0.25">
      <c r="A170" t="s">
        <v>235</v>
      </c>
      <c r="B170" s="2" t="str">
        <f t="shared" si="96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97"/>
        <v>8103.6859999999997</v>
      </c>
      <c r="AB170" s="3">
        <f t="shared" si="98"/>
        <v>12336.67</v>
      </c>
      <c r="AC170" s="3" cm="1">
        <f t="array" ref="AC170">100000000/LvacE(AA170)</f>
        <v>12336.671273430529</v>
      </c>
      <c r="AD170" s="10">
        <f t="shared" si="99"/>
        <v>5.7611765358029999E-3</v>
      </c>
      <c r="AE170" s="10" t="b">
        <f t="shared" si="100"/>
        <v>1</v>
      </c>
      <c r="AP170"/>
      <c r="AQ170"/>
      <c r="AU170" s="3" cm="1">
        <f t="array" ref="AU170">$C170*EXP(poly_from_str(100000000/$E170,AU$4341))</f>
        <v>0.18032078647326991</v>
      </c>
    </row>
    <row r="171" spans="1:48" x14ac:dyDescent="0.25">
      <c r="A171" t="s">
        <v>237</v>
      </c>
      <c r="B171" s="2" t="str">
        <f t="shared" si="96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97"/>
        <v>8102.9040000000005</v>
      </c>
      <c r="AB171" s="3">
        <f t="shared" si="98"/>
        <v>12337.86</v>
      </c>
      <c r="AC171" s="3" cm="1">
        <f t="array" ref="AC171">100000000/LvacE(AA171)</f>
        <v>12337.861862727486</v>
      </c>
      <c r="AD171" s="10">
        <f t="shared" si="99"/>
        <v>5.7613234627195073E-3</v>
      </c>
      <c r="AE171" s="10" t="b">
        <f t="shared" si="100"/>
        <v>1</v>
      </c>
      <c r="AJ171" t="s">
        <v>4993</v>
      </c>
      <c r="AK171" t="s">
        <v>4781</v>
      </c>
      <c r="AL171">
        <v>26447.88</v>
      </c>
      <c r="AM171">
        <v>38785.760000000002</v>
      </c>
      <c r="AN171" s="10" cm="1">
        <f t="array" ref="AN171">Lair(100000000/($AM171-$AL171))</f>
        <v>8102.8921124968147</v>
      </c>
      <c r="AO171" s="10">
        <f>100000000/($AM171-$AL171)</f>
        <v>8105.1201665115877</v>
      </c>
      <c r="AU171" s="3" cm="1">
        <f t="array" ref="AU171">$C171*EXP(poly_from_str($AO171,AU$4341))</f>
        <v>54.09156811314719</v>
      </c>
    </row>
    <row r="172" spans="1:48" x14ac:dyDescent="0.25">
      <c r="A172" t="s">
        <v>240</v>
      </c>
      <c r="B172" s="2" t="str">
        <f t="shared" si="96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97"/>
        <v>8099.5320000000002</v>
      </c>
      <c r="AB172" s="3">
        <f t="shared" si="98"/>
        <v>12343</v>
      </c>
      <c r="AC172" s="3" cm="1">
        <f t="array" ref="AC172">100000000/LvacE(AA172)</f>
        <v>12342.998341107463</v>
      </c>
      <c r="AD172" s="10">
        <f t="shared" si="99"/>
        <v>5.7619575020573695E-3</v>
      </c>
      <c r="AE172" s="10" t="b">
        <f t="shared" si="100"/>
        <v>1</v>
      </c>
      <c r="AP172"/>
      <c r="AQ172"/>
      <c r="AU172" s="3" cm="1">
        <f t="array" ref="AU172">$C172*EXP(poly_from_str(100000000/$E172,AU$4341))</f>
        <v>9.0119544169858151E-2</v>
      </c>
    </row>
    <row r="173" spans="1:48" x14ac:dyDescent="0.25">
      <c r="A173" t="s">
        <v>242</v>
      </c>
      <c r="B173" s="2" t="str">
        <f t="shared" si="96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97"/>
        <v>8097.7619999999997</v>
      </c>
      <c r="AB173" s="3">
        <f t="shared" si="98"/>
        <v>12345.7</v>
      </c>
      <c r="AC173" s="3" cm="1">
        <f t="array" ref="AC173">100000000/LvacE(AA173)</f>
        <v>12345.696247319396</v>
      </c>
      <c r="AD173" s="10">
        <f t="shared" si="99"/>
        <v>5.7622906333453239E-3</v>
      </c>
      <c r="AE173" s="10" t="b">
        <f t="shared" si="100"/>
        <v>1</v>
      </c>
      <c r="AP173"/>
      <c r="AQ173"/>
      <c r="AU173" s="3" cm="1">
        <f t="array" ref="AU173">$C173*EXP(poly_from_str(100000000/$E173,AU$4341))</f>
        <v>9.0102007956328681E-2</v>
      </c>
    </row>
    <row r="174" spans="1:48" x14ac:dyDescent="0.25">
      <c r="A174" t="s">
        <v>244</v>
      </c>
      <c r="B174" s="2" t="str">
        <f t="shared" si="96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97"/>
        <v>8096.2380000000003</v>
      </c>
      <c r="AB174" s="3">
        <f t="shared" si="98"/>
        <v>12348.02</v>
      </c>
      <c r="AC174" s="3" cm="1">
        <f t="array" ref="AC174">100000000/LvacE(AA174)</f>
        <v>12348.020135390598</v>
      </c>
      <c r="AD174" s="10">
        <f t="shared" si="99"/>
        <v>5.762577640095968E-3</v>
      </c>
      <c r="AE174" s="10" t="b">
        <f t="shared" si="100"/>
        <v>1</v>
      </c>
      <c r="AP174"/>
      <c r="AQ174"/>
      <c r="AU174" s="3" cm="1">
        <f t="array" ref="AU174">$C174*EXP(poly_from_str(100000000/$E174,AU$4341))</f>
        <v>9.0086886485709824E-2</v>
      </c>
    </row>
    <row r="175" spans="1:48" x14ac:dyDescent="0.25">
      <c r="A175" t="s">
        <v>246</v>
      </c>
      <c r="B175" s="2" t="str">
        <f t="shared" si="96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97"/>
        <v>8069.1750000000002</v>
      </c>
      <c r="AB175" s="3">
        <f t="shared" si="98"/>
        <v>12389.43</v>
      </c>
      <c r="AC175" s="3" cm="1">
        <f t="array" ref="AC175">100000000/LvacE(AA175)</f>
        <v>12389.433645321731</v>
      </c>
      <c r="AD175" s="10">
        <f t="shared" si="99"/>
        <v>5.767701384919879E-3</v>
      </c>
      <c r="AE175" s="10" t="b">
        <f t="shared" si="100"/>
        <v>1</v>
      </c>
      <c r="AP175"/>
      <c r="AQ175"/>
      <c r="AU175" s="3" cm="1">
        <f t="array" ref="AU175">$C175*EXP(poly_from_str(100000000/$E175,AU$4341))</f>
        <v>0.44904471606784024</v>
      </c>
    </row>
    <row r="176" spans="1:48" x14ac:dyDescent="0.25">
      <c r="A176" t="s">
        <v>248</v>
      </c>
      <c r="B176" s="2" t="str">
        <f t="shared" si="96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97"/>
        <v>8069.067</v>
      </c>
      <c r="AB176" s="3">
        <f t="shared" si="98"/>
        <v>12389.6</v>
      </c>
      <c r="AC176" s="3" cm="1">
        <f t="array" ref="AC176">100000000/LvacE(AA176)</f>
        <v>12389.599470240015</v>
      </c>
      <c r="AD176" s="10">
        <f t="shared" si="99"/>
        <v>5.7677219355248884E-3</v>
      </c>
      <c r="AE176" s="10" t="b">
        <f t="shared" si="100"/>
        <v>1</v>
      </c>
      <c r="AP176"/>
      <c r="AQ176"/>
      <c r="AU176" s="3" cm="1">
        <f t="array" ref="AU176">$C176*EXP(poly_from_str(100000000/$E176,AU$4341))</f>
        <v>0.62865440211976731</v>
      </c>
    </row>
    <row r="177" spans="1:48" x14ac:dyDescent="0.25">
      <c r="A177" t="s">
        <v>250</v>
      </c>
      <c r="B177" s="2" t="str">
        <f t="shared" si="96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97"/>
        <v>8068.12</v>
      </c>
      <c r="AB177" s="3">
        <f t="shared" si="98"/>
        <v>12391.05</v>
      </c>
      <c r="AC177" s="3" cm="1">
        <f t="array" ref="AC177">100000000/LvacE(AA177)</f>
        <v>12391.05369923782</v>
      </c>
      <c r="AD177" s="10">
        <f t="shared" si="99"/>
        <v>5.7679021692313591E-3</v>
      </c>
      <c r="AE177" s="10" t="b">
        <f t="shared" si="100"/>
        <v>1</v>
      </c>
      <c r="AP177"/>
      <c r="AQ177"/>
      <c r="AU177" s="3" cm="1">
        <f t="array" ref="AU177">$C177*EXP(poly_from_str(100000000/$E177,AU$4341))</f>
        <v>0.3591910794647088</v>
      </c>
    </row>
    <row r="178" spans="1:48" x14ac:dyDescent="0.25">
      <c r="A178" t="s">
        <v>252</v>
      </c>
      <c r="B178" s="2" t="str">
        <f t="shared" si="96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97"/>
        <v>8057.6859999999997</v>
      </c>
      <c r="AB178" s="3">
        <f t="shared" si="98"/>
        <v>12407.1</v>
      </c>
      <c r="AC178" s="3" cm="1">
        <f t="array" ref="AC178">100000000/LvacE(AA178)</f>
        <v>12407.09895452966</v>
      </c>
      <c r="AD178" s="10">
        <f t="shared" si="99"/>
        <v>5.7698921845880848E-3</v>
      </c>
      <c r="AE178" s="10" t="b">
        <f t="shared" si="100"/>
        <v>1</v>
      </c>
      <c r="AP178"/>
      <c r="AQ178"/>
      <c r="AU178" s="3" cm="1">
        <f t="array" ref="AU178">$C178*EXP(poly_from_str(100000000/$E178,AU$4341))</f>
        <v>0.44842950554153677</v>
      </c>
    </row>
    <row r="179" spans="1:48" x14ac:dyDescent="0.25">
      <c r="A179" t="s">
        <v>254</v>
      </c>
      <c r="B179" s="2" t="str">
        <f t="shared" si="96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97"/>
        <v>8045.09</v>
      </c>
      <c r="AB179" s="3">
        <f t="shared" si="98"/>
        <v>12426.52</v>
      </c>
      <c r="AC179" s="3" cm="1">
        <f t="array" ref="AC179">100000000/LvacE(AA179)</f>
        <v>12426.524350663105</v>
      </c>
      <c r="AD179" s="10">
        <f t="shared" si="99"/>
        <v>5.7723048686007927E-3</v>
      </c>
      <c r="AE179" s="10" t="b">
        <f t="shared" si="100"/>
        <v>1</v>
      </c>
      <c r="AP179"/>
      <c r="AQ179"/>
      <c r="AU179" s="3" cm="1">
        <f t="array" ref="AU179">$C179*EXP(poly_from_str(100000000/$E179,AU$4341))</f>
        <v>0.2686433371432923</v>
      </c>
    </row>
    <row r="180" spans="1:48" x14ac:dyDescent="0.25">
      <c r="A180" t="s">
        <v>256</v>
      </c>
      <c r="B180" s="2" t="str">
        <f t="shared" si="96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97"/>
        <v>8038.5119999999997</v>
      </c>
      <c r="AB180" s="3">
        <f t="shared" si="98"/>
        <v>12436.69</v>
      </c>
      <c r="AC180" s="3" cm="1">
        <f t="array" ref="AC180">100000000/LvacE(AA180)</f>
        <v>12436.693058472827</v>
      </c>
      <c r="AD180" s="10">
        <f t="shared" si="99"/>
        <v>5.7735693532878244E-3</v>
      </c>
      <c r="AE180" s="10" t="b">
        <f t="shared" si="100"/>
        <v>1</v>
      </c>
      <c r="AP180"/>
      <c r="AQ180"/>
      <c r="AU180" s="3" cm="1">
        <f t="array" ref="AU180">$C180*EXP(poly_from_str(100000000/$E180,AU$4341))</f>
        <v>0.26842284034847019</v>
      </c>
    </row>
    <row r="181" spans="1:48" x14ac:dyDescent="0.25">
      <c r="A181" t="s">
        <v>258</v>
      </c>
      <c r="B181" s="2" t="str">
        <f t="shared" si="96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97"/>
        <v>8014.7749999999996</v>
      </c>
      <c r="AB181" s="3">
        <f t="shared" si="98"/>
        <v>12473.53</v>
      </c>
      <c r="AC181" s="3" cm="1">
        <f t="array" ref="AC181">100000000/LvacE(AA181)</f>
        <v>12473.526075082827</v>
      </c>
      <c r="AD181" s="10">
        <f t="shared" si="99"/>
        <v>5.7781582187324551E-3</v>
      </c>
      <c r="AE181" s="10" t="b">
        <f t="shared" si="100"/>
        <v>1</v>
      </c>
      <c r="AP181"/>
      <c r="AQ181"/>
      <c r="AU181" s="3" cm="1">
        <f t="array" ref="AU181">$C181*EXP(poly_from_str(100000000/$E181,AU$4341))</f>
        <v>8.9201672434869581E-2</v>
      </c>
    </row>
    <row r="182" spans="1:48" x14ac:dyDescent="0.25">
      <c r="A182" t="s">
        <v>260</v>
      </c>
      <c r="B182" s="2" t="str">
        <f t="shared" si="96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97"/>
        <v>8010.2820000000002</v>
      </c>
      <c r="AB182" s="3">
        <f t="shared" si="98"/>
        <v>12480.52</v>
      </c>
      <c r="AC182" s="3" cm="1">
        <f t="array" ref="AC182">100000000/LvacE(AA182)</f>
        <v>12480.522492706703</v>
      </c>
      <c r="AD182" s="10">
        <f t="shared" si="99"/>
        <v>5.7790314056800187E-3</v>
      </c>
      <c r="AE182" s="10" t="b">
        <f t="shared" si="100"/>
        <v>1</v>
      </c>
      <c r="AP182"/>
      <c r="AQ182"/>
      <c r="AU182" s="3" cm="1">
        <f t="array" ref="AU182">$C182*EXP(poly_from_str(100000000/$E182,AU$4341))</f>
        <v>0.26744661688879079</v>
      </c>
    </row>
    <row r="183" spans="1:48" x14ac:dyDescent="0.25">
      <c r="A183" t="s">
        <v>262</v>
      </c>
      <c r="B183" s="2" t="str">
        <f t="shared" si="96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97"/>
        <v>8002.1580000000004</v>
      </c>
      <c r="AB183" s="3">
        <f t="shared" si="98"/>
        <v>12493.19</v>
      </c>
      <c r="AC183" s="3" cm="1">
        <f t="array" ref="AC183">100000000/LvacE(AA183)</f>
        <v>12493.192983241999</v>
      </c>
      <c r="AD183" s="10">
        <f t="shared" si="99"/>
        <v>5.7806139908285993E-3</v>
      </c>
      <c r="AE183" s="10" t="b">
        <f t="shared" si="100"/>
        <v>1</v>
      </c>
      <c r="AP183"/>
      <c r="AQ183"/>
      <c r="AU183" s="3" cm="1">
        <f t="array" ref="AU183">$C183*EXP(poly_from_str(100000000/$E183,AU$4341))</f>
        <v>0.26715700599772724</v>
      </c>
    </row>
    <row r="184" spans="1:48" x14ac:dyDescent="0.25">
      <c r="A184" t="s">
        <v>264</v>
      </c>
      <c r="B184" s="2" t="str">
        <f t="shared" si="96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97"/>
        <v>8001.1440000000002</v>
      </c>
      <c r="AB184" s="3">
        <f t="shared" si="98"/>
        <v>12494.78</v>
      </c>
      <c r="AC184" s="3" cm="1">
        <f t="array" ref="AC184">100000000/LvacE(AA184)</f>
        <v>12494.776261267893</v>
      </c>
      <c r="AD184" s="10">
        <f t="shared" si="99"/>
        <v>5.7808118602332304E-3</v>
      </c>
      <c r="AE184" s="10" t="b">
        <f t="shared" si="100"/>
        <v>1</v>
      </c>
      <c r="AJ184" t="s">
        <v>4812</v>
      </c>
      <c r="AK184" t="s">
        <v>4799</v>
      </c>
      <c r="AL184">
        <v>10032.92</v>
      </c>
      <c r="AM184">
        <v>22527.7</v>
      </c>
      <c r="AN184" s="10" cm="1">
        <f t="array" ref="AN184">Lair(100000000/($AM184-$AL184))</f>
        <v>8001.141629388916</v>
      </c>
      <c r="AO184" s="10">
        <f>100000000/($AM184-$AL184)</f>
        <v>8003.3421957009241</v>
      </c>
      <c r="AP184" s="12">
        <v>1380000</v>
      </c>
      <c r="AQ184" s="3">
        <v>9.8000000000000004E-2</v>
      </c>
      <c r="AR184" s="3">
        <f>LN(AU184*100000000/($AM184-$AL184)/AP184)</f>
        <v>-3.6566244725460533</v>
      </c>
      <c r="AS184" s="13">
        <f>EXP(AR$4341*$AM184+AR$4342)*$AP184/(100000000/($AM184-$AL184))</f>
        <v>2.8110670063019754</v>
      </c>
      <c r="AT184" s="3">
        <f>LN(AS184/$C184)</f>
        <v>-4.487896789045867</v>
      </c>
      <c r="AU184" s="3" cm="1">
        <f t="array" ref="AU184">$C184*EXP(poly_from_str($AO184,AU$4341))</f>
        <v>4.4520073159460019</v>
      </c>
      <c r="AV184" s="13">
        <f>LN(AS184/AU184)</f>
        <v>-0.45979094788981945</v>
      </c>
    </row>
    <row r="185" spans="1:48" x14ac:dyDescent="0.25">
      <c r="A185" t="s">
        <v>266</v>
      </c>
      <c r="B185" s="2" t="str">
        <f t="shared" si="96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97"/>
        <v>7998.2719999999999</v>
      </c>
      <c r="AB185" s="3">
        <f t="shared" si="98"/>
        <v>12499.26</v>
      </c>
      <c r="AC185" s="3" cm="1">
        <f t="array" ref="AC185">100000000/LvacE(AA185)</f>
        <v>12499.262833004563</v>
      </c>
      <c r="AD185" s="10">
        <f t="shared" si="99"/>
        <v>5.781372703566756E-3</v>
      </c>
      <c r="AE185" s="10" t="b">
        <f t="shared" si="100"/>
        <v>1</v>
      </c>
      <c r="AP185"/>
      <c r="AQ185"/>
      <c r="AU185" s="3" cm="1">
        <f t="array" ref="AU185">$C185*EXP(poly_from_str(100000000/$E185,AU$4341))</f>
        <v>8.9005714895745214E-2</v>
      </c>
    </row>
    <row r="186" spans="1:48" x14ac:dyDescent="0.25">
      <c r="A186" t="s">
        <v>268</v>
      </c>
      <c r="B186" s="2" t="str">
        <f t="shared" si="96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97"/>
        <v>7996.8050000000003</v>
      </c>
      <c r="AB186" s="3">
        <f t="shared" si="98"/>
        <v>12501.56</v>
      </c>
      <c r="AC186" s="3" cm="1">
        <f t="array" ref="AC186">100000000/LvacE(AA186)</f>
        <v>12501.555789808637</v>
      </c>
      <c r="AD186" s="10">
        <f t="shared" si="99"/>
        <v>5.7816594120907432E-3</v>
      </c>
      <c r="AE186" s="10" t="b">
        <f t="shared" si="100"/>
        <v>1</v>
      </c>
      <c r="AJ186" t="s">
        <v>4991</v>
      </c>
      <c r="AK186" t="s">
        <v>4737</v>
      </c>
      <c r="AL186">
        <v>27597.13</v>
      </c>
      <c r="AM186">
        <v>40098.660000000003</v>
      </c>
      <c r="AN186" s="10" cm="1">
        <f t="array" ref="AN186">Lair(100000000/($AM186-$AL186))</f>
        <v>7996.8215204498592</v>
      </c>
      <c r="AO186" s="10">
        <f>100000000/($AM186-$AL186)</f>
        <v>7999.0209198394105</v>
      </c>
      <c r="AU186" s="3" cm="1">
        <f t="array" ref="AU186">$C186*EXP(poly_from_str($AO186,AU$4341))</f>
        <v>0.8008939771218242</v>
      </c>
    </row>
    <row r="187" spans="1:48" x14ac:dyDescent="0.25">
      <c r="A187" t="s">
        <v>270</v>
      </c>
      <c r="B187" s="2" t="str">
        <f t="shared" si="96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97"/>
        <v>7987.3630000000003</v>
      </c>
      <c r="AB187" s="3">
        <f t="shared" si="98"/>
        <v>12516.33</v>
      </c>
      <c r="AC187" s="3" cm="1">
        <f t="array" ref="AC187">100000000/LvacE(AA187)</f>
        <v>12516.334022422823</v>
      </c>
      <c r="AD187" s="10">
        <f t="shared" si="99"/>
        <v>5.7835085260568991E-3</v>
      </c>
      <c r="AE187" s="10" t="b">
        <f t="shared" si="100"/>
        <v>1</v>
      </c>
      <c r="AP187"/>
      <c r="AQ187"/>
      <c r="AU187" s="3" cm="1">
        <f t="array" ref="AU187">$C187*EXP(poly_from_str(100000000/$E187,AU$4341))</f>
        <v>0.35549345435185203</v>
      </c>
    </row>
    <row r="188" spans="1:48" x14ac:dyDescent="0.25">
      <c r="A188" t="s">
        <v>272</v>
      </c>
      <c r="B188" s="2" t="str">
        <f t="shared" si="96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97"/>
        <v>7977.8239999999996</v>
      </c>
      <c r="AB188" s="3">
        <f t="shared" si="98"/>
        <v>12531.3</v>
      </c>
      <c r="AC188" s="3" cm="1">
        <f t="array" ref="AC188">100000000/LvacE(AA188)</f>
        <v>12531.29959708957</v>
      </c>
      <c r="AD188" s="10">
        <f t="shared" si="99"/>
        <v>5.7853833073460616E-3</v>
      </c>
      <c r="AE188" s="10" t="b">
        <f t="shared" si="100"/>
        <v>1</v>
      </c>
      <c r="AP188"/>
      <c r="AQ188"/>
      <c r="AU188" s="3" cm="1">
        <f t="array" ref="AU188">$C188*EXP(poly_from_str(100000000/$E188,AU$4341))</f>
        <v>0.17751167438549206</v>
      </c>
    </row>
    <row r="189" spans="1:48" x14ac:dyDescent="0.25">
      <c r="A189" t="s">
        <v>274</v>
      </c>
      <c r="B189" s="2" t="str">
        <f t="shared" si="96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138">$G189&amp;""</f>
        <v>o</v>
      </c>
      <c r="N189" t="str">
        <f t="shared" ref="N189:N192" si="139">$H189&amp;""</f>
        <v>11/2</v>
      </c>
      <c r="O189">
        <v>25033.91</v>
      </c>
      <c r="P189" t="str">
        <f t="shared" ref="P189:P192" si="140">$J189&amp;""</f>
        <v>e</v>
      </c>
      <c r="Q189" t="str">
        <f t="shared" ref="Q189:Q192" si="141">$K189&amp;""</f>
        <v>9/2</v>
      </c>
      <c r="R189">
        <v>4</v>
      </c>
      <c r="AA189" s="10">
        <f t="shared" si="97"/>
        <v>7972.7479999999996</v>
      </c>
      <c r="AB189" s="3">
        <f t="shared" si="98"/>
        <v>12539.28</v>
      </c>
      <c r="AC189" s="3" cm="1">
        <f t="array" ref="AC189">100000000/LvacE(AA189)</f>
        <v>12539.277845265664</v>
      </c>
      <c r="AD189" s="10">
        <f t="shared" si="99"/>
        <v>5.7863836813395872E-3</v>
      </c>
      <c r="AE189" s="10" t="b">
        <f t="shared" si="100"/>
        <v>1</v>
      </c>
      <c r="AJ189" t="s">
        <v>4760</v>
      </c>
      <c r="AK189" t="s">
        <v>4746</v>
      </c>
      <c r="AL189">
        <v>12494.63</v>
      </c>
      <c r="AM189">
        <v>25033.91</v>
      </c>
      <c r="AN189" s="10" cm="1">
        <f t="array" ref="AN189">Lair(100000000/($AM189-$AL189))</f>
        <v>7972.7466533074767</v>
      </c>
      <c r="AO189" s="10">
        <f t="shared" ref="AO189:AO192" si="142">100000000/($AM189-$AL189)</f>
        <v>7974.9395499582106</v>
      </c>
      <c r="AP189" s="12">
        <v>3390000</v>
      </c>
      <c r="AQ189" s="3">
        <v>0.182</v>
      </c>
      <c r="AR189" s="3">
        <f>LN(AU189*100000000/($AM189-$AL189)/AP189)</f>
        <v>-3.1765419814349931</v>
      </c>
      <c r="AS189" s="13">
        <f t="shared" ref="AS189:AS191" si="143">EXP(AR$4341*$AM189+AR$4342)*$AP189/(100000000/($AM189-$AL189))</f>
        <v>5.7418575395993168</v>
      </c>
      <c r="AT189" s="3">
        <f t="shared" ref="AT189:AT191" si="144">LN(AS189/$C189)</f>
        <v>-5.1599725078314975</v>
      </c>
      <c r="AU189" s="3" cm="1">
        <f t="array" ref="AU189">$C189*EXP(poly_from_str($AO189,AU$4341))</f>
        <v>17.738530716227363</v>
      </c>
      <c r="AV189" s="13">
        <f>LN(AS189/AU189)</f>
        <v>-1.1279563790892269</v>
      </c>
    </row>
    <row r="190" spans="1:48" x14ac:dyDescent="0.25">
      <c r="A190" t="s">
        <v>276</v>
      </c>
      <c r="B190" s="2" t="str">
        <f t="shared" si="96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138"/>
        <v>o</v>
      </c>
      <c r="N190" t="str">
        <f t="shared" si="139"/>
        <v>7/2</v>
      </c>
      <c r="O190">
        <v>26446.97</v>
      </c>
      <c r="P190" t="str">
        <f t="shared" si="140"/>
        <v>e</v>
      </c>
      <c r="Q190" t="str">
        <f t="shared" si="141"/>
        <v>7/2</v>
      </c>
      <c r="R190">
        <v>4</v>
      </c>
      <c r="AA190" s="10">
        <f t="shared" si="97"/>
        <v>7960</v>
      </c>
      <c r="AB190" s="3">
        <f t="shared" si="98"/>
        <v>12559.36</v>
      </c>
      <c r="AC190" s="3" cm="1">
        <f t="array" ref="AC190">100000000/LvacE(AA190)</f>
        <v>12559.359493664828</v>
      </c>
      <c r="AD190" s="10">
        <f t="shared" si="99"/>
        <v>5.7889044908080922E-3</v>
      </c>
      <c r="AE190" s="10" t="b">
        <f t="shared" si="100"/>
        <v>1</v>
      </c>
      <c r="AJ190" t="s">
        <v>4818</v>
      </c>
      <c r="AK190" t="s">
        <v>4736</v>
      </c>
      <c r="AL190">
        <v>13887.6</v>
      </c>
      <c r="AM190">
        <v>26446.97</v>
      </c>
      <c r="AN190" s="10" cm="1">
        <f t="array" ref="AN190">Lair(100000000/($AM190-$AL190))</f>
        <v>7959.9933644154626</v>
      </c>
      <c r="AO190" s="10">
        <f t="shared" si="142"/>
        <v>7962.1828164947756</v>
      </c>
      <c r="AP190" s="12">
        <v>63700</v>
      </c>
      <c r="AQ190" s="3">
        <v>1.4E-2</v>
      </c>
      <c r="AR190" s="3"/>
      <c r="AS190" s="13">
        <f t="shared" si="143"/>
        <v>9.7192419629356916E-2</v>
      </c>
      <c r="AT190" s="3"/>
      <c r="AU190" s="3" cm="1">
        <f t="array" ref="AU190">$C190*EXP(poly_from_str($AO190,AU$4341))</f>
        <v>0.26559604300270001</v>
      </c>
    </row>
    <row r="191" spans="1:48" x14ac:dyDescent="0.25">
      <c r="A191" t="s">
        <v>278</v>
      </c>
      <c r="B191" s="2" t="str">
        <f t="shared" si="96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138"/>
        <v>o</v>
      </c>
      <c r="N191" t="str">
        <f t="shared" si="139"/>
        <v>13/2</v>
      </c>
      <c r="O191">
        <v>15454.16</v>
      </c>
      <c r="P191" t="str">
        <f t="shared" si="140"/>
        <v>e</v>
      </c>
      <c r="Q191" t="str">
        <f t="shared" si="141"/>
        <v>13/2</v>
      </c>
      <c r="R191">
        <v>4</v>
      </c>
      <c r="S191" t="s">
        <v>6</v>
      </c>
      <c r="AA191" s="10">
        <f t="shared" si="97"/>
        <v>7958.94</v>
      </c>
      <c r="AB191" s="3">
        <f t="shared" si="98"/>
        <v>12561.03</v>
      </c>
      <c r="AC191" s="3" cm="1">
        <f t="array" ref="AC191">100000000/LvacE(AA191)</f>
        <v>12561.032185628077</v>
      </c>
      <c r="AD191" s="10">
        <f t="shared" si="99"/>
        <v>5.7891146425044088E-3</v>
      </c>
      <c r="AE191" s="10" t="b">
        <f t="shared" si="100"/>
        <v>1</v>
      </c>
      <c r="AJ191" t="s">
        <v>4977</v>
      </c>
      <c r="AK191" t="s">
        <v>4803</v>
      </c>
      <c r="AL191">
        <v>2893.14</v>
      </c>
      <c r="AM191">
        <v>15454.16</v>
      </c>
      <c r="AN191" s="10" cm="1">
        <f t="array" ref="AN191">Lair(100000000/($AM191-$AL191))</f>
        <v>7958.947744370792</v>
      </c>
      <c r="AO191" s="10">
        <f t="shared" si="142"/>
        <v>7961.1369140404204</v>
      </c>
      <c r="AP191" s="12">
        <v>39100</v>
      </c>
      <c r="AQ191" s="3">
        <v>0.32</v>
      </c>
      <c r="AR191" s="3">
        <f>LN(AU191*100000000/($AM191-$AL191)/AP191)</f>
        <v>-4.0160918252687132</v>
      </c>
      <c r="AS191" s="13">
        <f t="shared" si="143"/>
        <v>0.13614721525339246</v>
      </c>
      <c r="AT191" s="3">
        <f t="shared" si="144"/>
        <v>-3.6034564260246134</v>
      </c>
      <c r="AU191" s="3" cm="1">
        <f t="array" ref="AU191">$C191*EXP(poly_from_str($AO191,AU$4341))</f>
        <v>8.8518724211823011E-2</v>
      </c>
      <c r="AV191" s="13">
        <f>LN(AS191/AU191)</f>
        <v>0.43052266274120499</v>
      </c>
    </row>
    <row r="192" spans="1:48" x14ac:dyDescent="0.25">
      <c r="A192" t="s">
        <v>280</v>
      </c>
      <c r="B192" s="2" t="str">
        <f t="shared" si="96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138"/>
        <v>o</v>
      </c>
      <c r="N192" t="str">
        <f t="shared" si="139"/>
        <v>3/2</v>
      </c>
      <c r="O192">
        <v>39485.480000000003</v>
      </c>
      <c r="P192" t="str">
        <f t="shared" si="140"/>
        <v>e</v>
      </c>
      <c r="Q192" t="str">
        <f t="shared" si="141"/>
        <v>1/2</v>
      </c>
      <c r="R192">
        <v>4</v>
      </c>
      <c r="S192" t="s">
        <v>208</v>
      </c>
      <c r="AA192" s="10">
        <f t="shared" si="97"/>
        <v>7957.0439999999999</v>
      </c>
      <c r="AB192" s="3">
        <f t="shared" si="98"/>
        <v>12564.03</v>
      </c>
      <c r="AC192" s="3" cm="1">
        <f t="array" ref="AC192">100000000/LvacE(AA192)</f>
        <v>12564.025206496657</v>
      </c>
      <c r="AD192" s="10">
        <f t="shared" si="99"/>
        <v>5.7894907459665086E-3</v>
      </c>
      <c r="AE192" s="10" t="b">
        <f t="shared" si="100"/>
        <v>1</v>
      </c>
      <c r="AJ192" t="s">
        <v>4981</v>
      </c>
      <c r="AK192" t="s">
        <v>4809</v>
      </c>
      <c r="AL192">
        <v>26921.49</v>
      </c>
      <c r="AM192">
        <v>39485.480000000003</v>
      </c>
      <c r="AN192" s="10" cm="1">
        <f t="array" ref="AN192">Lair(100000000/($AM192-$AL192))</f>
        <v>7957.066320375734</v>
      </c>
      <c r="AO192" s="10">
        <f t="shared" si="142"/>
        <v>7959.2549818966736</v>
      </c>
      <c r="AU192" s="3" cm="1">
        <f t="array" ref="AU192">$C192*EXP(poly_from_str($AO192,AU$4341))</f>
        <v>0.88494766002171077</v>
      </c>
    </row>
    <row r="193" spans="1:48" x14ac:dyDescent="0.25">
      <c r="A193" t="s">
        <v>282</v>
      </c>
      <c r="B193" s="2" t="str">
        <f t="shared" si="96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97"/>
        <v>7948.1620000000003</v>
      </c>
      <c r="AB193" s="3">
        <f t="shared" si="98"/>
        <v>12578.07</v>
      </c>
      <c r="AC193" s="3" cm="1">
        <f t="array" ref="AC193">100000000/LvacE(AA193)</f>
        <v>12578.065322518662</v>
      </c>
      <c r="AD193" s="10">
        <f t="shared" si="99"/>
        <v>5.7912562251825435E-3</v>
      </c>
      <c r="AE193" s="10" t="b">
        <f t="shared" si="100"/>
        <v>1</v>
      </c>
      <c r="AP193"/>
      <c r="AQ193"/>
      <c r="AU193" s="3" cm="1">
        <f t="array" ref="AU193">$C193*EXP(poly_from_str(100000000/$E193,AU$4341))</f>
        <v>8.838057027741858E-2</v>
      </c>
    </row>
    <row r="194" spans="1:48" x14ac:dyDescent="0.25">
      <c r="A194" t="s">
        <v>284</v>
      </c>
      <c r="B194" s="2" t="str">
        <f t="shared" si="96"/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97"/>
        <v>7945.2790000000005</v>
      </c>
      <c r="AB194" s="3">
        <f t="shared" si="98"/>
        <v>12582.63</v>
      </c>
      <c r="AC194" s="3" cm="1">
        <f t="array" ref="AC194">100000000/LvacE(AA194)</f>
        <v>12582.629338671024</v>
      </c>
      <c r="AD194" s="10">
        <f t="shared" si="99"/>
        <v>5.7918305536326055E-3</v>
      </c>
      <c r="AE194" s="10" t="b">
        <f t="shared" si="100"/>
        <v>1</v>
      </c>
      <c r="AJ194" t="s">
        <v>4815</v>
      </c>
      <c r="AK194" t="s">
        <v>4756</v>
      </c>
      <c r="AL194">
        <v>10950.24</v>
      </c>
      <c r="AM194">
        <v>23532.86</v>
      </c>
      <c r="AN194" s="10" cm="1">
        <f t="array" ref="AN194">Lair(100000000/($AM194-$AL194))</f>
        <v>7945.2849200786577</v>
      </c>
      <c r="AO194" s="10">
        <f>100000000/($AM194-$AL194)</f>
        <v>7947.4703996464959</v>
      </c>
      <c r="AU194" s="3" cm="1">
        <f t="array" ref="AU194">$C194*EXP(poly_from_str($AO194,AU$4341))</f>
        <v>0.88343455527741099</v>
      </c>
    </row>
    <row r="195" spans="1:48" x14ac:dyDescent="0.25">
      <c r="A195" t="s">
        <v>286</v>
      </c>
      <c r="B195" s="2" t="str">
        <f t="shared" ref="B195:B258" si="145">IF(OR(A195=A194,A195=A196),IF(B194="",1,B194+1),"")</f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146">ROUND($A195,3)+0</f>
        <v>7942.7569999999996</v>
      </c>
      <c r="AB195" s="3">
        <f t="shared" ref="AB195:AB258" si="147">ROUND($E195,2)+0</f>
        <v>12586.62</v>
      </c>
      <c r="AC195" s="3" cm="1">
        <f t="array" ref="AC195">100000000/LvacE(AA195)</f>
        <v>12586.624580249269</v>
      </c>
      <c r="AD195" s="10">
        <f t="shared" ref="AD195:AD258" si="148">0.0005/$AA195*AC195+0.005</f>
        <v>5.7923334794359989E-3</v>
      </c>
      <c r="AE195" s="10" t="b">
        <f t="shared" ref="AE195:AE258" si="149">ABS(AB195-AC195)&lt;AD195</f>
        <v>1</v>
      </c>
      <c r="AP195"/>
      <c r="AQ195"/>
      <c r="AU195" s="3" cm="1">
        <f t="array" ref="AU195">$C195*EXP(poly_from_str(100000000/$E195,AU$4341))</f>
        <v>0.17662148793875437</v>
      </c>
    </row>
    <row r="196" spans="1:48" x14ac:dyDescent="0.25">
      <c r="A196" t="s">
        <v>288</v>
      </c>
      <c r="B196" s="2" t="str">
        <f t="shared" si="145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146"/>
        <v>7942.3959999999997</v>
      </c>
      <c r="AB196" s="3">
        <f t="shared" si="147"/>
        <v>12587.2</v>
      </c>
      <c r="AC196" s="3" cm="1">
        <f t="array" ref="AC196">100000000/LvacE(AA196)</f>
        <v>12587.196668170718</v>
      </c>
      <c r="AD196" s="10">
        <f t="shared" si="148"/>
        <v>5.7924055076182751E-3</v>
      </c>
      <c r="AE196" s="10" t="b">
        <f t="shared" si="149"/>
        <v>1</v>
      </c>
      <c r="AP196"/>
      <c r="AQ196"/>
      <c r="AU196" s="3" cm="1">
        <f t="array" ref="AU196">$C196*EXP(poly_from_str(100000000/$E196,AU$4341))</f>
        <v>0</v>
      </c>
    </row>
    <row r="197" spans="1:48" x14ac:dyDescent="0.25">
      <c r="A197" t="s">
        <v>290</v>
      </c>
      <c r="B197" s="2" t="str">
        <f t="shared" si="145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146"/>
        <v>7942.2439999999997</v>
      </c>
      <c r="AB197" s="3">
        <f t="shared" si="147"/>
        <v>12587.44</v>
      </c>
      <c r="AC197" s="3" cm="1">
        <f t="array" ref="AC197">100000000/LvacE(AA197)</f>
        <v>12587.437562854122</v>
      </c>
      <c r="AD197" s="10">
        <f t="shared" si="148"/>
        <v>5.7924358382123566E-3</v>
      </c>
      <c r="AE197" s="10" t="b">
        <f t="shared" si="149"/>
        <v>1</v>
      </c>
      <c r="AP197"/>
      <c r="AQ197"/>
      <c r="AU197" s="3" cm="1">
        <f t="array" ref="AU197">$C197*EXP(poly_from_str(100000000/$E197,AU$4341))</f>
        <v>0</v>
      </c>
    </row>
    <row r="198" spans="1:48" x14ac:dyDescent="0.25">
      <c r="A198" t="s">
        <v>292</v>
      </c>
      <c r="B198" s="2" t="str">
        <f t="shared" si="145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146"/>
        <v>7942.0659999999998</v>
      </c>
      <c r="AB198" s="3">
        <f t="shared" si="147"/>
        <v>12587.72</v>
      </c>
      <c r="AC198" s="3" cm="1">
        <f t="array" ref="AC198">100000000/LvacE(AA198)</f>
        <v>12587.719674928489</v>
      </c>
      <c r="AD198" s="10">
        <f t="shared" si="148"/>
        <v>5.7924713591481422E-3</v>
      </c>
      <c r="AE198" s="10" t="b">
        <f t="shared" si="149"/>
        <v>1</v>
      </c>
      <c r="AP198"/>
      <c r="AQ198"/>
      <c r="AU198" s="3" cm="1">
        <f t="array" ref="AU198">$C198*EXP(poly_from_str(100000000/$E198,AU$4341))</f>
        <v>8.8301734804970999E-2</v>
      </c>
    </row>
    <row r="199" spans="1:48" x14ac:dyDescent="0.25">
      <c r="A199" t="s">
        <v>294</v>
      </c>
      <c r="B199" s="2" t="str">
        <f t="shared" si="145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146"/>
        <v>7938.6480000000001</v>
      </c>
      <c r="AB199" s="3">
        <f t="shared" si="147"/>
        <v>12593.14</v>
      </c>
      <c r="AC199" s="3" cm="1">
        <f t="array" ref="AC199">100000000/LvacE(AA199)</f>
        <v>12593.139314540864</v>
      </c>
      <c r="AD199" s="10">
        <f t="shared" si="148"/>
        <v>5.7931539044520468E-3</v>
      </c>
      <c r="AE199" s="10" t="b">
        <f t="shared" si="149"/>
        <v>1</v>
      </c>
      <c r="AP199"/>
      <c r="AQ199"/>
      <c r="AU199" s="3" cm="1">
        <f t="array" ref="AU199">$C199*EXP(poly_from_str(100000000/$E199,AU$4341))</f>
        <v>0.35302904146005121</v>
      </c>
    </row>
    <row r="200" spans="1:48" x14ac:dyDescent="0.25">
      <c r="A200" t="s">
        <v>296</v>
      </c>
      <c r="B200" s="2" t="str">
        <f t="shared" si="145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146"/>
        <v>7936.5550000000003</v>
      </c>
      <c r="AB200" s="3">
        <f t="shared" si="147"/>
        <v>12596.46</v>
      </c>
      <c r="AC200" s="3" cm="1">
        <f t="array" ref="AC200">100000000/LvacE(AA200)</f>
        <v>12596.460315779761</v>
      </c>
      <c r="AD200" s="10">
        <f t="shared" si="148"/>
        <v>5.7935722940104213E-3</v>
      </c>
      <c r="AE200" s="10" t="b">
        <f t="shared" si="149"/>
        <v>1</v>
      </c>
      <c r="AP200"/>
      <c r="AQ200"/>
      <c r="AU200" s="3" cm="1">
        <f t="array" ref="AU200">$C200*EXP(poly_from_str(100000000/$E200,AU$4341))</f>
        <v>0.35291979898238451</v>
      </c>
    </row>
    <row r="201" spans="1:48" x14ac:dyDescent="0.25">
      <c r="A201" t="s">
        <v>298</v>
      </c>
      <c r="B201" s="2" t="str">
        <f t="shared" si="145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146"/>
        <v>7928.8879999999999</v>
      </c>
      <c r="AB201" s="3">
        <f t="shared" si="147"/>
        <v>12608.64</v>
      </c>
      <c r="AC201" s="3" cm="1">
        <f t="array" ref="AC201">100000000/LvacE(AA201)</f>
        <v>12608.640659135519</v>
      </c>
      <c r="AD201" s="10">
        <f t="shared" si="148"/>
        <v>5.7951077540214667E-3</v>
      </c>
      <c r="AE201" s="10" t="b">
        <f t="shared" si="149"/>
        <v>1</v>
      </c>
      <c r="AJ201" t="s">
        <v>4991</v>
      </c>
      <c r="AK201" t="s">
        <v>4779</v>
      </c>
      <c r="AL201">
        <v>27597.13</v>
      </c>
      <c r="AM201">
        <v>40205.74</v>
      </c>
      <c r="AN201" s="10" cm="1">
        <f t="array" ref="AN201">Lair(100000000/($AM201-$AL201))</f>
        <v>7928.9073030532736</v>
      </c>
      <c r="AO201" s="10">
        <f>100000000/($AM201-$AL201)</f>
        <v>7931.0883594623056</v>
      </c>
      <c r="AU201" s="3" cm="1">
        <f t="array" ref="AU201">$C201*EXP(poly_from_str($AO201,AU$4341))</f>
        <v>0.88129574237701158</v>
      </c>
    </row>
    <row r="202" spans="1:48" x14ac:dyDescent="0.25">
      <c r="A202" t="s">
        <v>300</v>
      </c>
      <c r="B202" s="2" t="str">
        <f t="shared" si="145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146"/>
        <v>7928.5240000000003</v>
      </c>
      <c r="AB202" s="3">
        <f t="shared" si="147"/>
        <v>12609.22</v>
      </c>
      <c r="AC202" s="3" cm="1">
        <f t="array" ref="AC202">100000000/LvacE(AA202)</f>
        <v>12609.219521258497</v>
      </c>
      <c r="AD202" s="10">
        <f t="shared" si="148"/>
        <v>5.7951807626021251E-3</v>
      </c>
      <c r="AE202" s="10" t="b">
        <f t="shared" si="149"/>
        <v>1</v>
      </c>
      <c r="AP202"/>
      <c r="AQ202"/>
      <c r="AU202" s="3" cm="1">
        <f t="array" ref="AU202">$C202*EXP(poly_from_str(100000000/$E202,AU$4341))</f>
        <v>0.35249806976232678</v>
      </c>
    </row>
    <row r="203" spans="1:48" x14ac:dyDescent="0.25">
      <c r="A203" t="s">
        <v>302</v>
      </c>
      <c r="B203" s="2" t="str">
        <f t="shared" si="145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146"/>
        <v>7925.1319999999996</v>
      </c>
      <c r="AB203" s="3">
        <f t="shared" si="147"/>
        <v>12614.62</v>
      </c>
      <c r="AC203" s="3" cm="1">
        <f t="array" ref="AC203">100000000/LvacE(AA203)</f>
        <v>12614.61630940736</v>
      </c>
      <c r="AD203" s="10">
        <f t="shared" si="148"/>
        <v>5.7958615900282392E-3</v>
      </c>
      <c r="AE203" s="10" t="b">
        <f t="shared" si="149"/>
        <v>1</v>
      </c>
      <c r="AP203"/>
      <c r="AQ203"/>
      <c r="AU203" s="3" cm="1">
        <f t="array" ref="AU203">$C203*EXP(poly_from_str(100000000/$E203,AU$4341))</f>
        <v>0.2642390450890465</v>
      </c>
    </row>
    <row r="204" spans="1:48" x14ac:dyDescent="0.25">
      <c r="A204" t="s">
        <v>304</v>
      </c>
      <c r="B204" s="2" t="str">
        <f t="shared" si="145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146"/>
        <v>7923.1639999999998</v>
      </c>
      <c r="AB204" s="3">
        <f t="shared" si="147"/>
        <v>12617.75</v>
      </c>
      <c r="AC204" s="3" cm="1">
        <f t="array" ref="AC204">100000000/LvacE(AA204)</f>
        <v>12617.749582997929</v>
      </c>
      <c r="AD204" s="10">
        <f t="shared" si="148"/>
        <v>5.7962569992870226E-3</v>
      </c>
      <c r="AE204" s="10" t="b">
        <f t="shared" si="149"/>
        <v>1</v>
      </c>
      <c r="AJ204" t="s">
        <v>4990</v>
      </c>
      <c r="AK204" t="s">
        <v>4811</v>
      </c>
      <c r="AL204">
        <v>23245.99</v>
      </c>
      <c r="AM204">
        <v>35863.74</v>
      </c>
      <c r="AN204" s="10" cm="1">
        <f t="array" ref="AN204">Lair(100000000/($AM204-$AL204))</f>
        <v>7923.163761156723</v>
      </c>
      <c r="AO204" s="10">
        <f>100000000/($AM204-$AL204)</f>
        <v>7925.34326643023</v>
      </c>
      <c r="AU204" s="3" cm="1">
        <f t="array" ref="AU204">$C204*EXP(poly_from_str($AO204,AU$4341))</f>
        <v>1.7610727236322024</v>
      </c>
    </row>
    <row r="205" spans="1:48" x14ac:dyDescent="0.25">
      <c r="A205" t="s">
        <v>306</v>
      </c>
      <c r="B205" s="2" t="str">
        <f t="shared" si="145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146"/>
        <v>7920.2179999999998</v>
      </c>
      <c r="AB205" s="3">
        <f t="shared" si="147"/>
        <v>12622.44</v>
      </c>
      <c r="AC205" s="3" cm="1">
        <f t="array" ref="AC205">100000000/LvacE(AA205)</f>
        <v>12622.442850771755</v>
      </c>
      <c r="AD205" s="10">
        <f t="shared" si="148"/>
        <v>5.7968494586116033E-3</v>
      </c>
      <c r="AE205" s="10" t="b">
        <f t="shared" si="149"/>
        <v>1</v>
      </c>
      <c r="AP205"/>
      <c r="AQ205"/>
      <c r="AU205" s="3" cm="1">
        <f t="array" ref="AU205">$C205*EXP(poly_from_str(100000000/$E205,AU$4341))</f>
        <v>0.44007266066814793</v>
      </c>
    </row>
    <row r="206" spans="1:48" x14ac:dyDescent="0.25">
      <c r="A206" t="s">
        <v>308</v>
      </c>
      <c r="B206" s="2" t="str">
        <f t="shared" si="145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146"/>
        <v>7914.0029999999997</v>
      </c>
      <c r="AB206" s="3">
        <f t="shared" si="147"/>
        <v>12632.36</v>
      </c>
      <c r="AC206" s="3" cm="1">
        <f t="array" ref="AC206">100000000/LvacE(AA206)</f>
        <v>12632.355418210353</v>
      </c>
      <c r="AD206" s="10">
        <f t="shared" si="148"/>
        <v>5.7981015055345794E-3</v>
      </c>
      <c r="AE206" s="10" t="b">
        <f t="shared" si="149"/>
        <v>1</v>
      </c>
      <c r="AJ206" t="s">
        <v>4977</v>
      </c>
      <c r="AK206" t="s">
        <v>4734</v>
      </c>
      <c r="AL206">
        <v>2893.14</v>
      </c>
      <c r="AM206">
        <v>15525.5</v>
      </c>
      <c r="AN206" s="10" cm="1">
        <f t="array" ref="AN206">Lair(100000000/($AM206-$AL206))</f>
        <v>7914.0001525042589</v>
      </c>
      <c r="AO206" s="10">
        <f>100000000/($AM206-$AL206)</f>
        <v>7916.1771830441812</v>
      </c>
      <c r="AP206" s="12">
        <v>1270000</v>
      </c>
      <c r="AQ206" s="3">
        <v>0.48699999999999999</v>
      </c>
      <c r="AR206" s="3">
        <f>LN(AU206*100000000/($AM206-$AL206)/AP206)</f>
        <v>-2.2107433111985197</v>
      </c>
      <c r="AS206" s="13">
        <f>EXP(AR$4341*$AM206+AR$4342)*$AP206/(100000000/($AM206-$AL206))</f>
        <v>4.4235421682892389</v>
      </c>
      <c r="AT206" s="3">
        <f>LN(AS206/$C206)</f>
        <v>-5.4208145082979264</v>
      </c>
      <c r="AU206" s="3" cm="1">
        <f t="array" ref="AU206">$C206*EXP(poly_from_str($AO206,AU$4341))</f>
        <v>17.586304713617537</v>
      </c>
      <c r="AV206" s="13">
        <f>LN(AS206/AU206)</f>
        <v>-1.3801796871790977</v>
      </c>
    </row>
    <row r="207" spans="1:48" x14ac:dyDescent="0.25">
      <c r="A207" t="s">
        <v>310</v>
      </c>
      <c r="B207" s="2" t="str">
        <f t="shared" si="145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146"/>
        <v>7912.7539999999999</v>
      </c>
      <c r="AB207" s="3">
        <f t="shared" si="147"/>
        <v>12634.35</v>
      </c>
      <c r="AC207" s="3" cm="1">
        <f t="array" ref="AC207">100000000/LvacE(AA207)</f>
        <v>12634.349380445086</v>
      </c>
      <c r="AD207" s="10">
        <f t="shared" si="148"/>
        <v>5.7983534797394869E-3</v>
      </c>
      <c r="AE207" s="10" t="b">
        <f t="shared" si="149"/>
        <v>1</v>
      </c>
      <c r="AP207"/>
      <c r="AQ207"/>
      <c r="AU207" s="3" cm="1">
        <f t="array" ref="AU207">$C207*EXP(poly_from_str(100000000/$E207,AU$4341))</f>
        <v>0.43957412040126687</v>
      </c>
    </row>
    <row r="208" spans="1:48" x14ac:dyDescent="0.25">
      <c r="A208" t="s">
        <v>312</v>
      </c>
      <c r="B208" s="2" t="str">
        <f t="shared" si="145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146"/>
        <v>7906.69</v>
      </c>
      <c r="AB208" s="3">
        <f t="shared" si="147"/>
        <v>12644.04</v>
      </c>
      <c r="AC208" s="3" cm="1">
        <f t="array" ref="AC208">100000000/LvacE(AA208)</f>
        <v>12644.0391886003</v>
      </c>
      <c r="AD208" s="10">
        <f t="shared" si="148"/>
        <v>5.7995785334065391E-3</v>
      </c>
      <c r="AE208" s="10" t="b">
        <f t="shared" si="149"/>
        <v>1</v>
      </c>
      <c r="AP208"/>
      <c r="AQ208"/>
      <c r="AU208" s="3" cm="1">
        <f t="array" ref="AU208">$C208*EXP(poly_from_str(100000000/$E208,AU$4341))</f>
        <v>0.26349986591173724</v>
      </c>
    </row>
    <row r="209" spans="1:48" x14ac:dyDescent="0.25">
      <c r="A209" t="s">
        <v>314</v>
      </c>
      <c r="B209" s="2" t="str">
        <f t="shared" si="145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146"/>
        <v>7897.6940000000004</v>
      </c>
      <c r="AB209" s="3">
        <f t="shared" si="147"/>
        <v>12658.44</v>
      </c>
      <c r="AC209" s="3" cm="1">
        <f t="array" ref="AC209">100000000/LvacE(AA209)</f>
        <v>12658.441519600654</v>
      </c>
      <c r="AD209" s="10">
        <f t="shared" si="148"/>
        <v>5.8014011127552334E-3</v>
      </c>
      <c r="AE209" s="10" t="b">
        <f t="shared" si="149"/>
        <v>1</v>
      </c>
      <c r="AP209"/>
      <c r="AQ209"/>
      <c r="AU209" s="3" cm="1">
        <f t="array" ref="AU209">$C209*EXP(poly_from_str(100000000/$E209,AU$4341))</f>
        <v>0.43855737299305114</v>
      </c>
    </row>
    <row r="210" spans="1:48" x14ac:dyDescent="0.25">
      <c r="A210" t="s">
        <v>316</v>
      </c>
      <c r="B210" s="2" t="str">
        <f t="shared" si="145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AA210" s="10">
        <f t="shared" si="146"/>
        <v>7897.09</v>
      </c>
      <c r="AB210" s="3">
        <f t="shared" si="147"/>
        <v>12659.41</v>
      </c>
      <c r="AC210" s="3" cm="1">
        <f t="array" ref="AC210">100000000/LvacE(AA210)</f>
        <v>12659.409681304109</v>
      </c>
      <c r="AD210" s="10">
        <f t="shared" si="148"/>
        <v>5.801523705650063E-3</v>
      </c>
      <c r="AE210" s="10" t="b">
        <f t="shared" si="149"/>
        <v>1</v>
      </c>
      <c r="AJ210" t="s">
        <v>4994</v>
      </c>
      <c r="AK210" t="s">
        <v>4729</v>
      </c>
      <c r="AL210">
        <v>4453.76</v>
      </c>
      <c r="AM210">
        <v>17113.189999999999</v>
      </c>
      <c r="AN210" s="10" cm="1">
        <f t="array" ref="AN210">Lair(100000000/($AM210-$AL210))</f>
        <v>7897.0773477473113</v>
      </c>
      <c r="AO210" s="10">
        <f>100000000/($AM210-$AL210)</f>
        <v>7899.2498082457123</v>
      </c>
      <c r="AP210" s="12">
        <v>843000</v>
      </c>
      <c r="AQ210" s="3">
        <v>0.73499999999999999</v>
      </c>
      <c r="AR210" s="3">
        <f>LN(AU210*100000000/($AM210-$AL210)/AP210)</f>
        <v>-2.7219708740534032</v>
      </c>
      <c r="AS210" s="13">
        <f>EXP(AR$4341*$AM210+AR$4342)*$AP210/(100000000/($AM210-$AL210))</f>
        <v>2.6120234141456149</v>
      </c>
      <c r="AT210" s="3">
        <f>LN(AS210/$C210)</f>
        <v>-5.0313393716659744</v>
      </c>
      <c r="AU210" s="3" cm="1">
        <f t="array" ref="AU210">$C210*EXP(poly_from_str($AO210,AU$4341))</f>
        <v>7.0162458091378692</v>
      </c>
      <c r="AV210" s="13">
        <f>LN(AS210/AU210)</f>
        <v>-0.98810311452410404</v>
      </c>
    </row>
    <row r="211" spans="1:48" x14ac:dyDescent="0.25">
      <c r="A211" t="s">
        <v>318</v>
      </c>
      <c r="B211" s="2" t="str">
        <f t="shared" si="145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146"/>
        <v>7893.277</v>
      </c>
      <c r="AB211" s="3">
        <f t="shared" si="147"/>
        <v>12665.52</v>
      </c>
      <c r="AC211" s="3" cm="1">
        <f t="array" ref="AC211">100000000/LvacE(AA211)</f>
        <v>12665.525022930962</v>
      </c>
      <c r="AD211" s="10">
        <f t="shared" si="148"/>
        <v>5.8022982737670906E-3</v>
      </c>
      <c r="AE211" s="10" t="b">
        <f t="shared" si="149"/>
        <v>1</v>
      </c>
      <c r="AP211"/>
      <c r="AQ211"/>
      <c r="AU211" s="3" cm="1">
        <f t="array" ref="AU211">$C211*EXP(poly_from_str(100000000/$E211,AU$4341))</f>
        <v>0.17530262652609982</v>
      </c>
    </row>
    <row r="212" spans="1:48" x14ac:dyDescent="0.25">
      <c r="A212" t="s">
        <v>320</v>
      </c>
      <c r="B212" s="2" t="str">
        <f t="shared" si="145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146"/>
        <v>7888.1170000000002</v>
      </c>
      <c r="AB212" s="3">
        <f t="shared" si="147"/>
        <v>12673.81</v>
      </c>
      <c r="AC212" s="3" cm="1">
        <f t="array" ref="AC212">100000000/LvacE(AA212)</f>
        <v>12673.810115399499</v>
      </c>
      <c r="AD212" s="10">
        <f t="shared" si="148"/>
        <v>5.8033482588683398E-3</v>
      </c>
      <c r="AE212" s="10" t="b">
        <f t="shared" si="149"/>
        <v>1</v>
      </c>
      <c r="AJ212" t="s">
        <v>4817</v>
      </c>
      <c r="AK212" t="s">
        <v>4756</v>
      </c>
      <c r="AL212">
        <v>10859.06</v>
      </c>
      <c r="AM212">
        <v>23532.86</v>
      </c>
      <c r="AN212" s="10" cm="1">
        <f t="array" ref="AN212">Lair(100000000/($AM212-$AL212))</f>
        <v>7888.1233185861611</v>
      </c>
      <c r="AO212" s="10">
        <f>100000000/($AM212-$AL212)</f>
        <v>7890.2933611071649</v>
      </c>
      <c r="AU212" s="3" cm="1">
        <f t="array" ref="AU212">$C212*EXP(poly_from_str($AO212,AU$4341))</f>
        <v>17.51614820570483</v>
      </c>
    </row>
    <row r="213" spans="1:48" x14ac:dyDescent="0.25">
      <c r="A213" t="s">
        <v>322</v>
      </c>
      <c r="B213" s="2" t="str">
        <f t="shared" si="145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146"/>
        <v>7881.0649999999996</v>
      </c>
      <c r="AB213" s="3">
        <f t="shared" si="147"/>
        <v>12685.15</v>
      </c>
      <c r="AC213" s="3" cm="1">
        <f t="array" ref="AC213">100000000/LvacE(AA213)</f>
        <v>12685.15062031307</v>
      </c>
      <c r="AD213" s="10">
        <f t="shared" si="148"/>
        <v>5.804786575184513E-3</v>
      </c>
      <c r="AE213" s="10" t="b">
        <f t="shared" si="149"/>
        <v>1</v>
      </c>
      <c r="AP213"/>
      <c r="AQ213"/>
      <c r="AU213" s="3" cm="1">
        <f t="array" ref="AU213">$C213*EXP(poly_from_str(100000000/$E213,AU$4341))</f>
        <v>8.7483645180413405E-2</v>
      </c>
    </row>
    <row r="214" spans="1:48" x14ac:dyDescent="0.25">
      <c r="A214" t="s">
        <v>324</v>
      </c>
      <c r="B214" s="2" t="str">
        <f t="shared" si="145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146"/>
        <v>7877.1049999999996</v>
      </c>
      <c r="AB214" s="3">
        <f t="shared" si="147"/>
        <v>12691.53</v>
      </c>
      <c r="AC214" s="3" cm="1">
        <f t="array" ref="AC214">100000000/LvacE(AA214)</f>
        <v>12691.52770196571</v>
      </c>
      <c r="AD214" s="10">
        <f t="shared" si="148"/>
        <v>5.8055959455895097E-3</v>
      </c>
      <c r="AE214" s="10" t="b">
        <f t="shared" si="149"/>
        <v>1</v>
      </c>
      <c r="AP214"/>
      <c r="AQ214"/>
      <c r="AU214" s="3" cm="1">
        <f t="array" ref="AU214">$C214*EXP(poly_from_str(100000000/$E214,AU$4341))</f>
        <v>0.43714446743483554</v>
      </c>
    </row>
    <row r="215" spans="1:48" x14ac:dyDescent="0.25">
      <c r="A215" t="s">
        <v>326</v>
      </c>
      <c r="B215" s="2" t="str">
        <f t="shared" si="145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146"/>
        <v>7876.567</v>
      </c>
      <c r="AB215" s="3">
        <f t="shared" si="147"/>
        <v>12692.39</v>
      </c>
      <c r="AC215" s="3" cm="1">
        <f t="array" ref="AC215">100000000/LvacE(AA215)</f>
        <v>12692.394578013647</v>
      </c>
      <c r="AD215" s="10">
        <f t="shared" si="148"/>
        <v>5.8057059997086071E-3</v>
      </c>
      <c r="AE215" s="10" t="b">
        <f t="shared" si="149"/>
        <v>1</v>
      </c>
      <c r="AP215"/>
      <c r="AQ215"/>
      <c r="AU215" s="3" cm="1">
        <f t="array" ref="AU215">$C215*EXP(poly_from_str(100000000/$E215,AU$4341))</f>
        <v>0.26226451200271522</v>
      </c>
    </row>
    <row r="216" spans="1:48" x14ac:dyDescent="0.25">
      <c r="A216" t="s">
        <v>328</v>
      </c>
      <c r="B216" s="2" t="str">
        <f t="shared" si="145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146"/>
        <v>7872.1760000000004</v>
      </c>
      <c r="AB216" s="3">
        <f t="shared" si="147"/>
        <v>12699.47</v>
      </c>
      <c r="AC216" s="3" cm="1">
        <f t="array" ref="AC216">100000000/LvacE(AA216)</f>
        <v>12699.474198905007</v>
      </c>
      <c r="AD216" s="10">
        <f t="shared" si="148"/>
        <v>5.8066050732926327E-3</v>
      </c>
      <c r="AE216" s="10" t="b">
        <f t="shared" si="149"/>
        <v>1</v>
      </c>
      <c r="AP216"/>
      <c r="AQ216"/>
      <c r="AU216" s="3" cm="1">
        <f t="array" ref="AU216">$C216*EXP(poly_from_str(100000000/$E216,AU$4341))</f>
        <v>8.7360589269412356E-2</v>
      </c>
    </row>
    <row r="217" spans="1:48" x14ac:dyDescent="0.25">
      <c r="A217" t="s">
        <v>330</v>
      </c>
      <c r="B217" s="2" t="str">
        <f t="shared" si="145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146"/>
        <v>7866.1390000000001</v>
      </c>
      <c r="AB217" s="3">
        <f t="shared" si="147"/>
        <v>12709.22</v>
      </c>
      <c r="AC217" s="3" cm="1">
        <f t="array" ref="AC217">100000000/LvacE(AA217)</f>
        <v>12709.220573329905</v>
      </c>
      <c r="AD217" s="10">
        <f t="shared" si="148"/>
        <v>5.8078436303585475E-3</v>
      </c>
      <c r="AE217" s="10" t="b">
        <f t="shared" si="149"/>
        <v>1</v>
      </c>
      <c r="AJ217" t="s">
        <v>4695</v>
      </c>
      <c r="AK217" t="s">
        <v>4747</v>
      </c>
      <c r="AL217">
        <v>11761.69</v>
      </c>
      <c r="AM217">
        <v>24470.9</v>
      </c>
      <c r="AN217" s="10" cm="1">
        <f t="array" ref="AN217">Lair(100000000/($AM217-$AL217))</f>
        <v>7866.145566834276</v>
      </c>
      <c r="AO217" s="10">
        <f>100000000/($AM217-$AL217)</f>
        <v>7868.3096746375259</v>
      </c>
      <c r="AP217" s="12">
        <v>9350000</v>
      </c>
      <c r="AQ217" s="3">
        <v>0.56100000000000005</v>
      </c>
      <c r="AR217" s="3">
        <f>LN(AU217*100000000/($AM217-$AL217)/AP217)</f>
        <v>-3.8151792080620708</v>
      </c>
      <c r="AS217" s="13">
        <f>EXP(AR$4341*$AM217+AR$4342)*$AP217/(100000000/($AM217-$AL217))</f>
        <v>16.744035068597618</v>
      </c>
      <c r="AT217" s="3">
        <f>LN(AS217/$C217)</f>
        <v>-4.4951783075509448</v>
      </c>
      <c r="AU217" s="3" cm="1">
        <f t="array" ref="AU217">$C217*EXP(poly_from_str($AO217,AU$4341))</f>
        <v>26.182968855643718</v>
      </c>
      <c r="AV217" s="13">
        <f>LN(AS217/AU217)</f>
        <v>-0.44706707617997782</v>
      </c>
    </row>
    <row r="218" spans="1:48" x14ac:dyDescent="0.25">
      <c r="A218" t="s">
        <v>332</v>
      </c>
      <c r="B218" s="2" t="str">
        <f t="shared" si="145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146"/>
        <v>7861.384</v>
      </c>
      <c r="AB218" s="3">
        <f t="shared" si="147"/>
        <v>12716.91</v>
      </c>
      <c r="AC218" s="3" cm="1">
        <f t="array" ref="AC218">100000000/LvacE(AA218)</f>
        <v>12716.907773978606</v>
      </c>
      <c r="AD218" s="10">
        <f t="shared" si="148"/>
        <v>5.8088211804676257E-3</v>
      </c>
      <c r="AE218" s="10" t="b">
        <f t="shared" si="149"/>
        <v>1</v>
      </c>
      <c r="AP218"/>
      <c r="AQ218"/>
      <c r="AU218" s="3" cm="1">
        <f t="array" ref="AU218">$C218*EXP(poly_from_str(100000000/$E218,AU$4341))</f>
        <v>0.26162988041267021</v>
      </c>
    </row>
    <row r="219" spans="1:48" x14ac:dyDescent="0.25">
      <c r="A219" t="s">
        <v>334</v>
      </c>
      <c r="B219" s="2" t="str">
        <f t="shared" si="145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146"/>
        <v>7854.9170000000004</v>
      </c>
      <c r="AB219" s="3">
        <f t="shared" si="147"/>
        <v>12727.38</v>
      </c>
      <c r="AC219" s="3" cm="1">
        <f t="array" ref="AC219">100000000/LvacE(AA219)</f>
        <v>12727.377626588626</v>
      </c>
      <c r="AD219" s="10">
        <f t="shared" si="148"/>
        <v>5.8101535399157382E-3</v>
      </c>
      <c r="AE219" s="10" t="b">
        <f t="shared" si="149"/>
        <v>1</v>
      </c>
      <c r="AP219"/>
      <c r="AQ219"/>
      <c r="AU219" s="3" cm="1">
        <f t="array" ref="AU219">$C219*EXP(poly_from_str(100000000/$E219,AU$4341))</f>
        <v>0.69695332052286341</v>
      </c>
    </row>
    <row r="220" spans="1:48" x14ac:dyDescent="0.25">
      <c r="A220" t="s">
        <v>336</v>
      </c>
      <c r="B220" s="2" t="str">
        <f t="shared" si="145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146"/>
        <v>7854.0569999999998</v>
      </c>
      <c r="AB220" s="3">
        <f t="shared" si="147"/>
        <v>12728.77</v>
      </c>
      <c r="AC220" s="3" cm="1">
        <f t="array" ref="AC220">100000000/LvacE(AA220)</f>
        <v>12728.771236148228</v>
      </c>
      <c r="AD220" s="10">
        <f t="shared" si="148"/>
        <v>5.8103309688323007E-3</v>
      </c>
      <c r="AE220" s="10" t="b">
        <f t="shared" si="149"/>
        <v>1</v>
      </c>
      <c r="AP220"/>
      <c r="AQ220"/>
      <c r="AU220" s="3" cm="1">
        <f t="array" ref="AU220">$C220*EXP(poly_from_str(100000000/$E220,AU$4341))</f>
        <v>0.26132127561190543</v>
      </c>
    </row>
    <row r="221" spans="1:48" x14ac:dyDescent="0.25">
      <c r="A221" t="s">
        <v>338</v>
      </c>
      <c r="B221" s="2" t="str">
        <f t="shared" si="145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146"/>
        <v>7853.9690000000001</v>
      </c>
      <c r="AB221" s="3">
        <f t="shared" si="147"/>
        <v>12728.91</v>
      </c>
      <c r="AC221" s="3" cm="1">
        <f t="array" ref="AC221">100000000/LvacE(AA221)</f>
        <v>12728.91385526904</v>
      </c>
      <c r="AD221" s="10">
        <f t="shared" si="148"/>
        <v>5.8103491276365517E-3</v>
      </c>
      <c r="AE221" s="10" t="b">
        <f t="shared" si="149"/>
        <v>1</v>
      </c>
      <c r="AP221"/>
      <c r="AQ221"/>
      <c r="AU221" s="3" cm="1">
        <f t="array" ref="AU221">$C221*EXP(poly_from_str(100000000/$E221,AU$4341))</f>
        <v>0.3484235024901508</v>
      </c>
    </row>
    <row r="222" spans="1:48" x14ac:dyDescent="0.25">
      <c r="A222" t="s">
        <v>340</v>
      </c>
      <c r="B222" s="2" t="str">
        <f t="shared" si="145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146"/>
        <v>7852.643</v>
      </c>
      <c r="AB222" s="3">
        <f t="shared" si="147"/>
        <v>12731.06</v>
      </c>
      <c r="AC222" s="3" cm="1">
        <f t="array" ref="AC222">100000000/LvacE(AA222)</f>
        <v>12731.063253074581</v>
      </c>
      <c r="AD222" s="10">
        <f t="shared" si="148"/>
        <v>5.8106228217094918E-3</v>
      </c>
      <c r="AE222" s="10" t="b">
        <f t="shared" si="149"/>
        <v>1</v>
      </c>
      <c r="AP222"/>
      <c r="AQ222"/>
      <c r="AU222" s="3" cm="1">
        <f t="array" ref="AU222">$C222*EXP(poly_from_str(100000000/$E222,AU$4341))</f>
        <v>0.60961034416102067</v>
      </c>
    </row>
    <row r="223" spans="1:48" x14ac:dyDescent="0.25">
      <c r="A223" t="s">
        <v>342</v>
      </c>
      <c r="B223" s="2" t="str">
        <f t="shared" si="145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146"/>
        <v>7846.7659999999996</v>
      </c>
      <c r="AB223" s="3">
        <f t="shared" si="147"/>
        <v>12740.6</v>
      </c>
      <c r="AC223" s="3" cm="1">
        <f t="array" ref="AC223">100000000/LvacE(AA223)</f>
        <v>12740.598401238522</v>
      </c>
      <c r="AD223" s="10">
        <f t="shared" si="148"/>
        <v>5.8118375392638526E-3</v>
      </c>
      <c r="AE223" s="10" t="b">
        <f t="shared" si="149"/>
        <v>1</v>
      </c>
      <c r="AP223"/>
      <c r="AQ223"/>
      <c r="AU223" s="3" cm="1">
        <f t="array" ref="AU223">$C223*EXP(poly_from_str(100000000/$E223,AU$4341))</f>
        <v>0.34801667181908053</v>
      </c>
    </row>
    <row r="224" spans="1:48" x14ac:dyDescent="0.25">
      <c r="A224" t="s">
        <v>344</v>
      </c>
      <c r="B224" s="2" t="str">
        <f t="shared" si="145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146"/>
        <v>7846.42</v>
      </c>
      <c r="AB224" s="3">
        <f t="shared" si="147"/>
        <v>12741.16</v>
      </c>
      <c r="AC224" s="3" cm="1">
        <f t="array" ref="AC224">100000000/LvacE(AA224)</f>
        <v>12741.160214716632</v>
      </c>
      <c r="AD224" s="10">
        <f t="shared" si="148"/>
        <v>5.8119091391180076E-3</v>
      </c>
      <c r="AE224" s="10" t="b">
        <f t="shared" si="149"/>
        <v>1</v>
      </c>
      <c r="AP224"/>
      <c r="AQ224"/>
      <c r="AU224" s="3" cm="1">
        <f t="array" ref="AU224">$C224*EXP(poly_from_str(100000000/$E224,AU$4341))</f>
        <v>0.60899501942235779</v>
      </c>
    </row>
    <row r="225" spans="1:47" x14ac:dyDescent="0.25">
      <c r="A225" t="s">
        <v>346</v>
      </c>
      <c r="B225" s="2" t="str">
        <f t="shared" si="145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146"/>
        <v>7844.9340000000002</v>
      </c>
      <c r="AB225" s="3">
        <f t="shared" si="147"/>
        <v>12743.57</v>
      </c>
      <c r="AC225" s="3" cm="1">
        <f t="array" ref="AC225">100000000/LvacE(AA225)</f>
        <v>12743.573653409348</v>
      </c>
      <c r="AD225" s="10">
        <f t="shared" si="148"/>
        <v>5.8122167537298184E-3</v>
      </c>
      <c r="AE225" s="10" t="b">
        <f t="shared" si="149"/>
        <v>1</v>
      </c>
      <c r="AP225"/>
      <c r="AQ225"/>
      <c r="AU225" s="3" cm="1">
        <f t="array" ref="AU225">$C225*EXP(poly_from_str(100000000/$E225,AU$4341))</f>
        <v>0.69582625686561972</v>
      </c>
    </row>
    <row r="226" spans="1:47" x14ac:dyDescent="0.25">
      <c r="A226" t="s">
        <v>348</v>
      </c>
      <c r="B226" s="2" t="str">
        <f t="shared" si="145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146"/>
        <v>7827.442</v>
      </c>
      <c r="AB226" s="3">
        <f t="shared" si="147"/>
        <v>12772.05</v>
      </c>
      <c r="AC226" s="3" cm="1">
        <f t="array" ref="AC226">100000000/LvacE(AA226)</f>
        <v>12772.051596319372</v>
      </c>
      <c r="AD226" s="10">
        <f t="shared" si="148"/>
        <v>5.8158509252652004E-3</v>
      </c>
      <c r="AE226" s="10" t="b">
        <f t="shared" si="149"/>
        <v>1</v>
      </c>
      <c r="AJ226" t="s">
        <v>4992</v>
      </c>
      <c r="AK226" t="s">
        <v>4811</v>
      </c>
      <c r="AL226">
        <v>23091.7</v>
      </c>
      <c r="AM226">
        <v>35863.74</v>
      </c>
      <c r="AN226" s="10" cm="1">
        <f t="array" ref="AN226">Lair(100000000/($AM226-$AL226))</f>
        <v>7827.4491292959465</v>
      </c>
      <c r="AO226" s="10">
        <f>100000000/($AM226-$AL226)</f>
        <v>7829.6027885913309</v>
      </c>
      <c r="AU226" s="3" cm="1">
        <f t="array" ref="AU226">$C226*EXP(poly_from_str($AO226,AU$4341))</f>
        <v>0.78056385983272691</v>
      </c>
    </row>
    <row r="227" spans="1:47" x14ac:dyDescent="0.25">
      <c r="A227" t="s">
        <v>350</v>
      </c>
      <c r="B227" s="2" t="str">
        <f t="shared" si="145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146"/>
        <v>7826.87</v>
      </c>
      <c r="AB227" s="3">
        <f t="shared" si="147"/>
        <v>12772.98</v>
      </c>
      <c r="AC227" s="3" cm="1">
        <f t="array" ref="AC227">100000000/LvacE(AA227)</f>
        <v>12772.984993191101</v>
      </c>
      <c r="AD227" s="10">
        <f t="shared" si="148"/>
        <v>5.8159701766600895E-3</v>
      </c>
      <c r="AE227" s="10" t="b">
        <f t="shared" si="149"/>
        <v>1</v>
      </c>
      <c r="AP227"/>
      <c r="AQ227"/>
      <c r="AU227" s="3" cm="1">
        <f t="array" ref="AU227">$C227*EXP(poly_from_str(100000000/$E227,AU$4341))</f>
        <v>8.6721074728021125E-2</v>
      </c>
    </row>
    <row r="228" spans="1:47" x14ac:dyDescent="0.25">
      <c r="A228" t="s">
        <v>352</v>
      </c>
      <c r="B228" s="2" t="str">
        <f t="shared" si="145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146"/>
        <v>7825.4449999999997</v>
      </c>
      <c r="AB228" s="3">
        <f t="shared" si="147"/>
        <v>12775.31</v>
      </c>
      <c r="AC228" s="3" cm="1">
        <f t="array" ref="AC228">100000000/LvacE(AA228)</f>
        <v>12775.310919711288</v>
      </c>
      <c r="AD228" s="10">
        <f t="shared" si="148"/>
        <v>5.8162673764694077E-3</v>
      </c>
      <c r="AE228" s="10" t="b">
        <f t="shared" si="149"/>
        <v>1</v>
      </c>
      <c r="AP228"/>
      <c r="AQ228"/>
      <c r="AU228" s="3" cm="1">
        <f t="array" ref="AU228">$C228*EXP(poly_from_str(100000000/$E228,AU$4341))</f>
        <v>0.43350318457943732</v>
      </c>
    </row>
    <row r="229" spans="1:47" x14ac:dyDescent="0.25">
      <c r="A229" t="s">
        <v>354</v>
      </c>
      <c r="B229" s="2" t="str">
        <f t="shared" si="145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146"/>
        <v>7824.3969999999999</v>
      </c>
      <c r="AB229" s="3">
        <f t="shared" si="147"/>
        <v>12777.02</v>
      </c>
      <c r="AC229" s="3" cm="1">
        <f t="array" ref="AC229">100000000/LvacE(AA229)</f>
        <v>12777.022036491884</v>
      </c>
      <c r="AD229" s="10">
        <f t="shared" si="148"/>
        <v>5.8164860523112448E-3</v>
      </c>
      <c r="AE229" s="10" t="b">
        <f t="shared" si="149"/>
        <v>1</v>
      </c>
      <c r="AP229"/>
      <c r="AQ229"/>
      <c r="AU229" s="3" cm="1">
        <f t="array" ref="AU229">$C229*EXP(poly_from_str(100000000/$E229,AU$4341))</f>
        <v>0.78017069247230442</v>
      </c>
    </row>
    <row r="230" spans="1:47" x14ac:dyDescent="0.25">
      <c r="A230" t="s">
        <v>356</v>
      </c>
      <c r="B230" s="2" t="str">
        <f t="shared" si="145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146"/>
        <v>7823.41</v>
      </c>
      <c r="AB230" s="3">
        <f t="shared" si="147"/>
        <v>12778.63</v>
      </c>
      <c r="AC230" s="3" cm="1">
        <f t="array" ref="AC230">100000000/LvacE(AA230)</f>
        <v>12778.63397500616</v>
      </c>
      <c r="AD230" s="10">
        <f t="shared" si="148"/>
        <v>5.8166920802441751E-3</v>
      </c>
      <c r="AE230" s="10" t="b">
        <f t="shared" si="149"/>
        <v>1</v>
      </c>
      <c r="AJ230" t="s">
        <v>4736</v>
      </c>
      <c r="AK230" t="s">
        <v>4714</v>
      </c>
      <c r="AL230">
        <v>26446.97</v>
      </c>
      <c r="AM230">
        <v>39225.599999999999</v>
      </c>
      <c r="AN230" s="10" cm="1">
        <f t="array" ref="AN230">Lair(100000000/($AM230-$AL230))</f>
        <v>7823.4124559543989</v>
      </c>
      <c r="AO230" s="10">
        <f>100000000/($AM230-$AL230)</f>
        <v>7825.5650253587455</v>
      </c>
      <c r="AP230" s="12">
        <v>48200</v>
      </c>
      <c r="AQ230" s="3">
        <v>4.0000000000000001E-3</v>
      </c>
      <c r="AR230" s="3"/>
      <c r="AS230" s="13">
        <f>EXP(AR$4341*$AM230+AR$4342)*$AP230/(100000000/($AM230-$AL230))</f>
        <v>2.8679415807971828E-2</v>
      </c>
      <c r="AT230" s="3"/>
      <c r="AU230" s="3" cm="1">
        <f t="array" ref="AU230">$C230*EXP(poly_from_str($AO230,AU$4341))</f>
        <v>8.6671501752391258E-2</v>
      </c>
    </row>
    <row r="231" spans="1:47" x14ac:dyDescent="0.25">
      <c r="A231" t="s">
        <v>358</v>
      </c>
      <c r="B231" s="2" t="str">
        <f t="shared" si="145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146"/>
        <v>7822.26</v>
      </c>
      <c r="AB231" s="3">
        <f t="shared" si="147"/>
        <v>12780.51</v>
      </c>
      <c r="AC231" s="3" cm="1">
        <f t="array" ref="AC231">100000000/LvacE(AA231)</f>
        <v>12780.512633280177</v>
      </c>
      <c r="AD231" s="10">
        <f t="shared" si="148"/>
        <v>5.816932231431848E-3</v>
      </c>
      <c r="AE231" s="10" t="b">
        <f t="shared" si="149"/>
        <v>1</v>
      </c>
      <c r="AP231"/>
      <c r="AQ231"/>
      <c r="AU231" s="3" cm="1">
        <f t="array" ref="AU231">$C231*EXP(poly_from_str(100000000/$E231,AU$4341))</f>
        <v>0.77989497046274447</v>
      </c>
    </row>
    <row r="232" spans="1:47" x14ac:dyDescent="0.25">
      <c r="A232" t="s">
        <v>360</v>
      </c>
      <c r="B232" s="2" t="str">
        <f t="shared" si="145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146"/>
        <v>7821.7690000000002</v>
      </c>
      <c r="AB232" s="3">
        <f t="shared" si="147"/>
        <v>12781.31</v>
      </c>
      <c r="AC232" s="3" cm="1">
        <f t="array" ref="AC232">100000000/LvacE(AA232)</f>
        <v>12781.314906962045</v>
      </c>
      <c r="AD232" s="10">
        <f t="shared" si="148"/>
        <v>5.8170347978163282E-3</v>
      </c>
      <c r="AE232" s="10" t="b">
        <f t="shared" si="149"/>
        <v>1</v>
      </c>
      <c r="AP232"/>
      <c r="AQ232"/>
      <c r="AU232" s="3" cm="1">
        <f t="array" ref="AU232">$C232*EXP(poly_from_str(100000000/$E232,AU$4341))</f>
        <v>0.69318377473661008</v>
      </c>
    </row>
    <row r="233" spans="1:47" x14ac:dyDescent="0.25">
      <c r="A233" t="s">
        <v>362</v>
      </c>
      <c r="B233" s="2" t="str">
        <f t="shared" si="145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146"/>
        <v>7820.6819999999998</v>
      </c>
      <c r="AB233" s="3">
        <f t="shared" si="147"/>
        <v>12783.09</v>
      </c>
      <c r="AC233" s="3" cm="1">
        <f t="array" ref="AC233">100000000/LvacE(AA233)</f>
        <v>12783.091378349032</v>
      </c>
      <c r="AD233" s="10">
        <f t="shared" si="148"/>
        <v>5.8172619330608914E-3</v>
      </c>
      <c r="AE233" s="10" t="b">
        <f t="shared" si="149"/>
        <v>1</v>
      </c>
      <c r="AP233"/>
      <c r="AQ233"/>
      <c r="AU233" s="3" cm="1">
        <f t="array" ref="AU233">$C233*EXP(poly_from_str(100000000/$E233,AU$4341))</f>
        <v>0.77969104590677141</v>
      </c>
    </row>
    <row r="234" spans="1:47" x14ac:dyDescent="0.25">
      <c r="A234" t="s">
        <v>364</v>
      </c>
      <c r="B234" s="2" t="str">
        <f t="shared" si="145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146"/>
        <v>7818.7960000000003</v>
      </c>
      <c r="AB234" s="3">
        <f t="shared" si="147"/>
        <v>12786.17</v>
      </c>
      <c r="AC234" s="3" cm="1">
        <f t="array" ref="AC234">100000000/LvacE(AA234)</f>
        <v>12786.174818076079</v>
      </c>
      <c r="AD234" s="10">
        <f t="shared" si="148"/>
        <v>5.8176562489976767E-3</v>
      </c>
      <c r="AE234" s="10" t="b">
        <f t="shared" si="149"/>
        <v>1</v>
      </c>
      <c r="AP234"/>
      <c r="AQ234"/>
      <c r="AU234" s="3" cm="1">
        <f t="array" ref="AU234">$C234*EXP(poly_from_str(100000000/$E234,AU$4341))</f>
        <v>0.51963166580934028</v>
      </c>
    </row>
    <row r="235" spans="1:47" x14ac:dyDescent="0.25">
      <c r="A235" t="s">
        <v>366</v>
      </c>
      <c r="B235" s="2" t="str">
        <f t="shared" si="145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146"/>
        <v>7817.05</v>
      </c>
      <c r="AB235" s="3">
        <f t="shared" si="147"/>
        <v>12789.03</v>
      </c>
      <c r="AC235" s="3" cm="1">
        <f t="array" ref="AC235">100000000/LvacE(AA235)</f>
        <v>12789.030696729777</v>
      </c>
      <c r="AD235" s="10">
        <f t="shared" si="148"/>
        <v>5.8180215488406609E-3</v>
      </c>
      <c r="AE235" s="10" t="b">
        <f t="shared" si="149"/>
        <v>1</v>
      </c>
      <c r="AP235"/>
      <c r="AQ235"/>
      <c r="AU235" s="3" cm="1">
        <f t="array" ref="AU235">$C235*EXP(poly_from_str(100000000/$E235,AU$4341))</f>
        <v>0.43290069541016424</v>
      </c>
    </row>
    <row r="236" spans="1:47" x14ac:dyDescent="0.25">
      <c r="A236" t="s">
        <v>368</v>
      </c>
      <c r="B236" s="2" t="str">
        <f t="shared" si="145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146"/>
        <v>7814.7359999999999</v>
      </c>
      <c r="AB236" s="3">
        <f t="shared" si="147"/>
        <v>12792.82</v>
      </c>
      <c r="AC236" s="3" cm="1">
        <f t="array" ref="AC236">100000000/LvacE(AA236)</f>
        <v>12792.81760194277</v>
      </c>
      <c r="AD236" s="10">
        <f t="shared" si="148"/>
        <v>5.8185060635409036E-3</v>
      </c>
      <c r="AE236" s="10" t="b">
        <f t="shared" si="149"/>
        <v>1</v>
      </c>
      <c r="AJ236" t="s">
        <v>4817</v>
      </c>
      <c r="AK236" t="s">
        <v>4759</v>
      </c>
      <c r="AL236">
        <v>10859.06</v>
      </c>
      <c r="AM236">
        <v>23651.88</v>
      </c>
      <c r="AN236" s="10" cm="1">
        <f t="array" ref="AN236">Lair(100000000/($AM236-$AL236))</f>
        <v>7814.7345573750508</v>
      </c>
      <c r="AO236" s="10">
        <f>100000000/($AM236-$AL236)</f>
        <v>7816.8847838084166</v>
      </c>
      <c r="AU236" s="3" cm="1">
        <f t="array" ref="AU236">$C236*EXP(poly_from_str($AO236,AU$4341))</f>
        <v>3.4618724393075775</v>
      </c>
    </row>
    <row r="237" spans="1:47" x14ac:dyDescent="0.25">
      <c r="A237" t="s">
        <v>370</v>
      </c>
      <c r="B237" s="2" t="str">
        <f t="shared" si="145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146"/>
        <v>7812.6260000000002</v>
      </c>
      <c r="AB237" s="3">
        <f t="shared" si="147"/>
        <v>12796.27</v>
      </c>
      <c r="AC237" s="3" cm="1">
        <f t="array" ref="AC237">100000000/LvacE(AA237)</f>
        <v>12796.272612579565</v>
      </c>
      <c r="AD237" s="10">
        <f t="shared" si="148"/>
        <v>5.8189482392078905E-3</v>
      </c>
      <c r="AE237" s="10" t="b">
        <f t="shared" si="149"/>
        <v>1</v>
      </c>
      <c r="AP237"/>
      <c r="AQ237"/>
      <c r="AU237" s="3" cm="1">
        <f t="array" ref="AU237">$C237*EXP(poly_from_str(100000000/$E237,AU$4341))</f>
        <v>0.60561520932406654</v>
      </c>
    </row>
    <row r="238" spans="1:47" x14ac:dyDescent="0.25">
      <c r="A238" t="s">
        <v>372</v>
      </c>
      <c r="B238" s="2" t="str">
        <f t="shared" si="145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146"/>
        <v>7811.067</v>
      </c>
      <c r="AB238" s="3">
        <f t="shared" si="147"/>
        <v>12798.83</v>
      </c>
      <c r="AC238" s="3" cm="1">
        <f t="array" ref="AC238">100000000/LvacE(AA238)</f>
        <v>12798.826589657589</v>
      </c>
      <c r="AD238" s="10">
        <f t="shared" si="148"/>
        <v>5.8192751764680542E-3</v>
      </c>
      <c r="AE238" s="10" t="b">
        <f t="shared" si="149"/>
        <v>1</v>
      </c>
      <c r="AP238"/>
      <c r="AQ238"/>
      <c r="AU238" s="3" cm="1">
        <f t="array" ref="AU238">$C238*EXP(poly_from_str(100000000/$E238,AU$4341))</f>
        <v>0.51896356609463934</v>
      </c>
    </row>
    <row r="239" spans="1:47" x14ac:dyDescent="0.25">
      <c r="A239" t="s">
        <v>374</v>
      </c>
      <c r="B239" s="2" t="str">
        <f t="shared" si="145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146"/>
        <v>7809.8140000000003</v>
      </c>
      <c r="AB239" s="3">
        <f t="shared" si="147"/>
        <v>12800.88</v>
      </c>
      <c r="AC239" s="3" cm="1">
        <f t="array" ref="AC239">100000000/LvacE(AA239)</f>
        <v>12800.880012049496</v>
      </c>
      <c r="AD239" s="10">
        <f t="shared" si="148"/>
        <v>5.819538084520931E-3</v>
      </c>
      <c r="AE239" s="10" t="b">
        <f t="shared" si="149"/>
        <v>1</v>
      </c>
      <c r="AP239"/>
      <c r="AQ239"/>
      <c r="AU239" s="3" cm="1">
        <f t="array" ref="AU239">$C239*EXP(poly_from_str(100000000/$E239,AU$4341))</f>
        <v>0.69180704425751405</v>
      </c>
    </row>
    <row r="240" spans="1:47" x14ac:dyDescent="0.25">
      <c r="A240" t="s">
        <v>376</v>
      </c>
      <c r="B240" s="2" t="str">
        <f t="shared" si="145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146"/>
        <v>7809.5810000000001</v>
      </c>
      <c r="AB240" s="3">
        <f t="shared" si="147"/>
        <v>12801.26</v>
      </c>
      <c r="AC240" s="3" cm="1">
        <f t="array" ref="AC240">100000000/LvacE(AA240)</f>
        <v>12801.261926219599</v>
      </c>
      <c r="AD240" s="10">
        <f t="shared" si="148"/>
        <v>5.8195869872032574E-3</v>
      </c>
      <c r="AE240" s="10" t="b">
        <f t="shared" si="149"/>
        <v>1</v>
      </c>
      <c r="AP240"/>
      <c r="AQ240"/>
      <c r="AU240" s="3" cm="1">
        <f t="array" ref="AU240">$C240*EXP(poly_from_str(100000000/$E240,AU$4341))</f>
        <v>0.43236267369918108</v>
      </c>
    </row>
    <row r="241" spans="1:48" x14ac:dyDescent="0.25">
      <c r="A241" t="s">
        <v>378</v>
      </c>
      <c r="B241" s="2" t="str">
        <f t="shared" si="145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146"/>
        <v>7809.0169999999998</v>
      </c>
      <c r="AB241" s="3">
        <f t="shared" si="147"/>
        <v>12802.19</v>
      </c>
      <c r="AC241" s="3" cm="1">
        <f t="array" ref="AC241">100000000/LvacE(AA241)</f>
        <v>12802.18648233878</v>
      </c>
      <c r="AD241" s="10">
        <f t="shared" si="148"/>
        <v>5.8197053792006584E-3</v>
      </c>
      <c r="AE241" s="10" t="b">
        <f t="shared" si="149"/>
        <v>1</v>
      </c>
      <c r="AJ241" t="s">
        <v>4723</v>
      </c>
      <c r="AK241" t="s">
        <v>4752</v>
      </c>
      <c r="AL241">
        <v>27138.55</v>
      </c>
      <c r="AM241">
        <v>39940.720000000001</v>
      </c>
      <c r="AN241" s="10" cm="1">
        <f t="array" ref="AN241">Lair(100000000/($AM241-$AL241))</f>
        <v>7809.0270761264819</v>
      </c>
      <c r="AO241" s="10">
        <f>100000000/($AM241-$AL241)</f>
        <v>7811.1757616091636</v>
      </c>
      <c r="AP241" s="12">
        <v>416000</v>
      </c>
      <c r="AQ241" s="3">
        <v>2.1999999999999999E-2</v>
      </c>
      <c r="AR241" s="3"/>
      <c r="AS241" s="13">
        <f>EXP(AR$4341*$AM241+AR$4342)*$AP241/(100000000/($AM241-$AL241))</f>
        <v>0.2350219443117757</v>
      </c>
      <c r="AT241" s="3"/>
      <c r="AU241" s="3" cm="1">
        <f t="array" ref="AU241">$C241*EXP(poly_from_str($AO241,AU$4341))</f>
        <v>0.691716174929774</v>
      </c>
    </row>
    <row r="242" spans="1:48" x14ac:dyDescent="0.25">
      <c r="A242" t="s">
        <v>380</v>
      </c>
      <c r="B242" s="2" t="str">
        <f t="shared" si="145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146"/>
        <v>7808.4889999999996</v>
      </c>
      <c r="AB242" s="3">
        <f t="shared" si="147"/>
        <v>12803.05</v>
      </c>
      <c r="AC242" s="3" cm="1">
        <f t="array" ref="AC242">100000000/LvacE(AA242)</f>
        <v>12803.052145280762</v>
      </c>
      <c r="AD242" s="10">
        <f t="shared" si="148"/>
        <v>5.8198162375128377E-3</v>
      </c>
      <c r="AE242" s="10" t="b">
        <f t="shared" si="149"/>
        <v>1</v>
      </c>
      <c r="AP242"/>
      <c r="AQ242"/>
      <c r="AU242" s="3" cm="1">
        <f t="array" ref="AU242">$C242*EXP(poly_from_str(100000000/$E242,AU$4341))</f>
        <v>0.51874063428425088</v>
      </c>
    </row>
    <row r="243" spans="1:48" x14ac:dyDescent="0.25">
      <c r="A243" t="s">
        <v>382</v>
      </c>
      <c r="B243" s="2" t="str">
        <f t="shared" si="145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146"/>
        <v>7805.7809999999999</v>
      </c>
      <c r="AB243" s="3">
        <f t="shared" si="147"/>
        <v>12807.49</v>
      </c>
      <c r="AC243" s="3" cm="1">
        <f t="array" ref="AC243">100000000/LvacE(AA243)</f>
        <v>12807.493787454468</v>
      </c>
      <c r="AD243" s="10">
        <f t="shared" si="148"/>
        <v>5.8203851598869136E-3</v>
      </c>
      <c r="AE243" s="10" t="b">
        <f t="shared" si="149"/>
        <v>1</v>
      </c>
      <c r="AP243"/>
      <c r="AQ243"/>
      <c r="AU243" s="3" cm="1">
        <f t="array" ref="AU243">$C243*EXP(poly_from_str(100000000/$E243,AU$4341))</f>
        <v>0.17283532311619973</v>
      </c>
    </row>
    <row r="244" spans="1:48" x14ac:dyDescent="0.25">
      <c r="A244" t="s">
        <v>384</v>
      </c>
      <c r="B244" s="2" t="str">
        <f t="shared" si="145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146"/>
        <v>7803.3109999999997</v>
      </c>
      <c r="AB244" s="3">
        <f t="shared" si="147"/>
        <v>12811.55</v>
      </c>
      <c r="AC244" s="3" cm="1">
        <f t="array" ref="AC244">100000000/LvacE(AA244)</f>
        <v>12811.547751997283</v>
      </c>
      <c r="AD244" s="10">
        <f t="shared" si="148"/>
        <v>5.8209045975482262E-3</v>
      </c>
      <c r="AE244" s="10" t="b">
        <f t="shared" si="149"/>
        <v>1</v>
      </c>
      <c r="AP244"/>
      <c r="AQ244"/>
      <c r="AU244" s="3" cm="1">
        <f t="array" ref="AU244">$C244*EXP(poly_from_str(100000000/$E244,AU$4341))</f>
        <v>0.17276376538554464</v>
      </c>
    </row>
    <row r="245" spans="1:48" x14ac:dyDescent="0.25">
      <c r="A245" t="s">
        <v>386</v>
      </c>
      <c r="B245" s="2" t="str">
        <f t="shared" si="145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146"/>
        <v>7794.3389999999999</v>
      </c>
      <c r="AB245" s="3">
        <f t="shared" si="147"/>
        <v>12826.29</v>
      </c>
      <c r="AC245" s="3" cm="1">
        <f t="array" ref="AC245">100000000/LvacE(AA245)</f>
        <v>12826.294943649946</v>
      </c>
      <c r="AD245" s="10">
        <f t="shared" si="148"/>
        <v>5.8227955535196732E-3</v>
      </c>
      <c r="AE245" s="10" t="b">
        <f t="shared" si="149"/>
        <v>1</v>
      </c>
      <c r="AP245"/>
      <c r="AQ245"/>
      <c r="AU245" s="3" cm="1">
        <f t="array" ref="AU245">$C245*EXP(poly_from_str(100000000/$E245,AU$4341))</f>
        <v>0.69001504789510848</v>
      </c>
    </row>
    <row r="246" spans="1:48" x14ac:dyDescent="0.25">
      <c r="A246" t="s">
        <v>388</v>
      </c>
      <c r="B246" s="2" t="str">
        <f t="shared" si="145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146"/>
        <v>7791.0420000000004</v>
      </c>
      <c r="AB246" s="3">
        <f t="shared" si="147"/>
        <v>12831.72</v>
      </c>
      <c r="AC246" s="3" cm="1">
        <f t="array" ref="AC246">100000000/LvacE(AA246)</f>
        <v>12831.722725339372</v>
      </c>
      <c r="AD246" s="10">
        <f t="shared" si="148"/>
        <v>5.8234920775256617E-3</v>
      </c>
      <c r="AE246" s="10" t="b">
        <f t="shared" si="149"/>
        <v>1</v>
      </c>
      <c r="AP246"/>
      <c r="AQ246"/>
      <c r="AU246" s="3" cm="1">
        <f t="array" ref="AU246">$C246*EXP(poly_from_str(100000000/$E246,AU$4341))</f>
        <v>8.6203956288434802E-2</v>
      </c>
    </row>
    <row r="247" spans="1:48" x14ac:dyDescent="0.25">
      <c r="A247" t="s">
        <v>390</v>
      </c>
      <c r="B247" s="2" t="str">
        <f t="shared" si="145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146"/>
        <v>7788.7370000000001</v>
      </c>
      <c r="AB247" s="3">
        <f t="shared" si="147"/>
        <v>12835.52</v>
      </c>
      <c r="AC247" s="3" cm="1">
        <f t="array" ref="AC247">100000000/LvacE(AA247)</f>
        <v>12835.520127585974</v>
      </c>
      <c r="AD247" s="10">
        <f t="shared" si="148"/>
        <v>5.8239795571211339E-3</v>
      </c>
      <c r="AE247" s="10" t="b">
        <f t="shared" si="149"/>
        <v>1</v>
      </c>
      <c r="AP247"/>
      <c r="AQ247"/>
      <c r="AU247" s="3" cm="1">
        <f t="array" ref="AU247">$C247*EXP(poly_from_str(100000000/$E247,AU$4341))</f>
        <v>0.34468163731249341</v>
      </c>
    </row>
    <row r="248" spans="1:48" x14ac:dyDescent="0.25">
      <c r="A248" t="s">
        <v>392</v>
      </c>
      <c r="B248" s="2" t="str">
        <f t="shared" si="145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146"/>
        <v>7785.83</v>
      </c>
      <c r="AB248" s="3">
        <f t="shared" si="147"/>
        <v>12840.31</v>
      </c>
      <c r="AC248" s="3" cm="1">
        <f t="array" ref="AC248">100000000/LvacE(AA248)</f>
        <v>12840.312508516825</v>
      </c>
      <c r="AD248" s="10">
        <f t="shared" si="148"/>
        <v>5.8245949698694181E-3</v>
      </c>
      <c r="AE248" s="10" t="b">
        <f t="shared" si="149"/>
        <v>1</v>
      </c>
      <c r="AP248"/>
      <c r="AQ248"/>
      <c r="AU248" s="3" cm="1">
        <f t="array" ref="AU248">$C248*EXP(poly_from_str(100000000/$E248,AU$4341))</f>
        <v>0.34451245664910646</v>
      </c>
    </row>
    <row r="249" spans="1:48" x14ac:dyDescent="0.25">
      <c r="A249" t="s">
        <v>394</v>
      </c>
      <c r="B249" s="2" t="str">
        <f t="shared" si="145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146"/>
        <v>7785.2290000000003</v>
      </c>
      <c r="AB249" s="3">
        <f t="shared" si="147"/>
        <v>12841.3</v>
      </c>
      <c r="AC249" s="3" cm="1">
        <f t="array" ref="AC249">100000000/LvacE(AA249)</f>
        <v>12841.303743036167</v>
      </c>
      <c r="AD249" s="10">
        <f t="shared" si="148"/>
        <v>5.8247222877474874E-3</v>
      </c>
      <c r="AE249" s="10" t="b">
        <f t="shared" si="149"/>
        <v>1</v>
      </c>
      <c r="AP249"/>
      <c r="AQ249"/>
      <c r="AU249" s="3" cm="1">
        <f t="array" ref="AU249">$C249*EXP(poly_from_str(100000000/$E249,AU$4341))</f>
        <v>8.6119371567124972E-2</v>
      </c>
    </row>
    <row r="250" spans="1:48" x14ac:dyDescent="0.25">
      <c r="A250" t="s">
        <v>396</v>
      </c>
      <c r="B250" s="2" t="str">
        <f t="shared" si="145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146"/>
        <v>7781.9849999999997</v>
      </c>
      <c r="AB250" s="3">
        <f t="shared" si="147"/>
        <v>12846.66</v>
      </c>
      <c r="AC250" s="3" cm="1">
        <f t="array" ref="AC250">100000000/LvacE(AA250)</f>
        <v>12846.656743944844</v>
      </c>
      <c r="AD250" s="10">
        <f t="shared" si="148"/>
        <v>5.8254100171064868E-3</v>
      </c>
      <c r="AE250" s="10" t="b">
        <f t="shared" si="149"/>
        <v>1</v>
      </c>
      <c r="AJ250" t="s">
        <v>4757</v>
      </c>
      <c r="AK250" t="s">
        <v>4758</v>
      </c>
      <c r="AL250">
        <v>0</v>
      </c>
      <c r="AM250">
        <v>12846.66</v>
      </c>
      <c r="AN250" s="10" cm="1">
        <f t="array" ref="AN250">Lair(100000000/($AM250-$AL250))</f>
        <v>7781.9830496643353</v>
      </c>
      <c r="AO250" s="10">
        <f>100000000/($AM250-$AL250)</f>
        <v>7784.1244338995502</v>
      </c>
      <c r="AP250" s="12">
        <v>6820000</v>
      </c>
      <c r="AQ250" s="3">
        <v>0.75800000000000001</v>
      </c>
      <c r="AR250" s="3">
        <f>LN(AU250*100000000/($AM250-$AL250)/AP250)</f>
        <v>-2.8311695051397039</v>
      </c>
      <c r="AS250" s="13">
        <f>EXP(AR$4341*$AM250+AR$4342)*$AP250/(100000000/($AM250-$AL250))</f>
        <v>29.536999094989618</v>
      </c>
      <c r="AT250" s="3">
        <f>LN(AS250/$C250)</f>
        <v>-4.6207238835547466</v>
      </c>
      <c r="AU250" s="3" cm="1">
        <f t="array" ref="AU250">$C250*EXP(poly_from_str($AO250,AU$4341))</f>
        <v>51.64321980830632</v>
      </c>
      <c r="AV250" s="13">
        <f>LN(AS250/AU250)</f>
        <v>-0.55871523099082832</v>
      </c>
    </row>
    <row r="251" spans="1:48" x14ac:dyDescent="0.25">
      <c r="A251" t="s">
        <v>398</v>
      </c>
      <c r="B251" s="2" t="str">
        <f t="shared" si="145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146"/>
        <v>7780.1390000000001</v>
      </c>
      <c r="AB251" s="3">
        <f t="shared" si="147"/>
        <v>12849.7</v>
      </c>
      <c r="AC251" s="3" cm="1">
        <f t="array" ref="AC251">100000000/LvacE(AA251)</f>
        <v>12849.704864934565</v>
      </c>
      <c r="AD251" s="10">
        <f t="shared" si="148"/>
        <v>5.825801753987594E-3</v>
      </c>
      <c r="AE251" s="10" t="b">
        <f t="shared" si="149"/>
        <v>1</v>
      </c>
      <c r="AP251"/>
      <c r="AQ251"/>
      <c r="AU251" s="3" cm="1">
        <f t="array" ref="AU251">$C251*EXP(poly_from_str(100000000/$E251,AU$4341))</f>
        <v>0.77440663145628674</v>
      </c>
    </row>
    <row r="252" spans="1:48" x14ac:dyDescent="0.25">
      <c r="A252" t="s">
        <v>400</v>
      </c>
      <c r="B252" s="2" t="str">
        <f t="shared" si="145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146"/>
        <v>7778.741</v>
      </c>
      <c r="AB252" s="3">
        <f t="shared" si="147"/>
        <v>12852.01</v>
      </c>
      <c r="AC252" s="3" cm="1">
        <f t="array" ref="AC252">100000000/LvacE(AA252)</f>
        <v>12852.014209585463</v>
      </c>
      <c r="AD252" s="10">
        <f t="shared" si="148"/>
        <v>5.8260986070615712E-3</v>
      </c>
      <c r="AE252" s="10" t="b">
        <f t="shared" si="149"/>
        <v>1</v>
      </c>
      <c r="AP252"/>
      <c r="AQ252"/>
      <c r="AU252" s="3" cm="1">
        <f t="array" ref="AU252">$C252*EXP(poly_from_str(100000000/$E252,AU$4341))</f>
        <v>8.6024776398636538E-2</v>
      </c>
    </row>
    <row r="253" spans="1:48" x14ac:dyDescent="0.25">
      <c r="A253" t="s">
        <v>402</v>
      </c>
      <c r="B253" s="2" t="str">
        <f t="shared" si="145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146"/>
        <v>7768.1469999999999</v>
      </c>
      <c r="AB253" s="3">
        <f t="shared" si="147"/>
        <v>12869.54</v>
      </c>
      <c r="AC253" s="3" cm="1">
        <f t="array" ref="AC253">100000000/LvacE(AA253)</f>
        <v>12869.541366120646</v>
      </c>
      <c r="AD253" s="10">
        <f t="shared" si="148"/>
        <v>5.828353361884156E-3</v>
      </c>
      <c r="AE253" s="10" t="b">
        <f t="shared" si="149"/>
        <v>1</v>
      </c>
      <c r="AP253"/>
      <c r="AQ253"/>
      <c r="AU253" s="3" cm="1">
        <f t="array" ref="AU253">$C253*EXP(poly_from_str(100000000/$E253,AU$4341))</f>
        <v>0.42934960400770883</v>
      </c>
    </row>
    <row r="254" spans="1:48" x14ac:dyDescent="0.25">
      <c r="A254" t="s">
        <v>404</v>
      </c>
      <c r="B254" s="2" t="str">
        <f t="shared" si="145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146"/>
        <v>7767.4539999999997</v>
      </c>
      <c r="AB254" s="3">
        <f t="shared" si="147"/>
        <v>12870.69</v>
      </c>
      <c r="AC254" s="3" cm="1">
        <f t="array" ref="AC254">100000000/LvacE(AA254)</f>
        <v>12870.689560318386</v>
      </c>
      <c r="AD254" s="10">
        <f t="shared" si="148"/>
        <v>5.8285011768539853E-3</v>
      </c>
      <c r="AE254" s="10" t="b">
        <f t="shared" si="149"/>
        <v>1</v>
      </c>
      <c r="AP254"/>
      <c r="AQ254"/>
      <c r="AU254" s="3" cm="1">
        <f t="array" ref="AU254">$C254*EXP(poly_from_str(100000000/$E254,AU$4341))</f>
        <v>8.5859762744391638E-2</v>
      </c>
    </row>
    <row r="255" spans="1:48" x14ac:dyDescent="0.25">
      <c r="A255" t="s">
        <v>406</v>
      </c>
      <c r="B255" s="2" t="str">
        <f t="shared" si="145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146"/>
        <v>7766.4390000000003</v>
      </c>
      <c r="AB255" s="3">
        <f t="shared" si="147"/>
        <v>12872.37</v>
      </c>
      <c r="AC255" s="3" cm="1">
        <f t="array" ref="AC255">100000000/LvacE(AA255)</f>
        <v>12872.371628728053</v>
      </c>
      <c r="AD255" s="10">
        <f t="shared" si="148"/>
        <v>5.8287177449490076E-3</v>
      </c>
      <c r="AE255" s="10" t="b">
        <f t="shared" si="149"/>
        <v>1</v>
      </c>
      <c r="AP255"/>
      <c r="AQ255"/>
      <c r="AU255" s="3" cm="1">
        <f t="array" ref="AU255">$C255*EXP(poly_from_str(100000000/$E255,AU$4341))</f>
        <v>0.60091446509385893</v>
      </c>
    </row>
    <row r="256" spans="1:48" x14ac:dyDescent="0.25">
      <c r="A256" t="s">
        <v>408</v>
      </c>
      <c r="B256" s="2" t="str">
        <f t="shared" si="145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146"/>
        <v>7763.8389999999999</v>
      </c>
      <c r="AB256" s="3">
        <f t="shared" si="147"/>
        <v>12876.68</v>
      </c>
      <c r="AC256" s="3" cm="1">
        <f t="array" ref="AC256">100000000/LvacE(AA256)</f>
        <v>12876.682381616511</v>
      </c>
      <c r="AD256" s="10">
        <f t="shared" si="148"/>
        <v>5.8292728881688891E-3</v>
      </c>
      <c r="AE256" s="10" t="b">
        <f t="shared" si="149"/>
        <v>1</v>
      </c>
      <c r="AP256"/>
      <c r="AQ256"/>
      <c r="AU256" s="3" cm="1">
        <f t="array" ref="AU256">$C256*EXP(poly_from_str(100000000/$E256,AU$4341))</f>
        <v>8.5806856957000743E-2</v>
      </c>
    </row>
    <row r="257" spans="1:48" x14ac:dyDescent="0.25">
      <c r="A257" t="s">
        <v>410</v>
      </c>
      <c r="B257" s="2" t="str">
        <f t="shared" si="145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146"/>
        <v>7761.848</v>
      </c>
      <c r="AB257" s="3">
        <f t="shared" si="147"/>
        <v>12879.99</v>
      </c>
      <c r="AC257" s="3" cm="1">
        <f t="array" ref="AC257">100000000/LvacE(AA257)</f>
        <v>12879.985376034017</v>
      </c>
      <c r="AD257" s="10">
        <f t="shared" si="148"/>
        <v>5.8296983769866419E-3</v>
      </c>
      <c r="AE257" s="10" t="b">
        <f t="shared" si="149"/>
        <v>1</v>
      </c>
      <c r="AP257"/>
      <c r="AQ257"/>
      <c r="AU257" s="3" cm="1">
        <f t="array" ref="AU257">$C257*EXP(poly_from_str(100000000/$E257,AU$4341))</f>
        <v>0.25733287788889586</v>
      </c>
    </row>
    <row r="258" spans="1:48" x14ac:dyDescent="0.25">
      <c r="A258" t="s">
        <v>412</v>
      </c>
      <c r="B258" s="2" t="str">
        <f t="shared" si="145"/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146"/>
        <v>7761.0249999999996</v>
      </c>
      <c r="AB258" s="3">
        <f t="shared" si="147"/>
        <v>12881.35</v>
      </c>
      <c r="AC258" s="3" cm="1">
        <f t="array" ref="AC258">100000000/LvacE(AA258)</f>
        <v>12881.351197241922</v>
      </c>
      <c r="AD258" s="10">
        <f t="shared" si="148"/>
        <v>5.8298743527589415E-3</v>
      </c>
      <c r="AE258" s="10" t="b">
        <f t="shared" si="149"/>
        <v>1</v>
      </c>
      <c r="AP258"/>
      <c r="AQ258"/>
      <c r="AU258" s="3" cm="1">
        <f t="array" ref="AU258">$C258*EXP(poly_from_str(100000000/$E258,AU$4341))</f>
        <v>8.5765616676675302E-2</v>
      </c>
    </row>
    <row r="259" spans="1:48" x14ac:dyDescent="0.25">
      <c r="A259" t="s">
        <v>414</v>
      </c>
      <c r="B259" s="2" t="str">
        <f t="shared" ref="B259:B322" si="150">IF(OR(A259=A258,A259=A260),IF(B258="",1,B258+1),"")</f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151">ROUND($A259,3)+0</f>
        <v>7760.4390000000003</v>
      </c>
      <c r="AB259" s="3">
        <f t="shared" ref="AB259:AB322" si="152">ROUND($E259,2)+0</f>
        <v>12882.32</v>
      </c>
      <c r="AC259" s="3" cm="1">
        <f t="array" ref="AC259">100000000/LvacE(AA259)</f>
        <v>12882.323878339836</v>
      </c>
      <c r="AD259" s="10">
        <f t="shared" ref="AD259:AD322" si="153">0.0005/$AA259*AC259+0.005</f>
        <v>5.8299996867664213E-3</v>
      </c>
      <c r="AE259" s="10" t="b">
        <f t="shared" ref="AE259:AE322" si="154">ABS(AB259-AC259)&lt;AD259</f>
        <v>1</v>
      </c>
      <c r="AP259"/>
      <c r="AQ259"/>
      <c r="AU259" s="3" cm="1">
        <f t="array" ref="AU259">$C259*EXP(poly_from_str(100000000/$E259,AU$4341))</f>
        <v>8.5757051632474574E-2</v>
      </c>
    </row>
    <row r="260" spans="1:48" x14ac:dyDescent="0.25">
      <c r="A260" t="s">
        <v>416</v>
      </c>
      <c r="B260" s="2" t="str">
        <f t="shared" si="150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151"/>
        <v>7757.0140000000001</v>
      </c>
      <c r="AB260" s="3">
        <f t="shared" si="152"/>
        <v>12888.01</v>
      </c>
      <c r="AC260" s="3" cm="1">
        <f t="array" ref="AC260">100000000/LvacE(AA260)</f>
        <v>12888.011856778725</v>
      </c>
      <c r="AD260" s="10">
        <f t="shared" si="153"/>
        <v>5.8307327959430475E-3</v>
      </c>
      <c r="AE260" s="10" t="b">
        <f t="shared" si="154"/>
        <v>1</v>
      </c>
      <c r="AP260"/>
      <c r="AQ260"/>
      <c r="AU260" s="3" cm="1">
        <f t="array" ref="AU260">$C260*EXP(poly_from_str(100000000/$E260,AU$4341))</f>
        <v>0.25712045054394883</v>
      </c>
    </row>
    <row r="261" spans="1:48" x14ac:dyDescent="0.25">
      <c r="A261" t="s">
        <v>418</v>
      </c>
      <c r="B261" s="2" t="str">
        <f t="shared" si="150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AA261" s="10">
        <f t="shared" si="151"/>
        <v>7755.48</v>
      </c>
      <c r="AB261" s="3">
        <f t="shared" si="152"/>
        <v>12890.56</v>
      </c>
      <c r="AC261" s="3" cm="1">
        <f t="array" ref="AC261">100000000/LvacE(AA261)</f>
        <v>12890.561035768334</v>
      </c>
      <c r="AD261" s="10">
        <f t="shared" si="153"/>
        <v>5.8310614582055744E-3</v>
      </c>
      <c r="AE261" s="10" t="b">
        <f t="shared" si="154"/>
        <v>1</v>
      </c>
      <c r="AJ261" t="s">
        <v>4808</v>
      </c>
      <c r="AK261" t="s">
        <v>4731</v>
      </c>
      <c r="AL261">
        <v>26979.66</v>
      </c>
      <c r="AM261">
        <v>39870.17</v>
      </c>
      <c r="AN261" s="10" cm="1">
        <f t="array" ref="AN261">Lair(100000000/($AM261-$AL261))</f>
        <v>7755.5107273353988</v>
      </c>
      <c r="AO261" s="10">
        <f>100000000/($AM261-$AL261)</f>
        <v>7757.6449651720541</v>
      </c>
      <c r="AP261" s="12">
        <v>2970000</v>
      </c>
      <c r="AQ261" s="3">
        <v>0.16700000000000001</v>
      </c>
      <c r="AR261" s="3">
        <f>LN(AU261*100000000/($AM261-$AL261)/AP261)</f>
        <v>-5.4089865701421331</v>
      </c>
      <c r="AS261" s="13">
        <f>EXP(AR$4341*$AM261+AR$4342)*$AP261/(100000000/($AM261-$AL261))</f>
        <v>1.6984682665340514</v>
      </c>
      <c r="AT261" s="3">
        <f>LN(AS261/$C261)</f>
        <v>-4.0754433607740017</v>
      </c>
      <c r="AU261" s="3" cm="1">
        <f t="array" ref="AU261">$C261*EXP(poly_from_str($AO261,AU$4341))</f>
        <v>1.7136949989250669</v>
      </c>
      <c r="AV261" s="13">
        <f>LN(AS261/AU261)</f>
        <v>-8.9250321755252743E-3</v>
      </c>
    </row>
    <row r="262" spans="1:48" x14ac:dyDescent="0.25">
      <c r="A262" t="s">
        <v>421</v>
      </c>
      <c r="B262" s="2" t="str">
        <f t="shared" si="150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151"/>
        <v>7754.31</v>
      </c>
      <c r="AB262" s="3">
        <f t="shared" si="152"/>
        <v>12892.51</v>
      </c>
      <c r="AC262" s="3" cm="1">
        <f t="array" ref="AC262">100000000/LvacE(AA262)</f>
        <v>12892.506002814442</v>
      </c>
      <c r="AD262" s="10">
        <f t="shared" si="153"/>
        <v>5.8313122639418883E-3</v>
      </c>
      <c r="AE262" s="10" t="b">
        <f t="shared" si="154"/>
        <v>1</v>
      </c>
      <c r="AP262"/>
      <c r="AQ262"/>
      <c r="AU262" s="3" cm="1">
        <f t="array" ref="AU262">$C262*EXP(poly_from_str(100000000/$E262,AU$4341))</f>
        <v>8.5667098708287241</v>
      </c>
    </row>
    <row r="263" spans="1:48" x14ac:dyDescent="0.25">
      <c r="A263" t="s">
        <v>423</v>
      </c>
      <c r="B263" s="2" t="str">
        <f t="shared" si="150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151"/>
        <v>7751.0879999999997</v>
      </c>
      <c r="AB263" s="3">
        <f t="shared" si="152"/>
        <v>12897.87</v>
      </c>
      <c r="AC263" s="3" cm="1">
        <f t="array" ref="AC263">100000000/LvacE(AA263)</f>
        <v>12897.865177759701</v>
      </c>
      <c r="AD263" s="10">
        <f t="shared" si="153"/>
        <v>5.8320035314887216E-3</v>
      </c>
      <c r="AE263" s="10" t="b">
        <f t="shared" si="154"/>
        <v>1</v>
      </c>
      <c r="AP263"/>
      <c r="AQ263"/>
      <c r="AU263" s="3" cm="1">
        <f t="array" ref="AU263">$C263*EXP(poly_from_str(100000000/$E263,AU$4341))</f>
        <v>8.5619804475133704E-2</v>
      </c>
    </row>
    <row r="264" spans="1:48" x14ac:dyDescent="0.25">
      <c r="A264" t="s">
        <v>425</v>
      </c>
      <c r="B264" s="2" t="str">
        <f t="shared" si="150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151"/>
        <v>7746.0879999999997</v>
      </c>
      <c r="AB264" s="3">
        <f t="shared" si="152"/>
        <v>12906.19</v>
      </c>
      <c r="AC264" s="3" cm="1">
        <f t="array" ref="AC264">100000000/LvacE(AA264)</f>
        <v>12906.190539859239</v>
      </c>
      <c r="AD264" s="10">
        <f t="shared" si="153"/>
        <v>5.8330779704451616E-3</v>
      </c>
      <c r="AE264" s="10" t="b">
        <f t="shared" si="154"/>
        <v>1</v>
      </c>
      <c r="AP264"/>
      <c r="AQ264"/>
      <c r="AU264" s="3" cm="1">
        <f t="array" ref="AU264">$C264*EXP(poly_from_str(100000000/$E264,AU$4341))</f>
        <v>0.17109285884112618</v>
      </c>
    </row>
    <row r="265" spans="1:48" x14ac:dyDescent="0.25">
      <c r="A265" t="s">
        <v>427</v>
      </c>
      <c r="B265" s="2" t="str">
        <f t="shared" si="150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155">$G265&amp;""</f>
        <v>o</v>
      </c>
      <c r="N265" t="str">
        <f t="shared" ref="N265:N266" si="156">$H265&amp;""</f>
        <v>3/2</v>
      </c>
      <c r="O265">
        <v>22277.66</v>
      </c>
      <c r="P265" t="str">
        <f t="shared" ref="P265:P266" si="157">$J265&amp;""</f>
        <v>e</v>
      </c>
      <c r="Q265" t="str">
        <f t="shared" ref="Q265:Q266" si="158">$K265&amp;""</f>
        <v>3/2</v>
      </c>
      <c r="R265">
        <v>5</v>
      </c>
      <c r="S265" t="s">
        <v>429</v>
      </c>
      <c r="AA265" s="10">
        <f t="shared" si="151"/>
        <v>7745.5929999999998</v>
      </c>
      <c r="AB265" s="3">
        <f t="shared" si="152"/>
        <v>12907.02</v>
      </c>
      <c r="AC265" s="3" cm="1">
        <f t="array" ref="AC265">100000000/LvacE(AA265)</f>
        <v>12907.015335426975</v>
      </c>
      <c r="AD265" s="10">
        <f t="shared" si="153"/>
        <v>5.8331844531094631E-3</v>
      </c>
      <c r="AE265" s="10" t="b">
        <f t="shared" si="154"/>
        <v>1</v>
      </c>
      <c r="AJ265" t="s">
        <v>4967</v>
      </c>
      <c r="AK265" t="s">
        <v>4766</v>
      </c>
      <c r="AL265">
        <v>9370.66</v>
      </c>
      <c r="AM265">
        <v>22277.66</v>
      </c>
      <c r="AN265" s="10" cm="1">
        <f t="array" ref="AN265">Lair(100000000/($AM265-$AL265))</f>
        <v>7745.6022247747806</v>
      </c>
      <c r="AO265" s="10">
        <f t="shared" ref="AO265:AO266" si="159">100000000/($AM265-$AL265)</f>
        <v>7747.7337878670487</v>
      </c>
      <c r="AU265" s="3" cm="1">
        <f t="array" ref="AU265">$C265*EXP(poly_from_str($AO265,AU$4341))</f>
        <v>4.2769644313744895</v>
      </c>
    </row>
    <row r="266" spans="1:48" x14ac:dyDescent="0.25">
      <c r="A266" t="s">
        <v>430</v>
      </c>
      <c r="B266" s="2" t="str">
        <f t="shared" si="150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155"/>
        <v>o</v>
      </c>
      <c r="N266" t="str">
        <f t="shared" si="156"/>
        <v>5/2</v>
      </c>
      <c r="O266">
        <v>23050.61</v>
      </c>
      <c r="P266" t="str">
        <f t="shared" si="157"/>
        <v>e</v>
      </c>
      <c r="Q266" t="str">
        <f t="shared" si="158"/>
        <v>3/2</v>
      </c>
      <c r="R266">
        <v>5</v>
      </c>
      <c r="S266" t="s">
        <v>6</v>
      </c>
      <c r="AA266" s="10">
        <f t="shared" si="151"/>
        <v>7742.335</v>
      </c>
      <c r="AB266" s="3">
        <f t="shared" si="152"/>
        <v>12912.45</v>
      </c>
      <c r="AC266" s="3" cm="1">
        <f t="array" ref="AC266">100000000/LvacE(AA266)</f>
        <v>12912.446621342136</v>
      </c>
      <c r="AD266" s="10">
        <f t="shared" si="153"/>
        <v>5.8338858123125736E-3</v>
      </c>
      <c r="AE266" s="10" t="b">
        <f t="shared" si="154"/>
        <v>1</v>
      </c>
      <c r="AJ266" t="s">
        <v>4715</v>
      </c>
      <c r="AK266" t="s">
        <v>4769</v>
      </c>
      <c r="AL266">
        <v>10138.18</v>
      </c>
      <c r="AM266">
        <v>23050.61</v>
      </c>
      <c r="AN266" s="10" cm="1">
        <f t="array" ref="AN266">Lair(100000000/($AM266-$AL266))</f>
        <v>7742.3449880563421</v>
      </c>
      <c r="AO266" s="10">
        <f t="shared" si="159"/>
        <v>7744.4756718913477</v>
      </c>
      <c r="AU266" s="3" cm="1">
        <f t="array" ref="AU266">$C266*EXP(poly_from_str($AO266,AU$4341))</f>
        <v>8.5491432545776647</v>
      </c>
    </row>
    <row r="267" spans="1:48" x14ac:dyDescent="0.25">
      <c r="A267" t="s">
        <v>432</v>
      </c>
      <c r="B267" s="2" t="str">
        <f t="shared" si="150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151"/>
        <v>7739.8419999999996</v>
      </c>
      <c r="AB267" s="3">
        <f t="shared" si="152"/>
        <v>12916.61</v>
      </c>
      <c r="AC267" s="3" cm="1">
        <f t="array" ref="AC267">100000000/LvacE(AA267)</f>
        <v>12916.605693346832</v>
      </c>
      <c r="AD267" s="10">
        <f t="shared" si="153"/>
        <v>5.8344230859846257E-3</v>
      </c>
      <c r="AE267" s="10" t="b">
        <f t="shared" si="154"/>
        <v>1</v>
      </c>
      <c r="AP267"/>
      <c r="AQ267"/>
      <c r="AU267" s="3" cm="1">
        <f t="array" ref="AU267">$C267*EXP(poly_from_str(100000000/$E267,AU$4341))</f>
        <v>0.59818227297087812</v>
      </c>
    </row>
    <row r="268" spans="1:48" x14ac:dyDescent="0.25">
      <c r="A268" t="s">
        <v>434</v>
      </c>
      <c r="B268" s="2" t="str">
        <f t="shared" si="150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151"/>
        <v>7735.8559999999998</v>
      </c>
      <c r="AB268" s="3">
        <f t="shared" si="152"/>
        <v>12923.26</v>
      </c>
      <c r="AC268" s="3" cm="1">
        <f t="array" ref="AC268">100000000/LvacE(AA268)</f>
        <v>12923.261106703323</v>
      </c>
      <c r="AD268" s="10">
        <f t="shared" si="153"/>
        <v>5.8352831998620012E-3</v>
      </c>
      <c r="AE268" s="10" t="b">
        <f t="shared" si="154"/>
        <v>1</v>
      </c>
      <c r="AP268"/>
      <c r="AQ268"/>
      <c r="AU268" s="3" cm="1">
        <f t="array" ref="AU268">$C268*EXP(poly_from_str(100000000/$E268,AU$4341))</f>
        <v>0.17079212821601752</v>
      </c>
    </row>
    <row r="269" spans="1:48" x14ac:dyDescent="0.25">
      <c r="A269" t="s">
        <v>436</v>
      </c>
      <c r="B269" s="2" t="str">
        <f t="shared" si="150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151"/>
        <v>7735.3770000000004</v>
      </c>
      <c r="AB269" s="3">
        <f t="shared" si="152"/>
        <v>12924.06</v>
      </c>
      <c r="AC269" s="3" cm="1">
        <f t="array" ref="AC269">100000000/LvacE(AA269)</f>
        <v>12924.061353346948</v>
      </c>
      <c r="AD269" s="10">
        <f t="shared" si="153"/>
        <v>5.8353866497616695E-3</v>
      </c>
      <c r="AE269" s="10" t="b">
        <f t="shared" si="154"/>
        <v>1</v>
      </c>
      <c r="AP269"/>
      <c r="AQ269"/>
      <c r="AU269" s="3" cm="1">
        <f t="array" ref="AU269">$C269*EXP(poly_from_str(100000000/$E269,AU$4341))</f>
        <v>0.76850121575952446</v>
      </c>
    </row>
    <row r="270" spans="1:48" x14ac:dyDescent="0.25">
      <c r="A270" t="s">
        <v>438</v>
      </c>
      <c r="B270" s="2" t="str">
        <f t="shared" si="150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151"/>
        <v>7734.2820000000002</v>
      </c>
      <c r="AB270" s="3">
        <f t="shared" si="152"/>
        <v>12925.89</v>
      </c>
      <c r="AC270" s="3" cm="1">
        <f t="array" ref="AC270">100000000/LvacE(AA270)</f>
        <v>12925.891099490233</v>
      </c>
      <c r="AD270" s="10">
        <f t="shared" si="153"/>
        <v>5.8356232097232967E-3</v>
      </c>
      <c r="AE270" s="10" t="b">
        <f t="shared" si="154"/>
        <v>1</v>
      </c>
      <c r="AP270"/>
      <c r="AQ270"/>
      <c r="AU270" s="3" cm="1">
        <f t="array" ref="AU270">$C270*EXP(poly_from_str(100000000/$E270,AU$4341))</f>
        <v>0.34149168892199816</v>
      </c>
    </row>
    <row r="271" spans="1:48" x14ac:dyDescent="0.25">
      <c r="A271" t="s">
        <v>440</v>
      </c>
      <c r="B271" s="2" t="str">
        <f t="shared" si="150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151"/>
        <v>7728.076</v>
      </c>
      <c r="AB271" s="3">
        <f t="shared" si="152"/>
        <v>12936.27</v>
      </c>
      <c r="AC271" s="3" cm="1">
        <f t="array" ref="AC271">100000000/LvacE(AA271)</f>
        <v>12936.271129034045</v>
      </c>
      <c r="AD271" s="10">
        <f t="shared" si="153"/>
        <v>5.8369658327010535E-3</v>
      </c>
      <c r="AE271" s="10" t="b">
        <f t="shared" si="154"/>
        <v>1</v>
      </c>
      <c r="AP271"/>
      <c r="AQ271"/>
      <c r="AU271" s="3" cm="1">
        <f t="array" ref="AU271">$C271*EXP(poly_from_str(100000000/$E271,AU$4341))</f>
        <v>8.5281663144211373E-2</v>
      </c>
    </row>
    <row r="272" spans="1:48" x14ac:dyDescent="0.25">
      <c r="A272" t="s">
        <v>442</v>
      </c>
      <c r="B272" s="2" t="str">
        <f t="shared" si="150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151"/>
        <v>7726.8689999999997</v>
      </c>
      <c r="AB272" s="3">
        <f t="shared" si="152"/>
        <v>12938.29</v>
      </c>
      <c r="AC272" s="3" cm="1">
        <f t="array" ref="AC272">100000000/LvacE(AA272)</f>
        <v>12938.291869500783</v>
      </c>
      <c r="AD272" s="10">
        <f t="shared" si="153"/>
        <v>5.8372273342217132E-3</v>
      </c>
      <c r="AE272" s="10" t="b">
        <f t="shared" si="154"/>
        <v>1</v>
      </c>
      <c r="AP272"/>
      <c r="AQ272"/>
      <c r="AU272" s="3" cm="1">
        <f t="array" ref="AU272">$C272*EXP(poly_from_str(100000000/$E272,AU$4341))</f>
        <v>0.17052783777083641</v>
      </c>
    </row>
    <row r="273" spans="1:48" x14ac:dyDescent="0.25">
      <c r="A273" t="s">
        <v>444</v>
      </c>
      <c r="B273" s="2" t="str">
        <f t="shared" si="150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151"/>
        <v>7724.1909999999998</v>
      </c>
      <c r="AB273" s="3">
        <f t="shared" si="152"/>
        <v>12942.78</v>
      </c>
      <c r="AC273" s="3" cm="1">
        <f t="array" ref="AC273">100000000/LvacE(AA273)</f>
        <v>12942.777590102463</v>
      </c>
      <c r="AD273" s="10">
        <f t="shared" si="153"/>
        <v>5.837807971741148E-3</v>
      </c>
      <c r="AE273" s="10" t="b">
        <f t="shared" si="154"/>
        <v>1</v>
      </c>
      <c r="AP273"/>
      <c r="AQ273"/>
      <c r="AU273" s="3" cm="1">
        <f t="array" ref="AU273">$C273*EXP(poly_from_str(100000000/$E273,AU$4341))</f>
        <v>0.51134697917853256</v>
      </c>
    </row>
    <row r="274" spans="1:48" x14ac:dyDescent="0.25">
      <c r="A274" t="s">
        <v>446</v>
      </c>
      <c r="B274" s="2" t="str">
        <f t="shared" si="150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151"/>
        <v>7723.7510000000002</v>
      </c>
      <c r="AB274" s="3">
        <f t="shared" si="152"/>
        <v>12943.51</v>
      </c>
      <c r="AC274" s="3" cm="1">
        <f t="array" ref="AC274">100000000/LvacE(AA274)</f>
        <v>12943.514899224148</v>
      </c>
      <c r="AD274" s="10">
        <f t="shared" si="153"/>
        <v>5.837903429255044E-3</v>
      </c>
      <c r="AE274" s="10" t="b">
        <f t="shared" si="154"/>
        <v>1</v>
      </c>
      <c r="AP274"/>
      <c r="AQ274"/>
      <c r="AU274" s="3" cm="1">
        <f t="array" ref="AU274">$C274*EXP(poly_from_str(100000000/$E274,AU$4341))</f>
        <v>0.34087235867093235</v>
      </c>
    </row>
    <row r="275" spans="1:48" x14ac:dyDescent="0.25">
      <c r="A275" t="s">
        <v>448</v>
      </c>
      <c r="B275" s="2" t="str">
        <f t="shared" si="150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151"/>
        <v>7720.8969999999999</v>
      </c>
      <c r="AB275" s="3">
        <f t="shared" si="152"/>
        <v>12948.3</v>
      </c>
      <c r="AC275" s="3" cm="1">
        <f t="array" ref="AC275">100000000/LvacE(AA275)</f>
        <v>12948.299394643003</v>
      </c>
      <c r="AD275" s="10">
        <f t="shared" si="153"/>
        <v>5.8385229976933382E-3</v>
      </c>
      <c r="AE275" s="10" t="b">
        <f t="shared" si="154"/>
        <v>1</v>
      </c>
      <c r="AP275"/>
      <c r="AQ275"/>
      <c r="AU275" s="3" cm="1">
        <f t="array" ref="AU275">$C275*EXP(poly_from_str(100000000/$E275,AU$4341))</f>
        <v>0.34070427447467194</v>
      </c>
    </row>
    <row r="276" spans="1:48" x14ac:dyDescent="0.25">
      <c r="A276" t="s">
        <v>450</v>
      </c>
      <c r="B276" s="2" t="str">
        <f t="shared" si="150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151"/>
        <v>7706.2979999999998</v>
      </c>
      <c r="AB276" s="3">
        <f t="shared" si="152"/>
        <v>12972.83</v>
      </c>
      <c r="AC276" s="3" cm="1">
        <f t="array" ref="AC276">100000000/LvacE(AA276)</f>
        <v>12972.828840677179</v>
      </c>
      <c r="AD276" s="10">
        <f t="shared" si="153"/>
        <v>5.8417030356649313E-3</v>
      </c>
      <c r="AE276" s="10" t="b">
        <f t="shared" si="154"/>
        <v>1</v>
      </c>
      <c r="AP276"/>
      <c r="AQ276"/>
      <c r="AU276" s="3" cm="1">
        <f t="array" ref="AU276">$C276*EXP(poly_from_str(100000000/$E276,AU$4341))</f>
        <v>8.4961436377287994E-2</v>
      </c>
    </row>
    <row r="277" spans="1:48" x14ac:dyDescent="0.25">
      <c r="A277" t="s">
        <v>452</v>
      </c>
      <c r="B277" s="2" t="str">
        <f t="shared" si="150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151"/>
        <v>7702.7470000000003</v>
      </c>
      <c r="AB277" s="3">
        <f t="shared" si="152"/>
        <v>12978.81</v>
      </c>
      <c r="AC277" s="3" cm="1">
        <f t="array" ref="AC277">100000000/LvacE(AA277)</f>
        <v>12978.809339663319</v>
      </c>
      <c r="AD277" s="10">
        <f t="shared" si="153"/>
        <v>5.8424792700359574E-3</v>
      </c>
      <c r="AE277" s="10" t="b">
        <f t="shared" si="154"/>
        <v>1</v>
      </c>
      <c r="AP277"/>
      <c r="AQ277"/>
      <c r="AU277" s="3" cm="1">
        <f t="array" ref="AU277">$C277*EXP(poly_from_str(100000000/$E277,AU$4341))</f>
        <v>8.4909272203686562E-2</v>
      </c>
    </row>
    <row r="278" spans="1:48" x14ac:dyDescent="0.25">
      <c r="A278" t="s">
        <v>454</v>
      </c>
      <c r="B278" s="2" t="str">
        <f t="shared" si="150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151"/>
        <v>7698.76</v>
      </c>
      <c r="AB278" s="3">
        <f t="shared" si="152"/>
        <v>12985.53</v>
      </c>
      <c r="AC278" s="3" cm="1">
        <f t="array" ref="AC278">100000000/LvacE(AA278)</f>
        <v>12985.530712690274</v>
      </c>
      <c r="AD278" s="10">
        <f t="shared" si="153"/>
        <v>5.843352092589604E-3</v>
      </c>
      <c r="AE278" s="10" t="b">
        <f t="shared" si="154"/>
        <v>1</v>
      </c>
      <c r="AJ278" t="s">
        <v>4817</v>
      </c>
      <c r="AK278" t="s">
        <v>4763</v>
      </c>
      <c r="AL278">
        <v>10859.06</v>
      </c>
      <c r="AM278">
        <v>23844.58</v>
      </c>
      <c r="AN278" s="10" cm="1">
        <f t="array" ref="AN278">Lair(100000000/($AM278-$AL278))</f>
        <v>7698.7663727938279</v>
      </c>
      <c r="AO278" s="10">
        <f>100000000/($AM278-$AL278)</f>
        <v>7700.8852937733709</v>
      </c>
      <c r="AU278" s="3" cm="1">
        <f t="array" ref="AU278">$C278*EXP(poly_from_str($AO278,AU$4341))</f>
        <v>0.5939557612758759</v>
      </c>
    </row>
    <row r="279" spans="1:48" x14ac:dyDescent="0.25">
      <c r="A279" t="s">
        <v>456</v>
      </c>
      <c r="B279" s="2" t="str">
        <f t="shared" si="150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151"/>
        <v>7697.1880000000001</v>
      </c>
      <c r="AB279" s="3">
        <f t="shared" si="152"/>
        <v>12988.18</v>
      </c>
      <c r="AC279" s="3" cm="1">
        <f t="array" ref="AC279">100000000/LvacE(AA279)</f>
        <v>12988.182739082293</v>
      </c>
      <c r="AD279" s="10">
        <f t="shared" si="153"/>
        <v>5.8436966031674359E-3</v>
      </c>
      <c r="AE279" s="10" t="b">
        <f t="shared" si="154"/>
        <v>1</v>
      </c>
      <c r="AP279"/>
      <c r="AQ279"/>
      <c r="AU279" s="3" cm="1">
        <f t="array" ref="AU279">$C279*EXP(poly_from_str(100000000/$E279,AU$4341))</f>
        <v>0.59379374391444639</v>
      </c>
    </row>
    <row r="280" spans="1:48" x14ac:dyDescent="0.25">
      <c r="A280" t="s">
        <v>458</v>
      </c>
      <c r="B280" s="2" t="str">
        <f t="shared" si="150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151"/>
        <v>7693.6530000000002</v>
      </c>
      <c r="AB280" s="3">
        <f t="shared" si="152"/>
        <v>12994.15</v>
      </c>
      <c r="AC280" s="3" cm="1">
        <f t="array" ref="AC280">100000000/LvacE(AA280)</f>
        <v>12994.150383010681</v>
      </c>
      <c r="AD280" s="10">
        <f t="shared" si="153"/>
        <v>5.8444720851727186E-3</v>
      </c>
      <c r="AE280" s="10" t="b">
        <f t="shared" si="154"/>
        <v>1</v>
      </c>
      <c r="AJ280" t="s">
        <v>4737</v>
      </c>
      <c r="AK280" t="s">
        <v>4814</v>
      </c>
      <c r="AL280">
        <v>40098.660000000003</v>
      </c>
      <c r="AM280">
        <v>53092.800000000003</v>
      </c>
      <c r="AN280" s="10" cm="1">
        <f t="array" ref="AN280">Lair(100000000/($AM280-$AL280))</f>
        <v>7693.6591691358453</v>
      </c>
      <c r="AO280" s="10">
        <f>100000000/($AM280-$AL280)</f>
        <v>7695.7767116561781</v>
      </c>
      <c r="AP280" s="12">
        <v>59000</v>
      </c>
      <c r="AQ280" s="3">
        <v>1.4999999999999999E-2</v>
      </c>
      <c r="AR280" s="3"/>
      <c r="AS280" s="13">
        <f>EXP(AR$4341*$AM280+AR$4342)*$AP280/(100000000/($AM280-$AL280))</f>
        <v>1.2608786126097705E-2</v>
      </c>
      <c r="AT280" s="3"/>
      <c r="AU280" s="3" cm="1">
        <f t="array" ref="AU280">$C280*EXP(poly_from_str($AO280,AU$4341))</f>
        <v>8.4775872386003204E-2</v>
      </c>
    </row>
    <row r="281" spans="1:48" x14ac:dyDescent="0.25">
      <c r="A281" t="s">
        <v>460</v>
      </c>
      <c r="B281" s="2" t="str">
        <f t="shared" si="150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151"/>
        <v>7687.1260000000002</v>
      </c>
      <c r="AB281" s="3">
        <f t="shared" si="152"/>
        <v>13005.18</v>
      </c>
      <c r="AC281" s="3" cm="1">
        <f t="array" ref="AC281">100000000/LvacE(AA281)</f>
        <v>13005.183422854454</v>
      </c>
      <c r="AD281" s="10">
        <f t="shared" si="153"/>
        <v>5.8459067421852105E-3</v>
      </c>
      <c r="AE281" s="10" t="b">
        <f t="shared" si="154"/>
        <v>1</v>
      </c>
      <c r="AP281"/>
      <c r="AQ281"/>
      <c r="AU281" s="3" cm="1">
        <f t="array" ref="AU281">$C281*EXP(poly_from_str(100000000/$E281,AU$4341))</f>
        <v>0.76212106571527227</v>
      </c>
    </row>
    <row r="282" spans="1:48" x14ac:dyDescent="0.25">
      <c r="A282" t="s">
        <v>462</v>
      </c>
      <c r="B282" s="2" t="str">
        <f t="shared" si="150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151"/>
        <v>7683.8739999999998</v>
      </c>
      <c r="AB282" s="3">
        <f t="shared" si="152"/>
        <v>13010.69</v>
      </c>
      <c r="AC282" s="3" cm="1">
        <f t="array" ref="AC282">100000000/LvacE(AA282)</f>
        <v>13010.687499417232</v>
      </c>
      <c r="AD282" s="10">
        <f t="shared" si="153"/>
        <v>5.8466229078858682E-3</v>
      </c>
      <c r="AE282" s="10" t="b">
        <f t="shared" si="154"/>
        <v>1</v>
      </c>
      <c r="AP282"/>
      <c r="AQ282"/>
      <c r="AU282" s="3" cm="1">
        <f t="array" ref="AU282">$C282*EXP(poly_from_str(100000000/$E282,AU$4341))</f>
        <v>0.76169190940125509</v>
      </c>
    </row>
    <row r="283" spans="1:48" x14ac:dyDescent="0.25">
      <c r="A283" t="s">
        <v>464</v>
      </c>
      <c r="B283" s="2" t="str">
        <f t="shared" si="150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151"/>
        <v>7682.4809999999998</v>
      </c>
      <c r="AB283" s="3">
        <f t="shared" si="152"/>
        <v>13013.05</v>
      </c>
      <c r="AC283" s="3" cm="1">
        <f t="array" ref="AC283">100000000/LvacE(AA283)</f>
        <v>13013.046605924586</v>
      </c>
      <c r="AD283" s="10">
        <f t="shared" si="153"/>
        <v>5.8469299569972634E-3</v>
      </c>
      <c r="AE283" s="10" t="b">
        <f t="shared" si="154"/>
        <v>1</v>
      </c>
      <c r="AP283"/>
      <c r="AQ283"/>
      <c r="AU283" s="3" cm="1">
        <f t="array" ref="AU283">$C283*EXP(poly_from_str(100000000/$E283,AU$4341))</f>
        <v>8.4612033275648216E-2</v>
      </c>
    </row>
    <row r="284" spans="1:48" x14ac:dyDescent="0.25">
      <c r="A284" t="s">
        <v>466</v>
      </c>
      <c r="B284" s="2" t="str">
        <f t="shared" si="150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151"/>
        <v>7682.2190000000001</v>
      </c>
      <c r="AB284" s="3">
        <f t="shared" si="152"/>
        <v>13013.49</v>
      </c>
      <c r="AC284" s="3" cm="1">
        <f t="array" ref="AC284">100000000/LvacE(AA284)</f>
        <v>13013.490409987513</v>
      </c>
      <c r="AD284" s="10">
        <f t="shared" si="153"/>
        <v>5.8469877264620751E-3</v>
      </c>
      <c r="AE284" s="10" t="b">
        <f t="shared" si="154"/>
        <v>1</v>
      </c>
      <c r="AP284"/>
      <c r="AQ284"/>
      <c r="AU284" s="3" cm="1">
        <f t="array" ref="AU284">$C284*EXP(poly_from_str(100000000/$E284,AU$4341))</f>
        <v>8.4608231203408074E-2</v>
      </c>
    </row>
    <row r="285" spans="1:48" x14ac:dyDescent="0.25">
      <c r="A285" t="s">
        <v>468</v>
      </c>
      <c r="B285" s="2" t="str">
        <f t="shared" si="150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160">$G285&amp;""</f>
        <v>o</v>
      </c>
      <c r="N285" t="str">
        <f t="shared" ref="N285:N287" si="161">$H285&amp;""</f>
        <v>9/2</v>
      </c>
      <c r="O285">
        <v>28720.71</v>
      </c>
      <c r="P285" t="str">
        <f t="shared" ref="P285:P287" si="162">$J285&amp;""</f>
        <v>e</v>
      </c>
      <c r="Q285" t="str">
        <f t="shared" ref="Q285:Q287" si="163">$K285&amp;""</f>
        <v>9/2</v>
      </c>
      <c r="R285">
        <v>5</v>
      </c>
      <c r="S285" t="s">
        <v>420</v>
      </c>
      <c r="AA285" s="10">
        <f t="shared" si="151"/>
        <v>7680.9759999999997</v>
      </c>
      <c r="AB285" s="3">
        <f t="shared" si="152"/>
        <v>13015.6</v>
      </c>
      <c r="AC285" s="3" cm="1">
        <f t="array" ref="AC285">100000000/LvacE(AA285)</f>
        <v>13015.596350974474</v>
      </c>
      <c r="AD285" s="10">
        <f t="shared" si="153"/>
        <v>5.8472618812358268E-3</v>
      </c>
      <c r="AE285" s="10" t="b">
        <f t="shared" si="154"/>
        <v>1</v>
      </c>
      <c r="AJ285" t="s">
        <v>4767</v>
      </c>
      <c r="AK285" t="s">
        <v>4708</v>
      </c>
      <c r="AL285">
        <v>15705.13</v>
      </c>
      <c r="AM285">
        <v>28720.71</v>
      </c>
      <c r="AN285" s="10" cm="1">
        <f t="array" ref="AN285">Lair(100000000/($AM285-$AL285))</f>
        <v>7680.9856707458021</v>
      </c>
      <c r="AO285" s="10">
        <f t="shared" ref="AO285:AO287" si="164">100000000/($AM285-$AL285)</f>
        <v>7683.0997927099679</v>
      </c>
      <c r="AP285" s="12">
        <v>56700</v>
      </c>
      <c r="AQ285" s="3">
        <v>8.9999999999999993E-3</v>
      </c>
      <c r="AR285" s="3"/>
      <c r="AS285" s="13">
        <f t="shared" ref="AS285:AS286" si="165">EXP(AR$4341*$AM285+AR$4342)*$AP285/(100000000/($AM285-$AL285))</f>
        <v>7.5590124797540681E-2</v>
      </c>
      <c r="AT285" s="3"/>
      <c r="AU285" s="3" cm="1">
        <f t="array" ref="AU285">$C285*EXP(poly_from_str($AO285,AU$4341))</f>
        <v>0.25377053387606663</v>
      </c>
    </row>
    <row r="286" spans="1:48" x14ac:dyDescent="0.25">
      <c r="A286" t="s">
        <v>470</v>
      </c>
      <c r="B286" s="2" t="str">
        <f t="shared" si="150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160"/>
        <v>o</v>
      </c>
      <c r="N286" t="str">
        <f t="shared" si="161"/>
        <v>9/2</v>
      </c>
      <c r="O286">
        <v>24788.02</v>
      </c>
      <c r="P286" t="str">
        <f t="shared" si="162"/>
        <v>e</v>
      </c>
      <c r="Q286" t="str">
        <f t="shared" si="163"/>
        <v>9/2</v>
      </c>
      <c r="R286">
        <v>5</v>
      </c>
      <c r="AA286" s="10">
        <f t="shared" si="151"/>
        <v>7674.6459999999997</v>
      </c>
      <c r="AB286" s="3">
        <f t="shared" si="152"/>
        <v>13026.33</v>
      </c>
      <c r="AC286" s="3" cm="1">
        <f t="array" ref="AC286">100000000/LvacE(AA286)</f>
        <v>13026.331475986903</v>
      </c>
      <c r="AD286" s="10">
        <f t="shared" si="153"/>
        <v>5.8486600864708881E-3</v>
      </c>
      <c r="AE286" s="10" t="b">
        <f t="shared" si="154"/>
        <v>1</v>
      </c>
      <c r="AJ286" t="s">
        <v>4695</v>
      </c>
      <c r="AK286" t="s">
        <v>4705</v>
      </c>
      <c r="AL286">
        <v>11761.69</v>
      </c>
      <c r="AM286">
        <v>24788.02</v>
      </c>
      <c r="AN286" s="10" cm="1">
        <f t="array" ref="AN286">Lair(100000000/($AM286-$AL286))</f>
        <v>7674.646890938634</v>
      </c>
      <c r="AO286" s="10">
        <f t="shared" si="164"/>
        <v>7676.7593021211651</v>
      </c>
      <c r="AP286" s="12">
        <v>1840000</v>
      </c>
      <c r="AQ286" s="3">
        <v>0.17599999999999999</v>
      </c>
      <c r="AR286" s="3">
        <f>LN(AU286*100000000/($AM286-$AL286)/AP286)</f>
        <v>-4.261477265446449</v>
      </c>
      <c r="AS286" s="13">
        <f t="shared" si="165"/>
        <v>3.2978747492588454</v>
      </c>
      <c r="AT286" s="3">
        <f t="shared" ref="AT286" si="166">LN(AS286/$C286)</f>
        <v>-4.1050391209186916</v>
      </c>
      <c r="AU286" s="3" cm="1">
        <f t="array" ref="AU286">$C286*EXP(poly_from_str($AO286,AU$4341))</f>
        <v>3.3798998974567036</v>
      </c>
      <c r="AV286" s="13">
        <f>LN(AS286/AU286)</f>
        <v>-2.4567847289945714E-2</v>
      </c>
    </row>
    <row r="287" spans="1:48" x14ac:dyDescent="0.25">
      <c r="A287" t="s">
        <v>472</v>
      </c>
      <c r="B287" s="2" t="str">
        <f t="shared" si="150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160"/>
        <v>o</v>
      </c>
      <c r="N287" t="str">
        <f t="shared" si="161"/>
        <v>7/2</v>
      </c>
      <c r="O287">
        <v>37919.58</v>
      </c>
      <c r="P287" t="str">
        <f t="shared" si="162"/>
        <v>e</v>
      </c>
      <c r="Q287" t="str">
        <f t="shared" si="163"/>
        <v>7/2</v>
      </c>
      <c r="R287">
        <v>5</v>
      </c>
      <c r="AA287" s="10">
        <f t="shared" si="151"/>
        <v>7670.6540000000005</v>
      </c>
      <c r="AB287" s="3">
        <f t="shared" si="152"/>
        <v>13033.11</v>
      </c>
      <c r="AC287" s="3" cm="1">
        <f t="array" ref="AC287">100000000/LvacE(AA287)</f>
        <v>13033.1106680577</v>
      </c>
      <c r="AD287" s="10">
        <f t="shared" si="153"/>
        <v>5.849543641784501E-3</v>
      </c>
      <c r="AE287" s="10" t="b">
        <f t="shared" si="154"/>
        <v>1</v>
      </c>
      <c r="AJ287" t="s">
        <v>4989</v>
      </c>
      <c r="AK287" t="s">
        <v>4764</v>
      </c>
      <c r="AL287">
        <v>24886.51</v>
      </c>
      <c r="AM287">
        <v>37919.58</v>
      </c>
      <c r="AN287" s="10" cm="1">
        <f t="array" ref="AN287">Lair(100000000/($AM287-$AL287))</f>
        <v>7670.6779567490321</v>
      </c>
      <c r="AO287" s="10">
        <f t="shared" si="164"/>
        <v>7672.7892967658408</v>
      </c>
      <c r="AU287" s="3" cm="1">
        <f t="array" ref="AU287">$C287*EXP(poly_from_str($AO287,AU$4341))</f>
        <v>1.6887909220211952</v>
      </c>
    </row>
    <row r="288" spans="1:48" x14ac:dyDescent="0.25">
      <c r="A288" t="s">
        <v>474</v>
      </c>
      <c r="B288" s="2" t="str">
        <f t="shared" si="150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151"/>
        <v>7664.18</v>
      </c>
      <c r="AB288" s="3">
        <f t="shared" si="152"/>
        <v>13044.12</v>
      </c>
      <c r="AC288" s="3" cm="1">
        <f t="array" ref="AC288">100000000/LvacE(AA288)</f>
        <v>13044.119791786688</v>
      </c>
      <c r="AD288" s="10">
        <f t="shared" si="153"/>
        <v>5.850979478025483E-3</v>
      </c>
      <c r="AE288" s="10" t="b">
        <f t="shared" si="154"/>
        <v>1</v>
      </c>
      <c r="AP288"/>
      <c r="AQ288"/>
      <c r="AU288" s="3" cm="1">
        <f t="array" ref="AU288">$C288*EXP(poly_from_str(100000000/$E288,AU$4341))</f>
        <v>0.25303444034272782</v>
      </c>
    </row>
    <row r="289" spans="1:48" x14ac:dyDescent="0.25">
      <c r="A289" t="s">
        <v>476</v>
      </c>
      <c r="B289" s="2" t="str">
        <f t="shared" si="150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151"/>
        <v>7660.701</v>
      </c>
      <c r="AB289" s="3">
        <f t="shared" si="152"/>
        <v>13050.04</v>
      </c>
      <c r="AC289" s="3" cm="1">
        <f t="array" ref="AC289">100000000/LvacE(AA289)</f>
        <v>13050.043564176813</v>
      </c>
      <c r="AD289" s="10">
        <f t="shared" si="153"/>
        <v>5.8517525722630876E-3</v>
      </c>
      <c r="AE289" s="10" t="b">
        <f t="shared" si="154"/>
        <v>1</v>
      </c>
      <c r="AP289"/>
      <c r="AQ289"/>
      <c r="AU289" s="3" cm="1">
        <f t="array" ref="AU289">$C289*EXP(poly_from_str(100000000/$E289,AU$4341))</f>
        <v>0.16858841640456956</v>
      </c>
    </row>
    <row r="290" spans="1:48" x14ac:dyDescent="0.25">
      <c r="A290" t="s">
        <v>478</v>
      </c>
      <c r="B290" s="2" t="str">
        <f t="shared" si="150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167">$G290&amp;""</f>
        <v>o</v>
      </c>
      <c r="N290" t="str">
        <f t="shared" ref="N290:N291" si="168">$H290&amp;""</f>
        <v>9/2</v>
      </c>
      <c r="O290">
        <v>29835.09</v>
      </c>
      <c r="P290" t="str">
        <f t="shared" ref="P290:P291" si="169">$J290&amp;""</f>
        <v>e</v>
      </c>
      <c r="Q290" t="str">
        <f t="shared" ref="Q290:Q291" si="170">$K290&amp;""</f>
        <v>9/2</v>
      </c>
      <c r="R290">
        <v>5</v>
      </c>
      <c r="AA290" s="10">
        <f t="shared" si="151"/>
        <v>7648.3450000000003</v>
      </c>
      <c r="AB290" s="3">
        <f t="shared" si="152"/>
        <v>13071.13</v>
      </c>
      <c r="AC290" s="3" cm="1">
        <f t="array" ref="AC290">100000000/LvacE(AA290)</f>
        <v>13071.125964365414</v>
      </c>
      <c r="AD290" s="10">
        <f t="shared" si="153"/>
        <v>5.8545068223495025E-3</v>
      </c>
      <c r="AE290" s="10" t="b">
        <f t="shared" si="154"/>
        <v>1</v>
      </c>
      <c r="AJ290" t="s">
        <v>4985</v>
      </c>
      <c r="AK290" t="s">
        <v>4697</v>
      </c>
      <c r="AL290">
        <v>16763.98</v>
      </c>
      <c r="AM290">
        <v>29835.09</v>
      </c>
      <c r="AN290" s="10" cm="1">
        <f t="array" ref="AN290">Lair(100000000/($AM290-$AL290))</f>
        <v>7648.3543624935255</v>
      </c>
      <c r="AO290" s="10">
        <f t="shared" ref="AO290:AO291" si="171">100000000/($AM290-$AL290)</f>
        <v>7650.4596778697442</v>
      </c>
      <c r="AP290" s="12">
        <v>1870000</v>
      </c>
      <c r="AQ290" s="3">
        <v>0.214</v>
      </c>
      <c r="AR290" s="3">
        <f t="shared" ref="AR290:AR291" si="172">LN(AU290*100000000/($AM290-$AL290)/AP290)</f>
        <v>-4.9787662162901833</v>
      </c>
      <c r="AS290" s="13">
        <f t="shared" ref="AS290:AS291" si="173">EXP(AR$4341*$AM290+AR$4342)*$AP290/(100000000/($AM290-$AL290))</f>
        <v>2.3027789024013203</v>
      </c>
      <c r="AT290" s="3">
        <f t="shared" ref="AT290:AT291" si="174">LN(AS290/$C290)</f>
        <v>-3.771053573926141</v>
      </c>
      <c r="AU290" s="3" cm="1">
        <f t="array" ref="AU290">$C290*EXP(poly_from_str($AO290,AU$4341))</f>
        <v>1.6822997546733234</v>
      </c>
      <c r="AV290" s="13">
        <f t="shared" ref="AV290:AV291" si="175">LN(AS290/AU290)</f>
        <v>0.31395485314712152</v>
      </c>
    </row>
    <row r="291" spans="1:48" x14ac:dyDescent="0.25">
      <c r="A291" t="s">
        <v>480</v>
      </c>
      <c r="B291" s="2" t="str">
        <f t="shared" si="150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167"/>
        <v>o</v>
      </c>
      <c r="N291" t="str">
        <f t="shared" si="168"/>
        <v>15/2</v>
      </c>
      <c r="O291">
        <v>17534.759999999998</v>
      </c>
      <c r="P291" t="str">
        <f t="shared" si="169"/>
        <v>e</v>
      </c>
      <c r="Q291" t="str">
        <f t="shared" si="170"/>
        <v>15/2</v>
      </c>
      <c r="R291">
        <v>5</v>
      </c>
      <c r="AA291" s="10">
        <f t="shared" si="151"/>
        <v>7642.5590000000002</v>
      </c>
      <c r="AB291" s="3">
        <f t="shared" si="152"/>
        <v>13081.02</v>
      </c>
      <c r="AC291" s="3" cm="1">
        <f t="array" ref="AC291">100000000/LvacE(AA291)</f>
        <v>13081.021750160609</v>
      </c>
      <c r="AD291" s="10">
        <f t="shared" si="153"/>
        <v>5.8558011622913617E-3</v>
      </c>
      <c r="AE291" s="10" t="b">
        <f t="shared" si="154"/>
        <v>1</v>
      </c>
      <c r="AJ291" t="s">
        <v>4994</v>
      </c>
      <c r="AK291" t="s">
        <v>4701</v>
      </c>
      <c r="AL291">
        <v>4453.76</v>
      </c>
      <c r="AM291">
        <v>17534.759999999998</v>
      </c>
      <c r="AN291" s="10" cm="1">
        <f t="array" ref="AN291">Lair(100000000/($AM291-$AL291))</f>
        <v>7642.5717286927438</v>
      </c>
      <c r="AO291" s="10">
        <f t="shared" si="171"/>
        <v>7644.6754835257252</v>
      </c>
      <c r="AP291" s="12">
        <v>75600</v>
      </c>
      <c r="AQ291" s="3">
        <v>0.63900000000000001</v>
      </c>
      <c r="AR291" s="3">
        <f t="shared" si="172"/>
        <v>-2.9762525036619478</v>
      </c>
      <c r="AS291" s="13">
        <f t="shared" si="173"/>
        <v>0.23450823879982638</v>
      </c>
      <c r="AT291" s="3">
        <f t="shared" si="174"/>
        <v>-4.8514619399003855</v>
      </c>
      <c r="AU291" s="3" cm="1">
        <f t="array" ref="AU291">$C291*EXP(poly_from_str($AO291,AU$4341))</f>
        <v>0.50418822881690994</v>
      </c>
      <c r="AV291" s="13">
        <f t="shared" si="175"/>
        <v>-0.76545894747976784</v>
      </c>
    </row>
    <row r="292" spans="1:48" x14ac:dyDescent="0.25">
      <c r="A292" t="s">
        <v>482</v>
      </c>
      <c r="B292" s="2" t="str">
        <f t="shared" si="150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151"/>
        <v>7638.6</v>
      </c>
      <c r="AB292" s="3">
        <f t="shared" si="152"/>
        <v>13087.8</v>
      </c>
      <c r="AC292" s="3" cm="1">
        <f t="array" ref="AC292">100000000/LvacE(AA292)</f>
        <v>13087.80145918684</v>
      </c>
      <c r="AD292" s="10">
        <f t="shared" si="153"/>
        <v>5.8566884939116361E-3</v>
      </c>
      <c r="AE292" s="10" t="b">
        <f t="shared" si="154"/>
        <v>1</v>
      </c>
      <c r="AP292"/>
      <c r="AQ292"/>
      <c r="AU292" s="3" cm="1">
        <f t="array" ref="AU292">$C292*EXP(poly_from_str(100000000/$E292,AU$4341))</f>
        <v>8.3974078927211968E-2</v>
      </c>
    </row>
    <row r="293" spans="1:48" x14ac:dyDescent="0.25">
      <c r="A293" t="s">
        <v>484</v>
      </c>
      <c r="B293" s="2" t="str">
        <f t="shared" si="150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151"/>
        <v>7635.0680000000002</v>
      </c>
      <c r="AB293" s="3">
        <f t="shared" si="152"/>
        <v>13093.86</v>
      </c>
      <c r="AC293" s="3" cm="1">
        <f t="array" ref="AC293">100000000/LvacE(AA293)</f>
        <v>13093.855873477483</v>
      </c>
      <c r="AD293" s="10">
        <f t="shared" si="153"/>
        <v>5.8574812872313311E-3</v>
      </c>
      <c r="AE293" s="10" t="b">
        <f t="shared" si="154"/>
        <v>1</v>
      </c>
      <c r="AP293"/>
      <c r="AQ293"/>
      <c r="AU293" s="3" cm="1">
        <f t="array" ref="AU293">$C293*EXP(poly_from_str(100000000/$E293,AU$4341))</f>
        <v>0.83923162184421618</v>
      </c>
    </row>
    <row r="294" spans="1:48" x14ac:dyDescent="0.25">
      <c r="A294" t="s">
        <v>486</v>
      </c>
      <c r="B294" s="2" t="str">
        <f t="shared" si="150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176">$G294&amp;""</f>
        <v>o</v>
      </c>
      <c r="N294" t="str">
        <f t="shared" ref="N294:N295" si="177">$H294&amp;""</f>
        <v>1/2</v>
      </c>
      <c r="O294">
        <v>31803.7</v>
      </c>
      <c r="P294" t="str">
        <f t="shared" ref="P294:P295" si="178">$J294&amp;""</f>
        <v>e</v>
      </c>
      <c r="Q294" t="str">
        <f t="shared" ref="Q294:Q295" si="179">$K294&amp;""</f>
        <v>1/2</v>
      </c>
      <c r="R294">
        <v>5</v>
      </c>
      <c r="AA294" s="10">
        <f t="shared" si="151"/>
        <v>7625.6329999999998</v>
      </c>
      <c r="AB294" s="3">
        <f t="shared" si="152"/>
        <v>13110.06</v>
      </c>
      <c r="AC294" s="3" cm="1">
        <f t="array" ref="AC294">100000000/LvacE(AA294)</f>
        <v>13110.056477512813</v>
      </c>
      <c r="AD294" s="10">
        <f t="shared" si="153"/>
        <v>5.8596044733278414E-3</v>
      </c>
      <c r="AE294" s="10" t="b">
        <f t="shared" si="154"/>
        <v>1</v>
      </c>
      <c r="AJ294" t="s">
        <v>4795</v>
      </c>
      <c r="AK294" t="s">
        <v>4703</v>
      </c>
      <c r="AL294">
        <v>18693.650000000001</v>
      </c>
      <c r="AM294">
        <v>31803.7</v>
      </c>
      <c r="AN294" s="10" cm="1">
        <f t="array" ref="AN294">Lair(100000000/($AM294-$AL294))</f>
        <v>7625.6367887542692</v>
      </c>
      <c r="AO294" s="10">
        <f t="shared" ref="AO294:AO295" si="180">100000000/($AM294-$AL294)</f>
        <v>7627.7359735470118</v>
      </c>
      <c r="AU294" s="3" cm="1">
        <f t="array" ref="AU294">$C294*EXP(poly_from_str($AO294,AU$4341))</f>
        <v>1.6757561995642156</v>
      </c>
    </row>
    <row r="295" spans="1:48" x14ac:dyDescent="0.25">
      <c r="A295" t="s">
        <v>488</v>
      </c>
      <c r="B295" s="2" t="str">
        <f t="shared" si="150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176"/>
        <v>o</v>
      </c>
      <c r="N295" t="str">
        <f t="shared" si="177"/>
        <v>7/2</v>
      </c>
      <c r="O295">
        <v>44903.42</v>
      </c>
      <c r="P295" t="str">
        <f t="shared" si="178"/>
        <v>e</v>
      </c>
      <c r="Q295" t="str">
        <f t="shared" si="179"/>
        <v>5/2</v>
      </c>
      <c r="R295">
        <v>5</v>
      </c>
      <c r="AA295" s="10">
        <f t="shared" si="151"/>
        <v>7622.4870000000001</v>
      </c>
      <c r="AB295" s="3">
        <f t="shared" si="152"/>
        <v>13115.47</v>
      </c>
      <c r="AC295" s="3" cm="1">
        <f t="array" ref="AC295">100000000/LvacE(AA295)</f>
        <v>13115.46731178576</v>
      </c>
      <c r="AD295" s="10">
        <f t="shared" si="153"/>
        <v>5.8603141803840247E-3</v>
      </c>
      <c r="AE295" s="10" t="b">
        <f t="shared" si="154"/>
        <v>1</v>
      </c>
      <c r="AJ295" t="s">
        <v>4804</v>
      </c>
      <c r="AK295" t="s">
        <v>4765</v>
      </c>
      <c r="AL295">
        <v>31787.93</v>
      </c>
      <c r="AM295">
        <v>44903.42</v>
      </c>
      <c r="AN295" s="10" cm="1">
        <f t="array" ref="AN295">Lair(100000000/($AM295-$AL295))</f>
        <v>7622.4738349280733</v>
      </c>
      <c r="AO295" s="10">
        <f t="shared" si="180"/>
        <v>7624.5721661943253</v>
      </c>
      <c r="AP295" s="12">
        <v>46600</v>
      </c>
      <c r="AQ295" s="3">
        <v>1.0999999999999999E-2</v>
      </c>
      <c r="AR295" s="3"/>
      <c r="AS295" s="13">
        <f>EXP(AR$4341*$AM295+AR$4342)*$AP295/(100000000/($AM295-$AL295))</f>
        <v>1.8584704469144987E-2</v>
      </c>
      <c r="AT295" s="3"/>
      <c r="AU295" s="3" cm="1">
        <f t="array" ref="AU295">$C295*EXP(poly_from_str($AO295,AU$4341))</f>
        <v>8.3742559760549257E-2</v>
      </c>
    </row>
    <row r="296" spans="1:48" x14ac:dyDescent="0.25">
      <c r="A296" t="s">
        <v>490</v>
      </c>
      <c r="B296" s="2" t="str">
        <f t="shared" si="150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151"/>
        <v>7600.5630000000001</v>
      </c>
      <c r="AB296" s="3">
        <f t="shared" si="152"/>
        <v>13153.3</v>
      </c>
      <c r="AC296" s="3" cm="1">
        <f t="array" ref="AC296">100000000/LvacE(AA296)</f>
        <v>13153.298974783895</v>
      </c>
      <c r="AD296" s="10">
        <f t="shared" si="153"/>
        <v>5.8652845173958754E-3</v>
      </c>
      <c r="AE296" s="10" t="b">
        <f t="shared" si="154"/>
        <v>1</v>
      </c>
      <c r="AP296"/>
      <c r="AQ296"/>
      <c r="AU296" s="3" cm="1">
        <f t="array" ref="AU296">$C296*EXP(poly_from_str(100000000/$E296,AU$4341))</f>
        <v>8.3431480768153737E-2</v>
      </c>
    </row>
    <row r="297" spans="1:48" x14ac:dyDescent="0.25">
      <c r="A297" t="s">
        <v>492</v>
      </c>
      <c r="B297" s="2" t="str">
        <f t="shared" si="150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4682</v>
      </c>
      <c r="AA297" s="10">
        <f t="shared" si="151"/>
        <v>7596.41</v>
      </c>
      <c r="AB297" s="3">
        <f t="shared" si="152"/>
        <v>13160.49</v>
      </c>
      <c r="AC297" s="3" cm="1">
        <f t="array" ref="AC297">100000000/LvacE(AA297)</f>
        <v>13160.489917898465</v>
      </c>
      <c r="AD297" s="10">
        <f t="shared" si="153"/>
        <v>5.866230885240427E-3</v>
      </c>
      <c r="AE297" s="10" t="b">
        <f t="shared" si="154"/>
        <v>1</v>
      </c>
      <c r="AP297"/>
      <c r="AQ297"/>
      <c r="AU297" s="3" cm="1">
        <f t="array" ref="AU297">$C297*EXP(poly_from_str(100000000/$E297,AU$4341))</f>
        <v>5.002382583846039</v>
      </c>
    </row>
    <row r="298" spans="1:48" x14ac:dyDescent="0.25">
      <c r="A298" t="s">
        <v>495</v>
      </c>
      <c r="B298" s="2" t="str">
        <f t="shared" si="150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151"/>
        <v>7589.308</v>
      </c>
      <c r="AB298" s="3">
        <f t="shared" si="152"/>
        <v>13172.81</v>
      </c>
      <c r="AC298" s="3" cm="1">
        <f t="array" ref="AC298">100000000/LvacE(AA298)</f>
        <v>13172.80530789823</v>
      </c>
      <c r="AD298" s="10">
        <f t="shared" si="153"/>
        <v>5.8678528600959552E-3</v>
      </c>
      <c r="AE298" s="10" t="b">
        <f t="shared" si="154"/>
        <v>1</v>
      </c>
      <c r="AP298"/>
      <c r="AQ298"/>
      <c r="AU298" s="3" cm="1">
        <f t="array" ref="AU298">$C298*EXP(poly_from_str(100000000/$E298,AU$4341))</f>
        <v>8.3273476635647312E-2</v>
      </c>
    </row>
    <row r="299" spans="1:48" x14ac:dyDescent="0.25">
      <c r="A299" t="s">
        <v>497</v>
      </c>
      <c r="B299" s="2" t="str">
        <f t="shared" si="150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181">$G299&amp;""</f>
        <v>o</v>
      </c>
      <c r="N299" t="str">
        <f t="shared" ref="N299:N300" si="182">$H299&amp;""</f>
        <v>13/2</v>
      </c>
      <c r="O299">
        <v>29263.08</v>
      </c>
      <c r="P299" t="str">
        <f t="shared" ref="P299:P300" si="183">$J299&amp;""</f>
        <v>e</v>
      </c>
      <c r="Q299" t="str">
        <f t="shared" ref="Q299:Q300" si="184">$K299&amp;""</f>
        <v>13/2</v>
      </c>
      <c r="R299">
        <v>5</v>
      </c>
      <c r="S299" t="s">
        <v>420</v>
      </c>
      <c r="AA299" s="10">
        <f t="shared" si="151"/>
        <v>7588.6379999999999</v>
      </c>
      <c r="AB299" s="3">
        <f t="shared" si="152"/>
        <v>13173.97</v>
      </c>
      <c r="AC299" s="3" cm="1">
        <f t="array" ref="AC299">100000000/LvacE(AA299)</f>
        <v>13173.968327035693</v>
      </c>
      <c r="AD299" s="10">
        <f t="shared" si="153"/>
        <v>5.8680061117051367E-3</v>
      </c>
      <c r="AE299" s="10" t="b">
        <f t="shared" si="154"/>
        <v>1</v>
      </c>
      <c r="AJ299" t="s">
        <v>4988</v>
      </c>
      <c r="AK299" t="s">
        <v>4699</v>
      </c>
      <c r="AL299">
        <v>16089.14</v>
      </c>
      <c r="AM299">
        <v>29263.08</v>
      </c>
      <c r="AN299" s="10" cm="1">
        <f t="array" ref="AN299">Lair(100000000/($AM299-$AL299))</f>
        <v>7588.6543381786605</v>
      </c>
      <c r="AO299" s="10">
        <f t="shared" ref="AO299:AO300" si="185">100000000/($AM299-$AL299)</f>
        <v>7590.7435436930773</v>
      </c>
      <c r="AU299" s="3" cm="1">
        <f t="array" ref="AU299">$C299*EXP(poly_from_str($AO299,AU$4341))</f>
        <v>2.4979314258572853</v>
      </c>
    </row>
    <row r="300" spans="1:48" x14ac:dyDescent="0.25">
      <c r="A300" t="s">
        <v>499</v>
      </c>
      <c r="B300" s="2" t="str">
        <f t="shared" si="150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181"/>
        <v>o</v>
      </c>
      <c r="N300" t="str">
        <f t="shared" si="182"/>
        <v>3/2</v>
      </c>
      <c r="O300">
        <v>40098.660000000003</v>
      </c>
      <c r="P300" t="str">
        <f t="shared" si="183"/>
        <v>e</v>
      </c>
      <c r="Q300" t="str">
        <f t="shared" si="184"/>
        <v>5/2</v>
      </c>
      <c r="R300">
        <v>5</v>
      </c>
      <c r="AA300" s="10">
        <f t="shared" si="151"/>
        <v>7586.7719999999999</v>
      </c>
      <c r="AB300" s="3">
        <f t="shared" si="152"/>
        <v>13177.21</v>
      </c>
      <c r="AC300" s="3" cm="1">
        <f t="array" ref="AC300">100000000/LvacE(AA300)</f>
        <v>13177.208504836295</v>
      </c>
      <c r="AD300" s="10">
        <f t="shared" si="153"/>
        <v>5.8684331428990018E-3</v>
      </c>
      <c r="AE300" s="10" t="b">
        <f t="shared" si="154"/>
        <v>1</v>
      </c>
      <c r="AJ300" t="s">
        <v>4981</v>
      </c>
      <c r="AK300" t="s">
        <v>4737</v>
      </c>
      <c r="AL300">
        <v>26921.49</v>
      </c>
      <c r="AM300">
        <v>40098.660000000003</v>
      </c>
      <c r="AN300" s="10" cm="1">
        <f t="array" ref="AN300">Lair(100000000/($AM300-$AL300))</f>
        <v>7586.7941900684045</v>
      </c>
      <c r="AO300" s="10">
        <f t="shared" si="185"/>
        <v>7588.8828936714017</v>
      </c>
      <c r="AU300" s="3" cm="1">
        <f t="array" ref="AU300">$C300*EXP(poly_from_str($AO300,AU$4341))</f>
        <v>0.24971524755180854</v>
      </c>
    </row>
    <row r="301" spans="1:48" x14ac:dyDescent="0.25">
      <c r="A301" t="s">
        <v>501</v>
      </c>
      <c r="B301" s="2" t="str">
        <f t="shared" si="150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151"/>
        <v>7583.768</v>
      </c>
      <c r="AB301" s="3">
        <f t="shared" si="152"/>
        <v>13182.43</v>
      </c>
      <c r="AC301" s="3" cm="1">
        <f t="array" ref="AC301">100000000/LvacE(AA301)</f>
        <v>13182.428089257935</v>
      </c>
      <c r="AD301" s="10">
        <f t="shared" si="153"/>
        <v>5.8691212659233473E-3</v>
      </c>
      <c r="AE301" s="10" t="b">
        <f t="shared" si="154"/>
        <v>1</v>
      </c>
      <c r="AP301"/>
      <c r="AQ301"/>
      <c r="AU301" s="3" cm="1">
        <f t="array" ref="AU301">$C301*EXP(poly_from_str(100000000/$E301,AU$4341))</f>
        <v>0.1663924848071836</v>
      </c>
    </row>
    <row r="302" spans="1:48" x14ac:dyDescent="0.25">
      <c r="A302" t="s">
        <v>503</v>
      </c>
      <c r="B302" s="2" t="str">
        <f t="shared" si="150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186">$G302&amp;""</f>
        <v>o</v>
      </c>
      <c r="N302" t="str">
        <f t="shared" ref="N302:N309" si="187">$H302&amp;""</f>
        <v>1/2</v>
      </c>
      <c r="O302">
        <v>36683.21</v>
      </c>
      <c r="P302" t="str">
        <f t="shared" ref="P302:P309" si="188">$J302&amp;""</f>
        <v>e</v>
      </c>
      <c r="Q302" t="str">
        <f t="shared" ref="Q302:Q309" si="189">$K302&amp;""</f>
        <v>1/2</v>
      </c>
      <c r="R302">
        <v>5</v>
      </c>
      <c r="AA302" s="10">
        <f t="shared" si="151"/>
        <v>7563.45</v>
      </c>
      <c r="AB302" s="3">
        <f t="shared" si="152"/>
        <v>13217.84</v>
      </c>
      <c r="AC302" s="3" cm="1">
        <f t="array" ref="AC302">100000000/LvacE(AA302)</f>
        <v>13217.840381135902</v>
      </c>
      <c r="AD302" s="10">
        <f t="shared" si="153"/>
        <v>5.8737970358193614E-3</v>
      </c>
      <c r="AE302" s="10" t="b">
        <f t="shared" si="154"/>
        <v>1</v>
      </c>
      <c r="AJ302" t="s">
        <v>4995</v>
      </c>
      <c r="AK302" t="s">
        <v>4775</v>
      </c>
      <c r="AL302">
        <v>23465.43</v>
      </c>
      <c r="AM302">
        <v>36683.21</v>
      </c>
      <c r="AN302" s="10" cm="1">
        <f t="array" ref="AN302">Lair(100000000/($AM302-$AL302))</f>
        <v>7563.4845719370005</v>
      </c>
      <c r="AO302" s="10">
        <f t="shared" ref="AO302:AO309" si="190">100000000/($AM302-$AL302)</f>
        <v>7565.5669862866544</v>
      </c>
      <c r="AU302" s="3" cm="1">
        <f t="array" ref="AU302">$C302*EXP(poly_from_str($AO302,AU$4341))</f>
        <v>0.74624851858029273</v>
      </c>
    </row>
    <row r="303" spans="1:48" x14ac:dyDescent="0.25">
      <c r="A303" t="s">
        <v>505</v>
      </c>
      <c r="B303" s="2" t="str">
        <f t="shared" si="150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186"/>
        <v>e</v>
      </c>
      <c r="N303" t="str">
        <f t="shared" si="187"/>
        <v>11/2</v>
      </c>
      <c r="O303">
        <v>28101.77</v>
      </c>
      <c r="P303" t="str">
        <f t="shared" si="188"/>
        <v>o</v>
      </c>
      <c r="Q303" t="str">
        <f t="shared" si="189"/>
        <v>11/2</v>
      </c>
      <c r="R303">
        <v>5</v>
      </c>
      <c r="AA303" s="10">
        <f t="shared" si="151"/>
        <v>7549.74</v>
      </c>
      <c r="AB303" s="3">
        <f t="shared" si="152"/>
        <v>13241.84</v>
      </c>
      <c r="AC303" s="3" cm="1">
        <f t="array" ref="AC303">100000000/LvacE(AA303)</f>
        <v>13241.843272562133</v>
      </c>
      <c r="AD303" s="10">
        <f t="shared" si="153"/>
        <v>5.8769734634942488E-3</v>
      </c>
      <c r="AE303" s="10" t="b">
        <f t="shared" si="154"/>
        <v>1</v>
      </c>
      <c r="AJ303" t="s">
        <v>4709</v>
      </c>
      <c r="AK303" t="s">
        <v>4778</v>
      </c>
      <c r="AL303">
        <v>14859.96</v>
      </c>
      <c r="AM303">
        <v>28101.77</v>
      </c>
      <c r="AN303" s="10" cm="1">
        <f t="array" ref="AN303">Lair(100000000/($AM303-$AL303))</f>
        <v>7549.758990748116</v>
      </c>
      <c r="AO303" s="10">
        <f t="shared" si="190"/>
        <v>7551.8377019455793</v>
      </c>
      <c r="AP303" s="12">
        <v>97000</v>
      </c>
      <c r="AQ303" s="3">
        <v>8.9999999999999993E-3</v>
      </c>
      <c r="AR303" s="3"/>
      <c r="AS303" s="13">
        <f>EXP(AR$4341*$AM303+AR$4342)*$AP303/(100000000/($AM303-$AL303))</f>
        <v>0.1378193826202965</v>
      </c>
      <c r="AT303" s="3"/>
      <c r="AU303" s="3" cm="1">
        <f t="array" ref="AU303">$C303*EXP(poly_from_str($AO303,AU$4341))</f>
        <v>0.41365110473126798</v>
      </c>
    </row>
    <row r="304" spans="1:48" x14ac:dyDescent="0.25">
      <c r="A304" t="s">
        <v>507</v>
      </c>
      <c r="B304" s="2" t="str">
        <f t="shared" si="150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186"/>
        <v>o</v>
      </c>
      <c r="N304" t="str">
        <f t="shared" si="187"/>
        <v>5/2</v>
      </c>
      <c r="O304">
        <v>32288.92</v>
      </c>
      <c r="P304" t="str">
        <f t="shared" si="188"/>
        <v>e</v>
      </c>
      <c r="Q304" t="str">
        <f t="shared" si="189"/>
        <v>3/2</v>
      </c>
      <c r="R304">
        <v>5</v>
      </c>
      <c r="AA304" s="10">
        <f t="shared" si="151"/>
        <v>7549.201</v>
      </c>
      <c r="AB304" s="3">
        <f t="shared" si="152"/>
        <v>13242.79</v>
      </c>
      <c r="AC304" s="3" cm="1">
        <f t="array" ref="AC304">100000000/LvacE(AA304)</f>
        <v>13242.788712220272</v>
      </c>
      <c r="AD304" s="10">
        <f t="shared" si="153"/>
        <v>5.8770986964196787E-3</v>
      </c>
      <c r="AE304" s="10" t="b">
        <f t="shared" si="154"/>
        <v>1</v>
      </c>
      <c r="AJ304" t="s">
        <v>4983</v>
      </c>
      <c r="AK304" t="s">
        <v>4719</v>
      </c>
      <c r="AL304">
        <v>19046.09</v>
      </c>
      <c r="AM304">
        <v>32288.92</v>
      </c>
      <c r="AN304" s="10" cm="1">
        <f t="array" ref="AN304">Lair(100000000/($AM304-$AL304))</f>
        <v>7549.1774838625552</v>
      </c>
      <c r="AO304" s="10">
        <f t="shared" si="190"/>
        <v>7551.2560381731109</v>
      </c>
      <c r="AU304" s="3" cm="1">
        <f t="array" ref="AU304">$C304*EXP(poly_from_str($AO304,AU$4341))</f>
        <v>1.6544477375622275</v>
      </c>
    </row>
    <row r="305" spans="1:48" x14ac:dyDescent="0.25">
      <c r="A305" t="s">
        <v>509</v>
      </c>
      <c r="B305" s="2" t="str">
        <f t="shared" si="150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186"/>
        <v>o</v>
      </c>
      <c r="N305" t="str">
        <f t="shared" si="187"/>
        <v>7/2</v>
      </c>
      <c r="O305">
        <v>27138.55</v>
      </c>
      <c r="P305" t="str">
        <f t="shared" si="188"/>
        <v>e</v>
      </c>
      <c r="Q305" t="str">
        <f t="shared" si="189"/>
        <v>7/2</v>
      </c>
      <c r="R305">
        <v>5</v>
      </c>
      <c r="AA305" s="10">
        <f t="shared" si="151"/>
        <v>7544.53</v>
      </c>
      <c r="AB305" s="3">
        <f t="shared" si="152"/>
        <v>13250.99</v>
      </c>
      <c r="AC305" s="3" cm="1">
        <f t="array" ref="AC305">100000000/LvacE(AA305)</f>
        <v>13250.987595822809</v>
      </c>
      <c r="AD305" s="10">
        <f t="shared" si="153"/>
        <v>5.8781850954150103E-3</v>
      </c>
      <c r="AE305" s="10" t="b">
        <f t="shared" si="154"/>
        <v>1</v>
      </c>
      <c r="AJ305" t="s">
        <v>4818</v>
      </c>
      <c r="AK305" t="s">
        <v>4723</v>
      </c>
      <c r="AL305">
        <v>13887.6</v>
      </c>
      <c r="AM305">
        <v>27138.55</v>
      </c>
      <c r="AN305" s="10" cm="1">
        <f t="array" ref="AN305">Lair(100000000/($AM305-$AL305))</f>
        <v>7544.5514260409664</v>
      </c>
      <c r="AO305" s="10">
        <f t="shared" si="190"/>
        <v>7546.6287322795733</v>
      </c>
      <c r="AP305" s="12">
        <v>14300</v>
      </c>
      <c r="AQ305" s="3">
        <v>1E-3</v>
      </c>
      <c r="AR305" s="3"/>
      <c r="AS305" s="13">
        <f t="shared" ref="AS305:AS307" si="191">EXP(AR$4341*$AM305+AR$4342)*$AP305/(100000000/($AM305-$AL305))</f>
        <v>2.1855860594150487E-2</v>
      </c>
      <c r="AT305" s="3"/>
      <c r="AU305" s="3" cm="1">
        <f t="array" ref="AU305">$C305*EXP(poly_from_str($AO305,AU$4341))</f>
        <v>0.247980717460202</v>
      </c>
    </row>
    <row r="306" spans="1:48" x14ac:dyDescent="0.25">
      <c r="A306" t="s">
        <v>511</v>
      </c>
      <c r="B306" s="2" t="str">
        <f t="shared" si="150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186"/>
        <v>o</v>
      </c>
      <c r="N306" t="str">
        <f t="shared" si="187"/>
        <v>9/2</v>
      </c>
      <c r="O306">
        <v>25033.91</v>
      </c>
      <c r="P306" t="str">
        <f t="shared" si="188"/>
        <v>e</v>
      </c>
      <c r="Q306" t="str">
        <f t="shared" si="189"/>
        <v>9/2</v>
      </c>
      <c r="R306">
        <v>5</v>
      </c>
      <c r="AA306" s="10">
        <f t="shared" si="151"/>
        <v>7532.4549999999999</v>
      </c>
      <c r="AB306" s="3">
        <f t="shared" si="152"/>
        <v>13272.23</v>
      </c>
      <c r="AC306" s="3" cm="1">
        <f t="array" ref="AC306">100000000/LvacE(AA306)</f>
        <v>13272.229645872516</v>
      </c>
      <c r="AD306" s="10">
        <f t="shared" si="153"/>
        <v>5.8810029164377692E-3</v>
      </c>
      <c r="AE306" s="10" t="b">
        <f t="shared" si="154"/>
        <v>1</v>
      </c>
      <c r="AJ306" t="s">
        <v>4695</v>
      </c>
      <c r="AK306" t="s">
        <v>4746</v>
      </c>
      <c r="AL306">
        <v>11761.69</v>
      </c>
      <c r="AM306">
        <v>25033.91</v>
      </c>
      <c r="AN306" s="10" cm="1">
        <f t="array" ref="AN306">Lair(100000000/($AM306-$AL306))</f>
        <v>7532.4604947747493</v>
      </c>
      <c r="AO306" s="10">
        <f t="shared" si="190"/>
        <v>7534.5345390597813</v>
      </c>
      <c r="AP306" s="12">
        <v>101000</v>
      </c>
      <c r="AQ306" s="3">
        <v>6.0000000000000001E-3</v>
      </c>
      <c r="AR306" s="3"/>
      <c r="AS306" s="13">
        <f t="shared" si="191"/>
        <v>0.18106939911658901</v>
      </c>
      <c r="AT306" s="3"/>
      <c r="AU306" s="3" cm="1">
        <f t="array" ref="AU306">$C306*EXP(poly_from_str($AO306,AU$4341))</f>
        <v>0.74249389191034021</v>
      </c>
    </row>
    <row r="307" spans="1:48" x14ac:dyDescent="0.25">
      <c r="A307" t="s">
        <v>513</v>
      </c>
      <c r="B307" s="2" t="str">
        <f t="shared" si="150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186"/>
        <v>o</v>
      </c>
      <c r="N307" t="str">
        <f t="shared" si="187"/>
        <v>7/2</v>
      </c>
      <c r="O307">
        <v>28720.71</v>
      </c>
      <c r="P307" t="str">
        <f t="shared" si="188"/>
        <v>e</v>
      </c>
      <c r="Q307" t="str">
        <f t="shared" si="189"/>
        <v>9/2</v>
      </c>
      <c r="R307">
        <v>5</v>
      </c>
      <c r="AA307" s="10">
        <f t="shared" si="151"/>
        <v>7529.6170000000002</v>
      </c>
      <c r="AB307" s="3">
        <f t="shared" si="152"/>
        <v>13277.23</v>
      </c>
      <c r="AC307" s="3" cm="1">
        <f t="array" ref="AC307">100000000/LvacE(AA307)</f>
        <v>13277.232075362817</v>
      </c>
      <c r="AD307" s="10">
        <f t="shared" si="153"/>
        <v>5.8816671601864224E-3</v>
      </c>
      <c r="AE307" s="10" t="b">
        <f t="shared" si="154"/>
        <v>1</v>
      </c>
      <c r="AJ307" t="s">
        <v>4982</v>
      </c>
      <c r="AK307" t="s">
        <v>4708</v>
      </c>
      <c r="AL307">
        <v>15443.48</v>
      </c>
      <c r="AM307">
        <v>28720.71</v>
      </c>
      <c r="AN307" s="10" cm="1">
        <f t="array" ref="AN307">Lair(100000000/($AM307-$AL307))</f>
        <v>7529.6181973110142</v>
      </c>
      <c r="AO307" s="10">
        <f t="shared" si="190"/>
        <v>7531.6914748031031</v>
      </c>
      <c r="AP307" s="12">
        <v>17900</v>
      </c>
      <c r="AQ307" s="3">
        <v>0.01</v>
      </c>
      <c r="AR307" s="3"/>
      <c r="AS307" s="13">
        <f t="shared" si="191"/>
        <v>2.4343273983562487E-2</v>
      </c>
      <c r="AT307" s="3"/>
      <c r="AU307" s="3" cm="1">
        <f t="array" ref="AU307">$C307*EXP(poly_from_str($AO307,AU$4341))</f>
        <v>8.2461823380187843E-2</v>
      </c>
    </row>
    <row r="308" spans="1:48" x14ac:dyDescent="0.25">
      <c r="A308" t="s">
        <v>515</v>
      </c>
      <c r="B308" s="2" t="str">
        <f t="shared" si="150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186"/>
        <v>o</v>
      </c>
      <c r="N308" t="str">
        <f t="shared" si="187"/>
        <v>17/2</v>
      </c>
      <c r="O308">
        <v>39725.99</v>
      </c>
      <c r="P308" t="str">
        <f t="shared" si="188"/>
        <v>e</v>
      </c>
      <c r="Q308" t="str">
        <f t="shared" si="189"/>
        <v>15/2</v>
      </c>
      <c r="R308">
        <v>5</v>
      </c>
      <c r="AA308" s="10">
        <f t="shared" si="151"/>
        <v>7529.1130000000003</v>
      </c>
      <c r="AB308" s="3">
        <f t="shared" si="152"/>
        <v>13278.12</v>
      </c>
      <c r="AC308" s="3" cm="1">
        <f t="array" ref="AC308">100000000/LvacE(AA308)</f>
        <v>13278.120850404073</v>
      </c>
      <c r="AD308" s="10">
        <f t="shared" si="153"/>
        <v>5.881785201683391E-3</v>
      </c>
      <c r="AE308" s="10" t="b">
        <f t="shared" si="154"/>
        <v>1</v>
      </c>
      <c r="AJ308" t="s">
        <v>4993</v>
      </c>
      <c r="AK308" t="s">
        <v>4745</v>
      </c>
      <c r="AL308">
        <v>26447.88</v>
      </c>
      <c r="AM308">
        <v>39725.99</v>
      </c>
      <c r="AN308" s="10" cm="1">
        <f t="array" ref="AN308">Lair(100000000/($AM308-$AL308))</f>
        <v>7529.1191729075535</v>
      </c>
      <c r="AO308" s="10">
        <f t="shared" si="190"/>
        <v>7531.1923157738584</v>
      </c>
      <c r="AU308" s="3" cm="1">
        <f t="array" ref="AU308">$C308*EXP(poly_from_str($AO308,AU$4341))</f>
        <v>8.2455253176068499</v>
      </c>
    </row>
    <row r="309" spans="1:48" x14ac:dyDescent="0.25">
      <c r="A309" t="s">
        <v>517</v>
      </c>
      <c r="B309" s="2" t="str">
        <f t="shared" si="150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186"/>
        <v>o</v>
      </c>
      <c r="N309" t="str">
        <f t="shared" si="187"/>
        <v>3/2</v>
      </c>
      <c r="O309">
        <v>40205.74</v>
      </c>
      <c r="P309" t="str">
        <f t="shared" si="188"/>
        <v>e</v>
      </c>
      <c r="Q309" t="str">
        <f t="shared" si="189"/>
        <v>3/2</v>
      </c>
      <c r="R309">
        <v>5</v>
      </c>
      <c r="AA309" s="10">
        <f t="shared" si="151"/>
        <v>7525.6170000000002</v>
      </c>
      <c r="AB309" s="3">
        <f t="shared" si="152"/>
        <v>13284.29</v>
      </c>
      <c r="AC309" s="3" cm="1">
        <f t="array" ref="AC309">100000000/LvacE(AA309)</f>
        <v>13284.289122308701</v>
      </c>
      <c r="AD309" s="10">
        <f t="shared" si="153"/>
        <v>5.8826046503767529E-3</v>
      </c>
      <c r="AE309" s="10" t="b">
        <f t="shared" si="154"/>
        <v>1</v>
      </c>
      <c r="AJ309" t="s">
        <v>4981</v>
      </c>
      <c r="AK309" t="s">
        <v>4779</v>
      </c>
      <c r="AL309">
        <v>26921.49</v>
      </c>
      <c r="AM309">
        <v>40205.74</v>
      </c>
      <c r="AN309" s="10" cm="1">
        <f t="array" ref="AN309">Lair(100000000/($AM309-$AL309))</f>
        <v>7525.6391834980768</v>
      </c>
      <c r="AO309" s="10">
        <f t="shared" si="190"/>
        <v>7527.7113875454033</v>
      </c>
      <c r="AU309" s="3" cm="1">
        <f t="array" ref="AU309">$C309*EXP(poly_from_str($AO309,AU$4341))</f>
        <v>0.24722864231839098</v>
      </c>
    </row>
    <row r="310" spans="1:48" x14ac:dyDescent="0.25">
      <c r="A310" t="s">
        <v>519</v>
      </c>
      <c r="B310" s="2" t="str">
        <f t="shared" si="150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151"/>
        <v>7523.7650000000003</v>
      </c>
      <c r="AB310" s="3">
        <f t="shared" si="152"/>
        <v>13287.56</v>
      </c>
      <c r="AC310" s="3" cm="1">
        <f t="array" ref="AC310">100000000/LvacE(AA310)</f>
        <v>13287.559076423333</v>
      </c>
      <c r="AD310" s="10">
        <f t="shared" si="153"/>
        <v>5.883039214836145E-3</v>
      </c>
      <c r="AE310" s="10" t="b">
        <f t="shared" si="154"/>
        <v>1</v>
      </c>
      <c r="AP310"/>
      <c r="AQ310"/>
      <c r="AU310" s="3" cm="1">
        <f t="array" ref="AU310">$C310*EXP(poly_from_str(100000000/$E310,AU$4341))</f>
        <v>0.16477001540119263</v>
      </c>
    </row>
    <row r="311" spans="1:48" x14ac:dyDescent="0.25">
      <c r="A311" t="s">
        <v>521</v>
      </c>
      <c r="B311" s="2" t="str">
        <f t="shared" si="150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151"/>
        <v>7516.4539999999997</v>
      </c>
      <c r="AB311" s="3">
        <f t="shared" si="152"/>
        <v>13300.48</v>
      </c>
      <c r="AC311" s="3" cm="1">
        <f t="array" ref="AC311">100000000/LvacE(AA311)</f>
        <v>13300.483362534527</v>
      </c>
      <c r="AD311" s="10">
        <f t="shared" si="153"/>
        <v>5.8847578500802727E-3</v>
      </c>
      <c r="AE311" s="10" t="b">
        <f t="shared" si="154"/>
        <v>1</v>
      </c>
      <c r="AP311"/>
      <c r="AQ311"/>
      <c r="AU311" s="3" cm="1">
        <f t="array" ref="AU311">$C311*EXP(poly_from_str(100000000/$E311,AU$4341))</f>
        <v>0.49373939781335563</v>
      </c>
    </row>
    <row r="312" spans="1:48" x14ac:dyDescent="0.25">
      <c r="A312" t="s">
        <v>523</v>
      </c>
      <c r="B312" s="2" t="str">
        <f t="shared" si="150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151"/>
        <v>7514.6440000000002</v>
      </c>
      <c r="AB312" s="3">
        <f t="shared" si="152"/>
        <v>13303.69</v>
      </c>
      <c r="AC312" s="3" cm="1">
        <f t="array" ref="AC312">100000000/LvacE(AA312)</f>
        <v>13303.686939491814</v>
      </c>
      <c r="AD312" s="10">
        <f t="shared" si="153"/>
        <v>5.8851841111496311E-3</v>
      </c>
      <c r="AE312" s="10" t="b">
        <f t="shared" si="154"/>
        <v>1</v>
      </c>
      <c r="AP312"/>
      <c r="AQ312"/>
      <c r="AU312" s="3" cm="1">
        <f t="array" ref="AU312">$C312*EXP(poly_from_str(100000000/$E312,AU$4341))</f>
        <v>0.65813151656294711</v>
      </c>
    </row>
    <row r="313" spans="1:48" x14ac:dyDescent="0.25">
      <c r="A313" t="s">
        <v>525</v>
      </c>
      <c r="B313" s="2" t="str">
        <f t="shared" si="150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151"/>
        <v>7513.3810000000003</v>
      </c>
      <c r="AB313" s="3">
        <f t="shared" si="152"/>
        <v>13305.92</v>
      </c>
      <c r="AC313" s="3" cm="1">
        <f t="array" ref="AC313">100000000/LvacE(AA313)</f>
        <v>13305.923277922559</v>
      </c>
      <c r="AD313" s="10">
        <f t="shared" si="153"/>
        <v>5.885481734383133E-3</v>
      </c>
      <c r="AE313" s="10" t="b">
        <f t="shared" si="154"/>
        <v>1</v>
      </c>
      <c r="AP313"/>
      <c r="AQ313"/>
      <c r="AU313" s="3" cm="1">
        <f t="array" ref="AU313">$C313*EXP(poly_from_str(100000000/$E313,AU$4341))</f>
        <v>0.49350109210296722</v>
      </c>
    </row>
    <row r="314" spans="1:48" x14ac:dyDescent="0.25">
      <c r="A314" t="s">
        <v>527</v>
      </c>
      <c r="B314" s="2" t="str">
        <f t="shared" si="150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151"/>
        <v>7511.1710000000003</v>
      </c>
      <c r="AB314" s="3">
        <f t="shared" si="152"/>
        <v>13309.84</v>
      </c>
      <c r="AC314" s="3" cm="1">
        <f t="array" ref="AC314">100000000/LvacE(AA314)</f>
        <v>13309.838236851036</v>
      </c>
      <c r="AD314" s="10">
        <f t="shared" si="153"/>
        <v>5.8860028773709879E-3</v>
      </c>
      <c r="AE314" s="10" t="b">
        <f t="shared" si="154"/>
        <v>1</v>
      </c>
      <c r="AJ314" t="s">
        <v>4984</v>
      </c>
      <c r="AK314" t="s">
        <v>4751</v>
      </c>
      <c r="AL314">
        <v>25391.75</v>
      </c>
      <c r="AM314">
        <v>38701.589999999997</v>
      </c>
      <c r="AN314" s="10" cm="1">
        <f t="array" ref="AN314">Lair(100000000/($AM314-$AL314))</f>
        <v>7511.1700252176324</v>
      </c>
      <c r="AO314" s="10">
        <f>100000000/($AM314-$AL314)</f>
        <v>7513.2383259302915</v>
      </c>
      <c r="AP314" s="12">
        <v>3340000</v>
      </c>
      <c r="AQ314" s="3">
        <v>0.312</v>
      </c>
      <c r="AR314" s="3">
        <f>LN(AU314*100000000/($AM314-$AL314)/AP314)</f>
        <v>-5.5996634514481336</v>
      </c>
      <c r="AS314" s="13">
        <f>EXP(AR$4341*$AM314+AR$4342)*$AP314/(100000000/($AM314-$AL314))</f>
        <v>2.1529651932593912</v>
      </c>
      <c r="AT314" s="3">
        <f>LN(AS314/$C314)</f>
        <v>-3.8383241343601457</v>
      </c>
      <c r="AU314" s="3" cm="1">
        <f t="array" ref="AU314">$C314*EXP(poly_from_str($AO314,AU$4341))</f>
        <v>1.6444336838907199</v>
      </c>
      <c r="AV314" s="13">
        <f>LN(AS314/AU314)</f>
        <v>0.26944999179547263</v>
      </c>
    </row>
    <row r="315" spans="1:48" x14ac:dyDescent="0.25">
      <c r="A315" t="s">
        <v>529</v>
      </c>
      <c r="B315" s="2" t="str">
        <f t="shared" si="150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151"/>
        <v>7506.3779999999997</v>
      </c>
      <c r="AB315" s="3">
        <f t="shared" si="152"/>
        <v>13318.34</v>
      </c>
      <c r="AC315" s="3" cm="1">
        <f t="array" ref="AC315">100000000/LvacE(AA315)</f>
        <v>13318.336835969078</v>
      </c>
      <c r="AD315" s="10">
        <f t="shared" si="153"/>
        <v>5.8871347030464679E-3</v>
      </c>
      <c r="AE315" s="10" t="b">
        <f t="shared" si="154"/>
        <v>1</v>
      </c>
      <c r="AP315"/>
      <c r="AQ315"/>
      <c r="AU315" s="3" cm="1">
        <f t="array" ref="AU315">$C315*EXP(poly_from_str(100000000/$E315,AU$4341))</f>
        <v>8.2160246194776104E-2</v>
      </c>
    </row>
    <row r="316" spans="1:48" x14ac:dyDescent="0.25">
      <c r="A316" t="s">
        <v>532</v>
      </c>
      <c r="B316" s="2" t="str">
        <f t="shared" si="150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151"/>
        <v>7503.86</v>
      </c>
      <c r="AB316" s="3">
        <f t="shared" si="152"/>
        <v>13322.81</v>
      </c>
      <c r="AC316" s="3" cm="1">
        <f t="array" ref="AC316">100000000/LvacE(AA316)</f>
        <v>13322.805920441335</v>
      </c>
      <c r="AD316" s="10">
        <f t="shared" si="153"/>
        <v>5.8877301762320549E-3</v>
      </c>
      <c r="AE316" s="10" t="b">
        <f t="shared" si="154"/>
        <v>1</v>
      </c>
      <c r="AP316"/>
      <c r="AQ316"/>
      <c r="AU316" s="3" cm="1">
        <f t="array" ref="AU316">$C316*EXP(poly_from_str(100000000/$E316,AU$4341))</f>
        <v>0.73915321057971983</v>
      </c>
    </row>
    <row r="317" spans="1:48" x14ac:dyDescent="0.25">
      <c r="A317" t="s">
        <v>534</v>
      </c>
      <c r="B317" s="2" t="str">
        <f t="shared" si="150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151"/>
        <v>7498.2889999999998</v>
      </c>
      <c r="AB317" s="3">
        <f t="shared" si="152"/>
        <v>13332.7</v>
      </c>
      <c r="AC317" s="3" cm="1">
        <f t="array" ref="AC317">100000000/LvacE(AA317)</f>
        <v>13332.704303295393</v>
      </c>
      <c r="AD317" s="10">
        <f t="shared" si="153"/>
        <v>5.8890497754417971E-3</v>
      </c>
      <c r="AE317" s="10" t="b">
        <f t="shared" si="154"/>
        <v>1</v>
      </c>
      <c r="AP317"/>
      <c r="AQ317"/>
      <c r="AU317" s="3" cm="1">
        <f t="array" ref="AU317">$C317*EXP(poly_from_str(100000000/$E317,AU$4341))</f>
        <v>8.2057577202514789E-2</v>
      </c>
    </row>
    <row r="318" spans="1:48" x14ac:dyDescent="0.25">
      <c r="A318" t="s">
        <v>536</v>
      </c>
      <c r="B318" s="2" t="str">
        <f t="shared" si="150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192">$G318&amp;""</f>
        <v>o</v>
      </c>
      <c r="N318" t="str">
        <f t="shared" ref="N318:N319" si="193">$H318&amp;""</f>
        <v>3/2</v>
      </c>
      <c r="O318">
        <v>34198.61</v>
      </c>
      <c r="P318" t="str">
        <f t="shared" ref="P318:P319" si="194">$J318&amp;""</f>
        <v>e</v>
      </c>
      <c r="Q318" t="str">
        <f t="shared" ref="Q318:Q319" si="195">$K318&amp;""</f>
        <v>1/2</v>
      </c>
      <c r="R318">
        <v>5</v>
      </c>
      <c r="AA318" s="10">
        <f t="shared" si="151"/>
        <v>7493.2</v>
      </c>
      <c r="AB318" s="3">
        <f t="shared" si="152"/>
        <v>13341.76</v>
      </c>
      <c r="AC318" s="3" cm="1">
        <f t="array" ref="AC318">100000000/LvacE(AA318)</f>
        <v>13341.759146472594</v>
      </c>
      <c r="AD318" s="10">
        <f t="shared" si="153"/>
        <v>5.8902577768158194E-3</v>
      </c>
      <c r="AE318" s="10" t="b">
        <f t="shared" si="154"/>
        <v>1</v>
      </c>
      <c r="AJ318" t="s">
        <v>4827</v>
      </c>
      <c r="AK318" t="s">
        <v>4727</v>
      </c>
      <c r="AL318">
        <v>20856.86</v>
      </c>
      <c r="AM318">
        <v>34198.61</v>
      </c>
      <c r="AN318" s="10" cm="1">
        <f t="array" ref="AN318">Lair(100000000/($AM318-$AL318))</f>
        <v>7493.2051571146767</v>
      </c>
      <c r="AO318" s="10">
        <f t="shared" ref="AO318:AO319" si="196">100000000/($AM318-$AL318)</f>
        <v>7495.2686116888717</v>
      </c>
      <c r="AP318" s="12">
        <v>3020000</v>
      </c>
      <c r="AQ318" s="3">
        <v>0.51900000000000002</v>
      </c>
      <c r="AR318" s="3">
        <f t="shared" ref="AR318:AR319" si="197">LN(AU318*100000000/($AM318-$AL318)/AP318)</f>
        <v>-4.8109746065514294</v>
      </c>
      <c r="AS318" s="13">
        <f t="shared" ref="AS318:AS319" si="198">EXP(AR$4341*$AM318+AR$4342)*$AP318/(100000000/($AM318-$AL318))</f>
        <v>2.7359007946594116</v>
      </c>
      <c r="AT318" s="3">
        <f t="shared" ref="AT318:AT319" si="199">LN(AS318/$C318)</f>
        <v>-4.2918566267070268</v>
      </c>
      <c r="AU318" s="3" cm="1">
        <f t="array" ref="AU318">$C318*EXP(poly_from_str($AO318,AU$4341))</f>
        <v>3.2797445364059334</v>
      </c>
      <c r="AV318" s="13">
        <f t="shared" ref="AV318:AV319" si="200">LN(AS318/AU318)</f>
        <v>-0.18130479427973575</v>
      </c>
    </row>
    <row r="319" spans="1:48" x14ac:dyDescent="0.25">
      <c r="A319" t="s">
        <v>538</v>
      </c>
      <c r="B319" s="2" t="str">
        <f t="shared" si="150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192"/>
        <v>o</v>
      </c>
      <c r="N319" t="str">
        <f t="shared" si="193"/>
        <v>9/2</v>
      </c>
      <c r="O319">
        <v>13352.1</v>
      </c>
      <c r="P319" t="str">
        <f t="shared" si="194"/>
        <v>e</v>
      </c>
      <c r="Q319" t="str">
        <f t="shared" si="195"/>
        <v>11/2</v>
      </c>
      <c r="R319">
        <v>5</v>
      </c>
      <c r="S319" t="s">
        <v>6</v>
      </c>
      <c r="AA319" s="10">
        <f t="shared" si="151"/>
        <v>7487.3969999999999</v>
      </c>
      <c r="AB319" s="3">
        <f t="shared" si="152"/>
        <v>13352.1</v>
      </c>
      <c r="AC319" s="3" cm="1">
        <f t="array" ref="AC319">100000000/LvacE(AA319)</f>
        <v>13352.099427955607</v>
      </c>
      <c r="AD319" s="10">
        <f t="shared" si="153"/>
        <v>5.8916382708139835E-3</v>
      </c>
      <c r="AE319" s="10" t="b">
        <f t="shared" si="154"/>
        <v>1</v>
      </c>
      <c r="AJ319" t="s">
        <v>4757</v>
      </c>
      <c r="AK319" t="s">
        <v>4780</v>
      </c>
      <c r="AL319">
        <v>0</v>
      </c>
      <c r="AM319">
        <v>13352.1</v>
      </c>
      <c r="AN319" s="10" cm="1">
        <f t="array" ref="AN319">Lair(100000000/($AM319-$AL319))</f>
        <v>7487.3966992781925</v>
      </c>
      <c r="AO319" s="10">
        <f t="shared" si="196"/>
        <v>7489.4585870387427</v>
      </c>
      <c r="AP319" s="12">
        <v>943000</v>
      </c>
      <c r="AQ319" s="3">
        <v>0.51200000000000001</v>
      </c>
      <c r="AR319" s="3">
        <f t="shared" si="197"/>
        <v>-3.4255445089518637</v>
      </c>
      <c r="AS319" s="13">
        <f t="shared" si="198"/>
        <v>4.0867637678595701</v>
      </c>
      <c r="AT319" s="3">
        <f t="shared" si="199"/>
        <v>-4.1137075158169063</v>
      </c>
      <c r="AU319" s="3" cm="1">
        <f t="array" ref="AU319">$C319*EXP(poly_from_str($AO319,AU$4341))</f>
        <v>4.0960588837101373</v>
      </c>
      <c r="AV319" s="13">
        <f t="shared" si="200"/>
        <v>-2.2718614943299199E-3</v>
      </c>
    </row>
    <row r="320" spans="1:48" x14ac:dyDescent="0.25">
      <c r="A320" t="s">
        <v>540</v>
      </c>
      <c r="B320" s="2" t="str">
        <f t="shared" si="150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151"/>
        <v>7479</v>
      </c>
      <c r="AB320" s="3">
        <f t="shared" si="152"/>
        <v>13367.09</v>
      </c>
      <c r="AC320" s="3" cm="1">
        <f t="array" ref="AC320">100000000/LvacE(AA320)</f>
        <v>13367.090328676837</v>
      </c>
      <c r="AD320" s="10">
        <f t="shared" si="153"/>
        <v>5.8936415515895733E-3</v>
      </c>
      <c r="AE320" s="10" t="b">
        <f t="shared" si="154"/>
        <v>1</v>
      </c>
      <c r="AP320"/>
      <c r="AQ320"/>
      <c r="AU320" s="3" cm="1">
        <f t="array" ref="AU320">$C320*EXP(poly_from_str(100000000/$E320,AU$4341))</f>
        <v>8.1817650722383811E-2</v>
      </c>
    </row>
    <row r="321" spans="1:48" x14ac:dyDescent="0.25">
      <c r="A321" t="s">
        <v>542</v>
      </c>
      <c r="B321" s="2" t="str">
        <f t="shared" si="150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201">$G321&amp;""</f>
        <v>o</v>
      </c>
      <c r="N321" t="str">
        <f t="shared" ref="N321:N324" si="202">$H321&amp;""</f>
        <v>13/2</v>
      </c>
      <c r="O321">
        <v>38785.760000000002</v>
      </c>
      <c r="P321" t="str">
        <f t="shared" ref="P321:P324" si="203">$J321&amp;""</f>
        <v>e</v>
      </c>
      <c r="Q321" t="str">
        <f t="shared" ref="Q321:Q324" si="204">$K321&amp;""</f>
        <v>15/2</v>
      </c>
      <c r="R321">
        <v>5</v>
      </c>
      <c r="AA321" s="10">
        <f t="shared" si="151"/>
        <v>7463.9620000000004</v>
      </c>
      <c r="AB321" s="3">
        <f t="shared" si="152"/>
        <v>13394.02</v>
      </c>
      <c r="AC321" s="3" cm="1">
        <f t="array" ref="AC321">100000000/LvacE(AA321)</f>
        <v>13394.021490216946</v>
      </c>
      <c r="AD321" s="10">
        <f t="shared" si="153"/>
        <v>5.8972460933092198E-3</v>
      </c>
      <c r="AE321" s="10" t="b">
        <f t="shared" si="154"/>
        <v>1</v>
      </c>
      <c r="AJ321" t="s">
        <v>4984</v>
      </c>
      <c r="AK321" t="s">
        <v>4781</v>
      </c>
      <c r="AL321">
        <v>25391.75</v>
      </c>
      <c r="AM321">
        <v>38785.760000000002</v>
      </c>
      <c r="AN321" s="10" cm="1">
        <f t="array" ref="AN321">Lair(100000000/($AM321-$AL321))</f>
        <v>7463.9684229911172</v>
      </c>
      <c r="AO321" s="10">
        <f t="shared" ref="AO321:AO324" si="205">100000000/($AM321-$AL321)</f>
        <v>7466.0239913214928</v>
      </c>
      <c r="AP321" s="12">
        <v>1630000</v>
      </c>
      <c r="AQ321" s="3">
        <v>0.22</v>
      </c>
      <c r="AR321" s="3">
        <f>LN(AU321*100000000/($AM321-$AL321)/AP321)</f>
        <v>-4.8957258661925627</v>
      </c>
      <c r="AS321" s="13">
        <f>EXP(AR$4341*$AM321+AR$4342)*$AP321/(100000000/($AM321-$AL321))</f>
        <v>1.0506852333123078</v>
      </c>
      <c r="AT321" s="3">
        <f>LN(AS321/$C321)</f>
        <v>-4.5557276315169188</v>
      </c>
      <c r="AU321" s="3" cm="1">
        <f t="array" ref="AU321">$C321*EXP(poly_from_str($AO321,AU$4341))</f>
        <v>1.6327191803550296</v>
      </c>
      <c r="AV321" s="13">
        <f>LN(AS321/AU321)</f>
        <v>-0.44080427923951732</v>
      </c>
    </row>
    <row r="322" spans="1:48" x14ac:dyDescent="0.25">
      <c r="A322" t="s">
        <v>544</v>
      </c>
      <c r="B322" s="2" t="str">
        <f t="shared" si="150"/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201"/>
        <v>o</v>
      </c>
      <c r="N322" t="str">
        <f t="shared" si="202"/>
        <v>5/2</v>
      </c>
      <c r="O322">
        <v>23532.86</v>
      </c>
      <c r="P322" t="str">
        <f t="shared" si="203"/>
        <v>e</v>
      </c>
      <c r="Q322" t="str">
        <f t="shared" si="204"/>
        <v>5/2</v>
      </c>
      <c r="R322">
        <v>5</v>
      </c>
      <c r="S322" t="s">
        <v>6</v>
      </c>
      <c r="AA322" s="10">
        <f t="shared" si="151"/>
        <v>7463.6120000000001</v>
      </c>
      <c r="AB322" s="3">
        <f t="shared" si="152"/>
        <v>13394.65</v>
      </c>
      <c r="AC322" s="3" cm="1">
        <f t="array" ref="AC322">100000000/LvacE(AA322)</f>
        <v>13394.649588375229</v>
      </c>
      <c r="AD322" s="10">
        <f t="shared" si="153"/>
        <v>5.8973302462919583E-3</v>
      </c>
      <c r="AE322" s="10" t="b">
        <f t="shared" si="154"/>
        <v>1</v>
      </c>
      <c r="AJ322" t="s">
        <v>4715</v>
      </c>
      <c r="AK322" t="s">
        <v>4756</v>
      </c>
      <c r="AL322">
        <v>10138.18</v>
      </c>
      <c r="AM322">
        <v>23532.86</v>
      </c>
      <c r="AN322" s="10" cm="1">
        <f t="array" ref="AN322">Lair(100000000/($AM322-$AL322))</f>
        <v>7463.5950742282466</v>
      </c>
      <c r="AO322" s="10">
        <f t="shared" si="205"/>
        <v>7465.6505418569159</v>
      </c>
      <c r="AU322" s="3" cm="1">
        <f t="array" ref="AU322">$C322*EXP(poly_from_str($AO322,AU$4341))</f>
        <v>0.81631507879337262</v>
      </c>
    </row>
    <row r="323" spans="1:48" x14ac:dyDescent="0.25">
      <c r="A323" t="s">
        <v>546</v>
      </c>
      <c r="B323" s="2" t="str">
        <f t="shared" ref="B323:B386" si="206">IF(OR(A323=A322,A323=A324),IF(B322="",1,B322+1),"")</f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201"/>
        <v>o</v>
      </c>
      <c r="N323" t="str">
        <f t="shared" si="202"/>
        <v>5/2</v>
      </c>
      <c r="O323">
        <v>36652.29</v>
      </c>
      <c r="P323" t="str">
        <f t="shared" si="203"/>
        <v>e</v>
      </c>
      <c r="Q323" t="str">
        <f t="shared" si="204"/>
        <v>5/2</v>
      </c>
      <c r="R323">
        <v>5</v>
      </c>
      <c r="AA323" s="10">
        <f t="shared" ref="AA323:AA386" si="207">ROUND($A323,3)+0</f>
        <v>7457.107</v>
      </c>
      <c r="AB323" s="3">
        <f t="shared" ref="AB323:AB386" si="208">ROUND($E323,2)+0</f>
        <v>13406.33</v>
      </c>
      <c r="AC323" s="3" cm="1">
        <f t="array" ref="AC323">100000000/LvacE(AA323)</f>
        <v>13406.333972285673</v>
      </c>
      <c r="AD323" s="10">
        <f t="shared" ref="AD323:AD386" si="209">0.0005/$AA323*AC323+0.005</f>
        <v>5.8988964468583913E-3</v>
      </c>
      <c r="AE323" s="10" t="b">
        <f t="shared" ref="AE323:AE386" si="210">ABS(AB323-AC323)&lt;AD323</f>
        <v>1</v>
      </c>
      <c r="AJ323" t="s">
        <v>4990</v>
      </c>
      <c r="AK323" t="s">
        <v>4771</v>
      </c>
      <c r="AL323">
        <v>23245.99</v>
      </c>
      <c r="AM323">
        <v>36652.29</v>
      </c>
      <c r="AN323" s="10" cm="1">
        <f t="array" ref="AN323">Lair(100000000/($AM323-$AL323))</f>
        <v>7457.1259166738264</v>
      </c>
      <c r="AO323" s="10">
        <f t="shared" si="205"/>
        <v>7459.179639423257</v>
      </c>
      <c r="AU323" s="3" cm="1">
        <f t="array" ref="AU323">$C323*EXP(poly_from_str($AO323,AU$4341))</f>
        <v>0.40777434875411539</v>
      </c>
    </row>
    <row r="324" spans="1:48" x14ac:dyDescent="0.25">
      <c r="A324" t="s">
        <v>548</v>
      </c>
      <c r="B324" s="2" t="str">
        <f t="shared" si="206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201"/>
        <v>o</v>
      </c>
      <c r="N324" t="str">
        <f t="shared" si="202"/>
        <v>9/2</v>
      </c>
      <c r="O324">
        <v>23442.25</v>
      </c>
      <c r="P324" t="str">
        <f t="shared" si="203"/>
        <v>e</v>
      </c>
      <c r="Q324" t="str">
        <f t="shared" si="204"/>
        <v>11/2</v>
      </c>
      <c r="R324">
        <v>5</v>
      </c>
      <c r="AA324" s="10">
        <f t="shared" si="207"/>
        <v>7455.4359999999997</v>
      </c>
      <c r="AB324" s="3">
        <f t="shared" si="208"/>
        <v>13409.34</v>
      </c>
      <c r="AC324" s="3" cm="1">
        <f t="array" ref="AC324">100000000/LvacE(AA324)</f>
        <v>13409.338740460371</v>
      </c>
      <c r="AD324" s="10">
        <f t="shared" si="209"/>
        <v>5.8992994333571082E-3</v>
      </c>
      <c r="AE324" s="10" t="b">
        <f t="shared" si="210"/>
        <v>1</v>
      </c>
      <c r="AJ324" t="s">
        <v>4812</v>
      </c>
      <c r="AK324" t="s">
        <v>4782</v>
      </c>
      <c r="AL324">
        <v>10032.92</v>
      </c>
      <c r="AM324">
        <v>23442.25</v>
      </c>
      <c r="AN324" s="10" cm="1">
        <f t="array" ref="AN324">Lair(100000000/($AM324-$AL324))</f>
        <v>7455.4408794694</v>
      </c>
      <c r="AO324" s="10">
        <f t="shared" si="205"/>
        <v>7457.4941477314678</v>
      </c>
      <c r="AP324" s="12">
        <v>72500</v>
      </c>
      <c r="AQ324" s="3">
        <v>1.2999999999999999E-2</v>
      </c>
      <c r="AR324" s="3"/>
      <c r="AS324" s="13">
        <f>EXP(AR$4341*$AM324+AR$4342)*$AP324/(100000000/($AM324-$AL324))</f>
        <v>0.14797938203691341</v>
      </c>
      <c r="AT324" s="3"/>
      <c r="AU324" s="3" cm="1">
        <f t="array" ref="AU324">$C324*EXP(poly_from_str($AO324,AU$4341))</f>
        <v>0.16307012200314472</v>
      </c>
    </row>
    <row r="325" spans="1:48" x14ac:dyDescent="0.25">
      <c r="A325" t="s">
        <v>550</v>
      </c>
      <c r="B325" s="2" t="str">
        <f t="shared" si="206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207"/>
        <v>7453.0439999999999</v>
      </c>
      <c r="AB325" s="3">
        <f t="shared" si="208"/>
        <v>13413.64</v>
      </c>
      <c r="AC325" s="3" cm="1">
        <f t="array" ref="AC325">100000000/LvacE(AA325)</f>
        <v>13413.642345264596</v>
      </c>
      <c r="AD325" s="10">
        <f t="shared" si="209"/>
        <v>5.8998767715087016E-3</v>
      </c>
      <c r="AE325" s="10" t="b">
        <f t="shared" si="210"/>
        <v>1</v>
      </c>
      <c r="AP325"/>
      <c r="AQ325"/>
      <c r="AU325" s="3" cm="1">
        <f t="array" ref="AU325">$C325*EXP(poly_from_str(100000000/$E325,AU$4341))</f>
        <v>8.1507010274831315E-2</v>
      </c>
    </row>
    <row r="326" spans="1:48" x14ac:dyDescent="0.25">
      <c r="A326" t="s">
        <v>552</v>
      </c>
      <c r="B326" s="2" t="str">
        <f t="shared" si="206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207"/>
        <v>7445.7</v>
      </c>
      <c r="AB326" s="3">
        <f t="shared" si="208"/>
        <v>13426.87</v>
      </c>
      <c r="AC326" s="3" cm="1">
        <f t="array" ref="AC326">100000000/LvacE(AA326)</f>
        <v>13426.872696816386</v>
      </c>
      <c r="AD326" s="10">
        <f t="shared" si="209"/>
        <v>5.9016528128192376E-3</v>
      </c>
      <c r="AE326" s="10" t="b">
        <f t="shared" si="210"/>
        <v>1</v>
      </c>
      <c r="AJ326" t="s">
        <v>4991</v>
      </c>
      <c r="AK326" t="s">
        <v>4711</v>
      </c>
      <c r="AL326">
        <v>27597.13</v>
      </c>
      <c r="AM326">
        <v>41023.980000000003</v>
      </c>
      <c r="AN326" s="10" cm="1">
        <f t="array" ref="AN326">Lair(100000000/($AM326-$AL326))</f>
        <v>7445.7126060994005</v>
      </c>
      <c r="AO326" s="10">
        <f>100000000/($AM326-$AL326)</f>
        <v>7447.7632505017918</v>
      </c>
      <c r="AU326" s="3" cm="1">
        <f t="array" ref="AU326">$C326*EXP(poly_from_str($AO326,AU$4341))</f>
        <v>0.24426590301519352</v>
      </c>
    </row>
    <row r="327" spans="1:48" x14ac:dyDescent="0.25">
      <c r="A327" t="s">
        <v>554</v>
      </c>
      <c r="B327" s="2" t="str">
        <f t="shared" si="206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207"/>
        <v>7432.1369999999997</v>
      </c>
      <c r="AB327" s="3">
        <f t="shared" si="208"/>
        <v>13451.38</v>
      </c>
      <c r="AC327" s="3" cm="1">
        <f t="array" ref="AC327">100000000/LvacE(AA327)</f>
        <v>13451.37542519172</v>
      </c>
      <c r="AD327" s="10">
        <f t="shared" si="209"/>
        <v>5.9049466812298888E-3</v>
      </c>
      <c r="AE327" s="10" t="b">
        <f t="shared" si="210"/>
        <v>1</v>
      </c>
      <c r="AP327"/>
      <c r="AQ327"/>
      <c r="AU327" s="3" cm="1">
        <f t="array" ref="AU327">$C327*EXP(poly_from_str(100000000/$E327,AU$4341))</f>
        <v>8.1267855030884503E-2</v>
      </c>
    </row>
    <row r="328" spans="1:48" x14ac:dyDescent="0.25">
      <c r="A328" t="s">
        <v>556</v>
      </c>
      <c r="B328" s="2" t="str">
        <f t="shared" si="206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207"/>
        <v>7429.5479999999998</v>
      </c>
      <c r="AB328" s="3">
        <f t="shared" si="208"/>
        <v>13456.06</v>
      </c>
      <c r="AC328" s="3" cm="1">
        <f t="array" ref="AC328">100000000/LvacE(AA328)</f>
        <v>13456.062845173086</v>
      </c>
      <c r="AD328" s="10">
        <f t="shared" si="209"/>
        <v>5.9055774890459751E-3</v>
      </c>
      <c r="AE328" s="10" t="b">
        <f t="shared" si="210"/>
        <v>1</v>
      </c>
      <c r="AP328"/>
      <c r="AQ328"/>
      <c r="AU328" s="3" cm="1">
        <f t="array" ref="AU328">$C328*EXP(poly_from_str(100000000/$E328,AU$4341))</f>
        <v>8.1239025741513787E-2</v>
      </c>
    </row>
    <row r="329" spans="1:48" x14ac:dyDescent="0.25">
      <c r="A329" t="s">
        <v>558</v>
      </c>
      <c r="B329" s="2" t="str">
        <f t="shared" si="206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211">$G329&amp;""</f>
        <v>o</v>
      </c>
      <c r="N329" t="str">
        <f t="shared" ref="N329:N330" si="212">$H329&amp;""</f>
        <v>15/2</v>
      </c>
      <c r="O329">
        <v>38701.589999999997</v>
      </c>
      <c r="P329" t="str">
        <f t="shared" ref="P329:P330" si="213">$J329&amp;""</f>
        <v>e</v>
      </c>
      <c r="Q329" t="str">
        <f t="shared" ref="Q329:Q330" si="214">$K329&amp;""</f>
        <v>13/2</v>
      </c>
      <c r="R329">
        <v>5</v>
      </c>
      <c r="AA329" s="10">
        <f t="shared" si="207"/>
        <v>7429.0529999999999</v>
      </c>
      <c r="AB329" s="3">
        <f t="shared" si="208"/>
        <v>13456.96</v>
      </c>
      <c r="AC329" s="3" cm="1">
        <f t="array" ref="AC329">100000000/LvacE(AA329)</f>
        <v>13456.959421492167</v>
      </c>
      <c r="AD329" s="10">
        <f t="shared" si="209"/>
        <v>5.905698170513265E-3</v>
      </c>
      <c r="AE329" s="10" t="b">
        <f t="shared" si="210"/>
        <v>1</v>
      </c>
      <c r="AJ329" t="s">
        <v>4986</v>
      </c>
      <c r="AK329" t="s">
        <v>4751</v>
      </c>
      <c r="AL329">
        <v>25244.61</v>
      </c>
      <c r="AM329">
        <v>38701.589999999997</v>
      </c>
      <c r="AN329" s="10" cm="1">
        <f t="array" ref="AN329">Lair(100000000/($AM329-$AL329))</f>
        <v>7429.0416590393343</v>
      </c>
      <c r="AO329" s="10">
        <f t="shared" ref="AO329:AO330" si="215">100000000/($AM329-$AL329)</f>
        <v>7431.0878072197502</v>
      </c>
      <c r="AU329" s="3" cm="1">
        <f t="array" ref="AU329">$C329*EXP(poly_from_str($AO329,AU$4341))</f>
        <v>64.986704287438982</v>
      </c>
    </row>
    <row r="330" spans="1:48" x14ac:dyDescent="0.25">
      <c r="A330" t="s">
        <v>560</v>
      </c>
      <c r="B330" s="2" t="str">
        <f t="shared" si="206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211"/>
        <v>o</v>
      </c>
      <c r="N330" t="str">
        <f t="shared" si="212"/>
        <v>11/2</v>
      </c>
      <c r="O330">
        <v>14859.96</v>
      </c>
      <c r="P330" t="str">
        <f t="shared" si="213"/>
        <v>e</v>
      </c>
      <c r="Q330" t="str">
        <f t="shared" si="214"/>
        <v>11/2</v>
      </c>
      <c r="R330">
        <v>5</v>
      </c>
      <c r="AA330" s="10">
        <f t="shared" si="207"/>
        <v>7426.4750000000004</v>
      </c>
      <c r="AB330" s="3">
        <f t="shared" si="208"/>
        <v>13461.63</v>
      </c>
      <c r="AC330" s="3" cm="1">
        <f t="array" ref="AC330">100000000/LvacE(AA330)</f>
        <v>13461.630795563271</v>
      </c>
      <c r="AD330" s="10">
        <f t="shared" si="209"/>
        <v>5.9063270795069846E-3</v>
      </c>
      <c r="AE330" s="10" t="b">
        <f t="shared" si="210"/>
        <v>1</v>
      </c>
      <c r="AJ330" t="s">
        <v>4826</v>
      </c>
      <c r="AK330" t="s">
        <v>4709</v>
      </c>
      <c r="AL330">
        <v>1398.34</v>
      </c>
      <c r="AM330">
        <v>14859.96</v>
      </c>
      <c r="AN330" s="10" cm="1">
        <f t="array" ref="AN330">Lair(100000000/($AM330-$AL330))</f>
        <v>7426.4809753517538</v>
      </c>
      <c r="AO330" s="10">
        <f t="shared" si="215"/>
        <v>7428.526432925607</v>
      </c>
      <c r="AP330" s="12">
        <v>4920000</v>
      </c>
      <c r="AQ330" s="3">
        <v>0.62</v>
      </c>
      <c r="AR330" s="3">
        <f>LN(AU330*100000000/($AM330-$AL330)/AP330)</f>
        <v>-3.0150499826889572</v>
      </c>
      <c r="AS330" s="13">
        <f>EXP(AR$4341*$AM330+AR$4342)*$AP330/(100000000/($AM330-$AL330))</f>
        <v>19.197113309758389</v>
      </c>
      <c r="AT330" s="3">
        <f>LN(AS330/$C330)</f>
        <v>-4.6461425402618914</v>
      </c>
      <c r="AU330" s="3" cm="1">
        <f t="array" ref="AU330">$C330*EXP(poly_from_str($AO330,AU$4341))</f>
        <v>32.482007296867224</v>
      </c>
      <c r="AV330" s="13">
        <f>LN(AS330/AU330)</f>
        <v>-0.52592639511560457</v>
      </c>
    </row>
    <row r="331" spans="1:48" x14ac:dyDescent="0.25">
      <c r="A331" t="s">
        <v>562</v>
      </c>
      <c r="B331" s="2" t="str">
        <f t="shared" si="206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207"/>
        <v>7423.3710000000001</v>
      </c>
      <c r="AB331" s="3">
        <f t="shared" si="208"/>
        <v>13467.26</v>
      </c>
      <c r="AC331" s="3" cm="1">
        <f t="array" ref="AC331">100000000/LvacE(AA331)</f>
        <v>13467.25959446699</v>
      </c>
      <c r="AD331" s="10">
        <f t="shared" si="209"/>
        <v>5.9070851769679163E-3</v>
      </c>
      <c r="AE331" s="10" t="b">
        <f t="shared" si="210"/>
        <v>1</v>
      </c>
      <c r="AP331"/>
      <c r="AQ331"/>
      <c r="AU331" s="3" cm="1">
        <f t="array" ref="AU331">$C331*EXP(poly_from_str(100000000/$E331,AU$4341))</f>
        <v>8.1170792630146621E-2</v>
      </c>
    </row>
    <row r="332" spans="1:48" x14ac:dyDescent="0.25">
      <c r="A332" t="s">
        <v>564</v>
      </c>
      <c r="B332" s="2" t="str">
        <f t="shared" si="206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216">$G332&amp;""</f>
        <v>o</v>
      </c>
      <c r="N332" t="str">
        <f t="shared" ref="N332:N333" si="217">$H332&amp;""</f>
        <v>3/2</v>
      </c>
      <c r="O332">
        <v>24461.24</v>
      </c>
      <c r="P332" t="str">
        <f t="shared" ref="P332:P333" si="218">$J332&amp;""</f>
        <v>e</v>
      </c>
      <c r="Q332" t="str">
        <f t="shared" ref="Q332:Q333" si="219">$K332&amp;""</f>
        <v>5/2</v>
      </c>
      <c r="R332">
        <v>5</v>
      </c>
      <c r="S332" t="s">
        <v>208</v>
      </c>
      <c r="AA332" s="10">
        <f t="shared" si="207"/>
        <v>7399.3389999999999</v>
      </c>
      <c r="AB332" s="3">
        <f t="shared" si="208"/>
        <v>13511</v>
      </c>
      <c r="AC332" s="3" cm="1">
        <f t="array" ref="AC332">100000000/LvacE(AA332)</f>
        <v>13510.999085022313</v>
      </c>
      <c r="AD332" s="10">
        <f t="shared" si="209"/>
        <v>5.9129868955201479E-3</v>
      </c>
      <c r="AE332" s="10" t="b">
        <f t="shared" si="210"/>
        <v>1</v>
      </c>
      <c r="AJ332" t="s">
        <v>4815</v>
      </c>
      <c r="AK332" t="s">
        <v>4717</v>
      </c>
      <c r="AL332">
        <v>10950.24</v>
      </c>
      <c r="AM332">
        <v>24461.24</v>
      </c>
      <c r="AN332" s="10" cm="1">
        <f t="array" ref="AN332">Lair(100000000/($AM332-$AL332))</f>
        <v>7399.3385183676819</v>
      </c>
      <c r="AO332" s="10">
        <f t="shared" ref="AO332:AO333" si="220">100000000/($AM332-$AL332)</f>
        <v>7401.3766560580261</v>
      </c>
      <c r="AU332" s="3" cm="1">
        <f t="array" ref="AU332">$C332*EXP(poly_from_str($AO332,AU$4341))</f>
        <v>0.72823377686096025</v>
      </c>
    </row>
    <row r="333" spans="1:48" x14ac:dyDescent="0.25">
      <c r="A333" t="s">
        <v>566</v>
      </c>
      <c r="B333" s="2" t="str">
        <f t="shared" si="206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216"/>
        <v>o</v>
      </c>
      <c r="N333" t="str">
        <f t="shared" si="217"/>
        <v>5/2</v>
      </c>
      <c r="O333">
        <v>23651.88</v>
      </c>
      <c r="P333" t="str">
        <f t="shared" si="218"/>
        <v>e</v>
      </c>
      <c r="Q333" t="str">
        <f t="shared" si="219"/>
        <v>7/2</v>
      </c>
      <c r="R333">
        <v>5</v>
      </c>
      <c r="S333" t="s">
        <v>6</v>
      </c>
      <c r="AA333" s="10">
        <f t="shared" si="207"/>
        <v>7397.8490000000002</v>
      </c>
      <c r="AB333" s="3">
        <f t="shared" si="208"/>
        <v>13513.72</v>
      </c>
      <c r="AC333" s="3" cm="1">
        <f t="array" ref="AC333">100000000/LvacE(AA333)</f>
        <v>13513.720318240092</v>
      </c>
      <c r="AD333" s="10">
        <f t="shared" si="209"/>
        <v>5.9133547006866519E-3</v>
      </c>
      <c r="AE333" s="10" t="b">
        <f t="shared" si="210"/>
        <v>1</v>
      </c>
      <c r="AJ333" t="s">
        <v>4715</v>
      </c>
      <c r="AK333" t="s">
        <v>4759</v>
      </c>
      <c r="AL333">
        <v>10138.18</v>
      </c>
      <c r="AM333">
        <v>23651.88</v>
      </c>
      <c r="AN333" s="10" cm="1">
        <f t="array" ref="AN333">Lair(100000000/($AM333-$AL333))</f>
        <v>7397.8601423955279</v>
      </c>
      <c r="AO333" s="10">
        <f t="shared" si="220"/>
        <v>7399.8978814092361</v>
      </c>
      <c r="AU333" s="3" cm="1">
        <f t="array" ref="AU333">$C333*EXP(poly_from_str($AO333,AU$4341))</f>
        <v>0.48539778076345547</v>
      </c>
    </row>
    <row r="334" spans="1:48" x14ac:dyDescent="0.25">
      <c r="A334" t="s">
        <v>568</v>
      </c>
      <c r="B334" s="2" t="str">
        <f t="shared" si="206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207"/>
        <v>7383.9589999999998</v>
      </c>
      <c r="AB334" s="3">
        <f t="shared" si="208"/>
        <v>13539.14</v>
      </c>
      <c r="AC334" s="3" cm="1">
        <f t="array" ref="AC334">100000000/LvacE(AA334)</f>
        <v>13539.140893915654</v>
      </c>
      <c r="AD334" s="10">
        <f t="shared" si="209"/>
        <v>5.9167941543226106E-3</v>
      </c>
      <c r="AE334" s="10" t="b">
        <f t="shared" si="210"/>
        <v>1</v>
      </c>
      <c r="AP334"/>
      <c r="AQ334"/>
      <c r="AU334" s="3" cm="1">
        <f t="array" ref="AU334">$C334*EXP(poly_from_str(100000000/$E334,AU$4341))</f>
        <v>0.32303763929443841</v>
      </c>
    </row>
    <row r="335" spans="1:48" x14ac:dyDescent="0.25">
      <c r="A335" t="s">
        <v>570</v>
      </c>
      <c r="B335" s="2" t="str">
        <f t="shared" si="206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221">$G335&amp;""</f>
        <v>o</v>
      </c>
      <c r="N335" t="str">
        <f t="shared" ref="N335:N336" si="222">$H335&amp;""</f>
        <v>15/2</v>
      </c>
      <c r="O335">
        <v>38785.760000000002</v>
      </c>
      <c r="P335" t="str">
        <f t="shared" ref="P335:P336" si="223">$J335&amp;""</f>
        <v>e</v>
      </c>
      <c r="Q335" t="str">
        <f t="shared" ref="Q335:Q336" si="224">$K335&amp;""</f>
        <v>15/2</v>
      </c>
      <c r="R335">
        <v>5</v>
      </c>
      <c r="AA335" s="10">
        <f t="shared" si="207"/>
        <v>7382.884</v>
      </c>
      <c r="AB335" s="3">
        <f t="shared" si="208"/>
        <v>13541.11</v>
      </c>
      <c r="AC335" s="3" cm="1">
        <f t="array" ref="AC335">100000000/LvacE(AA335)</f>
        <v>13541.112276927688</v>
      </c>
      <c r="AD335" s="10">
        <f t="shared" si="209"/>
        <v>5.9170611563806024E-3</v>
      </c>
      <c r="AE335" s="10" t="b">
        <f t="shared" si="210"/>
        <v>1</v>
      </c>
      <c r="AJ335" t="s">
        <v>4986</v>
      </c>
      <c r="AK335" t="s">
        <v>4781</v>
      </c>
      <c r="AL335">
        <v>25244.61</v>
      </c>
      <c r="AM335">
        <v>38785.760000000002</v>
      </c>
      <c r="AN335" s="10" cm="1">
        <f t="array" ref="AN335">Lair(100000000/($AM335-$AL335))</f>
        <v>7382.8634519159641</v>
      </c>
      <c r="AO335" s="10">
        <f t="shared" ref="AO335:AO336" si="225">100000000/($AM335-$AL335)</f>
        <v>7384.8971468449863</v>
      </c>
      <c r="AU335" s="3" cm="1">
        <f t="array" ref="AU335">$C335*EXP(poly_from_str($AO335,AU$4341))</f>
        <v>0.8074858988250404</v>
      </c>
    </row>
    <row r="336" spans="1:48" x14ac:dyDescent="0.25">
      <c r="A336" t="s">
        <v>572</v>
      </c>
      <c r="B336" s="2" t="str">
        <f t="shared" si="206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221"/>
        <v>o</v>
      </c>
      <c r="N336" t="str">
        <f t="shared" si="222"/>
        <v>7/2</v>
      </c>
      <c r="O336">
        <v>27452.45</v>
      </c>
      <c r="P336" t="str">
        <f t="shared" si="223"/>
        <v>e</v>
      </c>
      <c r="Q336" t="str">
        <f t="shared" si="224"/>
        <v>5/2</v>
      </c>
      <c r="R336">
        <v>5</v>
      </c>
      <c r="AA336" s="10">
        <f t="shared" si="207"/>
        <v>7369.9650000000001</v>
      </c>
      <c r="AB336" s="3">
        <f t="shared" si="208"/>
        <v>13564.85</v>
      </c>
      <c r="AC336" s="3" cm="1">
        <f t="array" ref="AC336">100000000/LvacE(AA336)</f>
        <v>13564.848700736704</v>
      </c>
      <c r="AD336" s="10">
        <f t="shared" si="209"/>
        <v>5.9202790447944265E-3</v>
      </c>
      <c r="AE336" s="10" t="b">
        <f t="shared" si="210"/>
        <v>1</v>
      </c>
      <c r="AJ336" t="s">
        <v>4818</v>
      </c>
      <c r="AK336" t="s">
        <v>4783</v>
      </c>
      <c r="AL336">
        <v>13887.6</v>
      </c>
      <c r="AM336">
        <v>27452.45</v>
      </c>
      <c r="AN336" s="10" cm="1">
        <f t="array" ref="AN336">Lair(100000000/($AM336-$AL336))</f>
        <v>7369.9643133482286</v>
      </c>
      <c r="AO336" s="10">
        <f t="shared" si="225"/>
        <v>7371.9945299800584</v>
      </c>
      <c r="AP336" s="12">
        <v>80700</v>
      </c>
      <c r="AQ336" s="3">
        <v>3.7999999999999999E-2</v>
      </c>
      <c r="AR336" s="3"/>
      <c r="AS336" s="13">
        <f>EXP(AR$4341*$AM336+AR$4342)*$AP336/(100000000/($AM336-$AL336))</f>
        <v>0.12332259002573895</v>
      </c>
      <c r="AT336" s="3"/>
      <c r="AU336" s="3" cm="1">
        <f t="array" ref="AU336">$C336*EXP(poly_from_str($AO336,AU$4341))</f>
        <v>0.16124785373797923</v>
      </c>
    </row>
    <row r="337" spans="1:48" x14ac:dyDescent="0.25">
      <c r="A337" t="s">
        <v>574</v>
      </c>
      <c r="B337" s="2" t="str">
        <f t="shared" si="206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207"/>
        <v>7364.4620000000004</v>
      </c>
      <c r="AB337" s="3">
        <f t="shared" si="208"/>
        <v>13574.98</v>
      </c>
      <c r="AC337" s="3" cm="1">
        <f t="array" ref="AC337">100000000/LvacE(AA337)</f>
        <v>13574.984801325721</v>
      </c>
      <c r="AD337" s="10">
        <f t="shared" si="209"/>
        <v>5.9216548881184886E-3</v>
      </c>
      <c r="AE337" s="10" t="b">
        <f t="shared" si="210"/>
        <v>1</v>
      </c>
      <c r="AP337"/>
      <c r="AQ337"/>
      <c r="AU337" s="3" cm="1">
        <f t="array" ref="AU337">$C337*EXP(poly_from_str(100000000/$E337,AU$4341))</f>
        <v>8.0572304743288234E-2</v>
      </c>
    </row>
    <row r="338" spans="1:48" x14ac:dyDescent="0.25">
      <c r="A338" t="s">
        <v>576</v>
      </c>
      <c r="B338" s="2" t="str">
        <f t="shared" si="206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226">$G338&amp;""</f>
        <v>o</v>
      </c>
      <c r="N338" t="str">
        <f t="shared" ref="N338:N339" si="227">$H338&amp;""</f>
        <v>3/2</v>
      </c>
      <c r="O338">
        <v>36683.21</v>
      </c>
      <c r="P338" t="str">
        <f t="shared" ref="P338:P339" si="228">$J338&amp;""</f>
        <v>e</v>
      </c>
      <c r="Q338" t="str">
        <f t="shared" ref="Q338:Q339" si="229">$K338&amp;""</f>
        <v>1/2</v>
      </c>
      <c r="R338">
        <v>5</v>
      </c>
      <c r="AA338" s="10">
        <f t="shared" si="207"/>
        <v>7355.5150000000003</v>
      </c>
      <c r="AB338" s="3">
        <f t="shared" si="208"/>
        <v>13591.5</v>
      </c>
      <c r="AC338" s="3" cm="1">
        <f t="array" ref="AC338">100000000/LvacE(AA338)</f>
        <v>13591.49685792494</v>
      </c>
      <c r="AD338" s="10">
        <f t="shared" si="209"/>
        <v>5.923898384948229E-3</v>
      </c>
      <c r="AE338" s="10" t="b">
        <f t="shared" si="210"/>
        <v>1</v>
      </c>
      <c r="AJ338" t="s">
        <v>4992</v>
      </c>
      <c r="AK338" t="s">
        <v>4775</v>
      </c>
      <c r="AL338">
        <v>23091.7</v>
      </c>
      <c r="AM338">
        <v>36683.21</v>
      </c>
      <c r="AN338" s="10" cm="1">
        <f t="array" ref="AN338">Lair(100000000/($AM338-$AL338))</f>
        <v>7355.5079068310561</v>
      </c>
      <c r="AO338" s="10">
        <f t="shared" ref="AO338:AO339" si="230">100000000/($AM338-$AL338)</f>
        <v>7357.5342254098341</v>
      </c>
      <c r="AU338" s="3" cm="1">
        <f t="array" ref="AU338">$C338*EXP(poly_from_str($AO338,AU$4341))</f>
        <v>1.6098049196891939</v>
      </c>
    </row>
    <row r="339" spans="1:48" x14ac:dyDescent="0.25">
      <c r="A339" t="s">
        <v>578</v>
      </c>
      <c r="B339" s="2" t="str">
        <f t="shared" si="206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226"/>
        <v>o</v>
      </c>
      <c r="N339" t="str">
        <f t="shared" si="227"/>
        <v>1/2</v>
      </c>
      <c r="O339">
        <v>32288.92</v>
      </c>
      <c r="P339" t="str">
        <f t="shared" si="228"/>
        <v>e</v>
      </c>
      <c r="Q339" t="str">
        <f t="shared" si="229"/>
        <v>3/2</v>
      </c>
      <c r="R339">
        <v>5</v>
      </c>
      <c r="S339" t="s">
        <v>580</v>
      </c>
      <c r="U339" s="4" t="s">
        <v>4644</v>
      </c>
      <c r="V339">
        <f>$O339-$L339</f>
        <v>13595.269999999997</v>
      </c>
      <c r="W339">
        <f>$E339-V339</f>
        <v>-5.9999999997671694E-2</v>
      </c>
      <c r="AA339" s="10">
        <f t="shared" si="207"/>
        <v>7353.5039999999999</v>
      </c>
      <c r="AB339" s="3">
        <f t="shared" si="208"/>
        <v>13595.21</v>
      </c>
      <c r="AC339" s="3" cm="1">
        <f t="array" ref="AC339">100000000/LvacE(AA339)</f>
        <v>13595.213771718903</v>
      </c>
      <c r="AD339" s="10">
        <f t="shared" si="209"/>
        <v>5.9244037789140322E-3</v>
      </c>
      <c r="AE339" s="10" t="b">
        <f t="shared" si="210"/>
        <v>1</v>
      </c>
      <c r="AJ339" t="s">
        <v>4795</v>
      </c>
      <c r="AK339" t="s">
        <v>4719</v>
      </c>
      <c r="AL339">
        <v>18693.650000000001</v>
      </c>
      <c r="AM339">
        <v>32288.92</v>
      </c>
      <c r="AN339" s="10" cm="1">
        <f t="array" ref="AN339">Lair(100000000/($AM339-$AL339))</f>
        <v>7353.4736058256976</v>
      </c>
      <c r="AO339" s="10">
        <f t="shared" si="230"/>
        <v>7355.49937588588</v>
      </c>
      <c r="AU339" s="3" cm="1">
        <f t="array" ref="AU339">$C339*EXP(poly_from_str($AO339,AU$4341))</f>
        <v>0.32188784641153068</v>
      </c>
    </row>
    <row r="340" spans="1:48" x14ac:dyDescent="0.25">
      <c r="A340" t="s">
        <v>581</v>
      </c>
      <c r="B340" s="2" t="str">
        <f t="shared" si="206"/>
        <v/>
      </c>
      <c r="C340">
        <v>15</v>
      </c>
      <c r="E340" t="s">
        <v>582</v>
      </c>
      <c r="R340">
        <v>5</v>
      </c>
      <c r="S340" t="s">
        <v>583</v>
      </c>
      <c r="U340" s="4" t="s">
        <v>4644</v>
      </c>
      <c r="W340">
        <f>$E340-V339</f>
        <v>7.0000000003346941E-2</v>
      </c>
      <c r="AA340" s="10">
        <f t="shared" si="207"/>
        <v>7353.433</v>
      </c>
      <c r="AB340" s="3">
        <f t="shared" si="208"/>
        <v>13595.34</v>
      </c>
      <c r="AC340" s="3" cm="1">
        <f t="array" ref="AC340">100000000/LvacE(AA340)</f>
        <v>13595.345037555684</v>
      </c>
      <c r="AD340" s="10">
        <f t="shared" si="209"/>
        <v>5.9244216298398097E-3</v>
      </c>
      <c r="AE340" s="10" t="b">
        <f t="shared" si="210"/>
        <v>1</v>
      </c>
      <c r="AP340"/>
      <c r="AQ340"/>
      <c r="AU340" s="3" cm="1">
        <f t="array" ref="AU340">$C340*EXP(poly_from_str(100000000/$E340,AU$4341))</f>
        <v>0.24141486765342804</v>
      </c>
    </row>
    <row r="341" spans="1:48" x14ac:dyDescent="0.25">
      <c r="A341" t="s">
        <v>584</v>
      </c>
      <c r="B341" s="2" t="str">
        <f t="shared" si="206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231">$G341&amp;""</f>
        <v>o</v>
      </c>
      <c r="N341" t="str">
        <f t="shared" ref="N341:N343" si="232">$H341&amp;""</f>
        <v>11/2</v>
      </c>
      <c r="O341">
        <v>26095.23</v>
      </c>
      <c r="P341" t="str">
        <f t="shared" ref="P341:P343" si="233">$J341&amp;""</f>
        <v>e</v>
      </c>
      <c r="Q341" t="str">
        <f t="shared" ref="Q341:Q343" si="234">$K341&amp;""</f>
        <v>11/2</v>
      </c>
      <c r="R341">
        <v>5</v>
      </c>
      <c r="AA341" s="10">
        <f t="shared" si="207"/>
        <v>7350.607</v>
      </c>
      <c r="AB341" s="3">
        <f t="shared" si="208"/>
        <v>13600.57</v>
      </c>
      <c r="AC341" s="3" cm="1">
        <f t="array" ref="AC341">100000000/LvacE(AA341)</f>
        <v>13600.5718467674</v>
      </c>
      <c r="AD341" s="10">
        <f t="shared" si="209"/>
        <v>5.9251325670633325E-3</v>
      </c>
      <c r="AE341" s="10" t="b">
        <f t="shared" si="210"/>
        <v>1</v>
      </c>
      <c r="AJ341" t="s">
        <v>4760</v>
      </c>
      <c r="AK341" t="s">
        <v>4738</v>
      </c>
      <c r="AL341">
        <v>12494.63</v>
      </c>
      <c r="AM341">
        <v>26095.23</v>
      </c>
      <c r="AN341" s="10" cm="1">
        <f t="array" ref="AN341">Lair(100000000/($AM341-$AL341))</f>
        <v>7350.5918032862155</v>
      </c>
      <c r="AO341" s="10">
        <f t="shared" ref="AO341:AO343" si="235">100000000/($AM341-$AL341)</f>
        <v>7352.6167963178095</v>
      </c>
      <c r="AP341" s="12">
        <v>2160000</v>
      </c>
      <c r="AQ341" s="3">
        <v>0.14399999999999999</v>
      </c>
      <c r="AR341" s="3">
        <f>LN(AU341*100000000/($AM341-$AL341)/AP341)</f>
        <v>-4.1086282241581751</v>
      </c>
      <c r="AS341" s="13">
        <f>EXP(AR$4341*$AM341+AR$4342)*$AP341/(100000000/($AM341-$AL341))</f>
        <v>3.6643839691023463</v>
      </c>
      <c r="AT341" s="3">
        <f>LN(AS341/$C341)</f>
        <v>-4.4051222382742523</v>
      </c>
      <c r="AU341" s="3" cm="1">
        <f t="array" ref="AU341">$C341*EXP(poly_from_str($AO341,AU$4341))</f>
        <v>4.8267772066036159</v>
      </c>
      <c r="AV341" s="13">
        <f>LN(AS341/AU341)</f>
        <v>-0.27551876356590516</v>
      </c>
    </row>
    <row r="342" spans="1:48" x14ac:dyDescent="0.25">
      <c r="A342" t="s">
        <v>586</v>
      </c>
      <c r="B342" s="2" t="str">
        <f t="shared" si="206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231"/>
        <v>o</v>
      </c>
      <c r="N342" t="str">
        <f t="shared" si="232"/>
        <v>7/2</v>
      </c>
      <c r="O342">
        <v>24461.24</v>
      </c>
      <c r="P342" t="str">
        <f t="shared" si="233"/>
        <v>e</v>
      </c>
      <c r="Q342" t="str">
        <f t="shared" si="234"/>
        <v>5/2</v>
      </c>
      <c r="R342">
        <v>5</v>
      </c>
      <c r="AA342" s="10">
        <f t="shared" si="207"/>
        <v>7349.7489999999998</v>
      </c>
      <c r="AB342" s="3">
        <f t="shared" si="208"/>
        <v>13602.16</v>
      </c>
      <c r="AC342" s="3" cm="1">
        <f t="array" ref="AC342">100000000/LvacE(AA342)</f>
        <v>13602.159550289249</v>
      </c>
      <c r="AD342" s="10">
        <f t="shared" si="209"/>
        <v>5.9253485765492983E-3</v>
      </c>
      <c r="AE342" s="10" t="b">
        <f t="shared" si="210"/>
        <v>1</v>
      </c>
      <c r="AJ342" t="s">
        <v>4817</v>
      </c>
      <c r="AK342" t="s">
        <v>4717</v>
      </c>
      <c r="AL342">
        <v>10859.06</v>
      </c>
      <c r="AM342">
        <v>24461.24</v>
      </c>
      <c r="AN342" s="10" cm="1">
        <f t="array" ref="AN342">Lair(100000000/($AM342-$AL342))</f>
        <v>7349.7379693390048</v>
      </c>
      <c r="AO342" s="10">
        <f t="shared" si="235"/>
        <v>7351.7627321502869</v>
      </c>
      <c r="AU342" s="3" cm="1">
        <f t="array" ref="AU342">$C342*EXP(poly_from_str($AO342,AU$4341))</f>
        <v>3.2175492440817139</v>
      </c>
    </row>
    <row r="343" spans="1:48" x14ac:dyDescent="0.25">
      <c r="A343" t="s">
        <v>588</v>
      </c>
      <c r="B343" s="2" t="str">
        <f t="shared" si="206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231"/>
        <v>o</v>
      </c>
      <c r="N343" t="str">
        <f t="shared" si="232"/>
        <v>7/2</v>
      </c>
      <c r="O343">
        <v>24470.9</v>
      </c>
      <c r="P343" t="str">
        <f t="shared" si="233"/>
        <v>e</v>
      </c>
      <c r="Q343" t="str">
        <f t="shared" si="234"/>
        <v>7/2</v>
      </c>
      <c r="R343">
        <v>5</v>
      </c>
      <c r="AA343" s="10">
        <f t="shared" si="207"/>
        <v>7344.5330000000004</v>
      </c>
      <c r="AB343" s="3">
        <f t="shared" si="208"/>
        <v>13611.82</v>
      </c>
      <c r="AC343" s="3" cm="1">
        <f t="array" ref="AC343">100000000/LvacE(AA343)</f>
        <v>13611.819585670884</v>
      </c>
      <c r="AD343" s="10">
        <f t="shared" si="209"/>
        <v>5.9266633825234959E-3</v>
      </c>
      <c r="AE343" s="10" t="b">
        <f t="shared" si="210"/>
        <v>1</v>
      </c>
      <c r="AJ343" t="s">
        <v>4817</v>
      </c>
      <c r="AK343" t="s">
        <v>4747</v>
      </c>
      <c r="AL343">
        <v>10859.06</v>
      </c>
      <c r="AM343">
        <v>24470.9</v>
      </c>
      <c r="AN343" s="10" cm="1">
        <f t="array" ref="AN343">Lair(100000000/($AM343-$AL343))</f>
        <v>7344.5220040721306</v>
      </c>
      <c r="AO343" s="10">
        <f t="shared" si="235"/>
        <v>7346.5453605096727</v>
      </c>
      <c r="AU343" s="3" cm="1">
        <f t="array" ref="AU343">$C343*EXP(poly_from_str($AO343,AU$4341))</f>
        <v>0.80393088918124889</v>
      </c>
    </row>
    <row r="344" spans="1:48" x14ac:dyDescent="0.25">
      <c r="A344" t="s">
        <v>590</v>
      </c>
      <c r="B344" s="2" t="str">
        <f t="shared" si="206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207"/>
        <v>7343.7</v>
      </c>
      <c r="AB344" s="3">
        <f t="shared" si="208"/>
        <v>13613.36</v>
      </c>
      <c r="AC344" s="3" cm="1">
        <f t="array" ref="AC344">100000000/LvacE(AA344)</f>
        <v>13613.363572933931</v>
      </c>
      <c r="AD344" s="10">
        <f t="shared" si="209"/>
        <v>5.9268736177222605E-3</v>
      </c>
      <c r="AE344" s="10" t="b">
        <f t="shared" si="210"/>
        <v>1</v>
      </c>
      <c r="AP344"/>
      <c r="AQ344"/>
      <c r="AU344" s="3" cm="1">
        <f t="array" ref="AU344">$C344*EXP(poly_from_str(100000000/$E344,AU$4341))</f>
        <v>5.6270195801004519</v>
      </c>
    </row>
    <row r="345" spans="1:48" x14ac:dyDescent="0.25">
      <c r="A345" t="s">
        <v>592</v>
      </c>
      <c r="B345" s="2" t="str">
        <f t="shared" si="206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236">$G345&amp;""</f>
        <v>o</v>
      </c>
      <c r="N345" t="str">
        <f t="shared" ref="N345:N347" si="237">$H345&amp;""</f>
        <v>9/2</v>
      </c>
      <c r="O345">
        <v>23651.88</v>
      </c>
      <c r="P345" t="str">
        <f t="shared" ref="P345:P347" si="238">$J345&amp;""</f>
        <v>e</v>
      </c>
      <c r="Q345" t="str">
        <f t="shared" ref="Q345:Q347" si="239">$K345&amp;""</f>
        <v>7/2</v>
      </c>
      <c r="R345">
        <v>5</v>
      </c>
      <c r="AA345" s="10">
        <f t="shared" si="207"/>
        <v>7340.692</v>
      </c>
      <c r="AB345" s="3">
        <f t="shared" si="208"/>
        <v>13618.94</v>
      </c>
      <c r="AC345" s="3" cm="1">
        <f t="array" ref="AC345">100000000/LvacE(AA345)</f>
        <v>13618.941896813534</v>
      </c>
      <c r="AD345" s="10">
        <f t="shared" si="209"/>
        <v>5.9276333823032991E-3</v>
      </c>
      <c r="AE345" s="10" t="b">
        <f t="shared" si="210"/>
        <v>1</v>
      </c>
      <c r="AJ345" t="s">
        <v>4812</v>
      </c>
      <c r="AK345" t="s">
        <v>4759</v>
      </c>
      <c r="AL345">
        <v>10032.92</v>
      </c>
      <c r="AM345">
        <v>23651.88</v>
      </c>
      <c r="AN345" s="10" cm="1">
        <f t="array" ref="AN345">Lair(100000000/($AM345-$AL345))</f>
        <v>7340.6822612874221</v>
      </c>
      <c r="AO345" s="10">
        <f t="shared" ref="AO345:AO347" si="240">100000000/($AM345-$AL345)</f>
        <v>7342.7045824350753</v>
      </c>
      <c r="AP345" s="12">
        <v>1560000</v>
      </c>
      <c r="AQ345" s="3">
        <v>6.0999999999999999E-2</v>
      </c>
      <c r="AR345" s="3">
        <f>LN(AU345*100000000/($AM345-$AL345)/AP345)</f>
        <v>-4.4787744663673337</v>
      </c>
      <c r="AS345" s="13">
        <f t="shared" ref="AS345:AS347" si="241">EXP(AR$4341*$AM345+AR$4342)*$AP345/(100000000/($AM345-$AL345))</f>
        <v>3.1834081456597891</v>
      </c>
      <c r="AT345" s="3">
        <f t="shared" ref="AT345:AT347" si="242">LN(AS345/$C345)</f>
        <v>-3.8526829272934928</v>
      </c>
      <c r="AU345" s="3" cm="1">
        <f t="array" ref="AU345">$C345*EXP(poly_from_str($AO345,AU$4341))</f>
        <v>2.4108017954938865</v>
      </c>
      <c r="AV345" s="13">
        <f>LN(AS345/AU345)</f>
        <v>0.27799297940530504</v>
      </c>
    </row>
    <row r="346" spans="1:48" x14ac:dyDescent="0.25">
      <c r="A346" t="s">
        <v>594</v>
      </c>
      <c r="B346" s="2" t="str">
        <f t="shared" si="206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236"/>
        <v>o</v>
      </c>
      <c r="N346" t="str">
        <f t="shared" si="237"/>
        <v>9/2</v>
      </c>
      <c r="O346">
        <v>25409.74</v>
      </c>
      <c r="P346" t="str">
        <f t="shared" si="238"/>
        <v>e</v>
      </c>
      <c r="Q346" t="str">
        <f t="shared" si="239"/>
        <v>7/2</v>
      </c>
      <c r="R346">
        <v>5</v>
      </c>
      <c r="AA346" s="10">
        <f t="shared" si="207"/>
        <v>7325.0379999999996</v>
      </c>
      <c r="AB346" s="3">
        <f t="shared" si="208"/>
        <v>13648.05</v>
      </c>
      <c r="AC346" s="3" cm="1">
        <f t="array" ref="AC346">100000000/LvacE(AA346)</f>
        <v>13648.046136516938</v>
      </c>
      <c r="AD346" s="10">
        <f t="shared" si="209"/>
        <v>5.9316024119272105E-3</v>
      </c>
      <c r="AE346" s="10" t="b">
        <f t="shared" si="210"/>
        <v>1</v>
      </c>
      <c r="AJ346" t="s">
        <v>4695</v>
      </c>
      <c r="AK346" t="s">
        <v>4720</v>
      </c>
      <c r="AL346">
        <v>11761.69</v>
      </c>
      <c r="AM346">
        <v>25409.74</v>
      </c>
      <c r="AN346" s="10" cm="1">
        <f t="array" ref="AN346">Lair(100000000/($AM346-$AL346))</f>
        <v>7325.0359453709161</v>
      </c>
      <c r="AO346" s="10">
        <f t="shared" si="240"/>
        <v>7327.0540480141844</v>
      </c>
      <c r="AP346" s="12">
        <v>134000</v>
      </c>
      <c r="AQ346" s="3">
        <v>1.4E-2</v>
      </c>
      <c r="AR346" s="3"/>
      <c r="AS346" s="13">
        <f t="shared" si="241"/>
        <v>0.24016312091185119</v>
      </c>
      <c r="AT346" s="3"/>
      <c r="AU346" s="3" cm="1">
        <f t="array" ref="AU346">$C346*EXP(poly_from_str($AO346,AU$4341))</f>
        <v>0.64184475059103074</v>
      </c>
    </row>
    <row r="347" spans="1:48" x14ac:dyDescent="0.25">
      <c r="A347" t="s">
        <v>596</v>
      </c>
      <c r="B347" s="2" t="str">
        <f t="shared" si="206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236"/>
        <v>o</v>
      </c>
      <c r="N347" t="str">
        <f t="shared" si="237"/>
        <v>7/2</v>
      </c>
      <c r="O347">
        <v>27604.26</v>
      </c>
      <c r="P347" t="str">
        <f t="shared" si="238"/>
        <v>e</v>
      </c>
      <c r="Q347" t="str">
        <f t="shared" si="239"/>
        <v>9/2</v>
      </c>
      <c r="R347">
        <v>5</v>
      </c>
      <c r="AA347" s="10">
        <f t="shared" si="207"/>
        <v>7288.3950000000004</v>
      </c>
      <c r="AB347" s="3">
        <f t="shared" si="208"/>
        <v>13716.66</v>
      </c>
      <c r="AC347" s="3" cm="1">
        <f t="array" ref="AC347">100000000/LvacE(AA347)</f>
        <v>13716.66239362809</v>
      </c>
      <c r="AD347" s="10">
        <f t="shared" si="209"/>
        <v>5.9409933458345835E-3</v>
      </c>
      <c r="AE347" s="10" t="b">
        <f t="shared" si="210"/>
        <v>1</v>
      </c>
      <c r="AJ347" t="s">
        <v>4818</v>
      </c>
      <c r="AK347" t="s">
        <v>4718</v>
      </c>
      <c r="AL347">
        <v>13887.6</v>
      </c>
      <c r="AM347">
        <v>27604.26</v>
      </c>
      <c r="AN347" s="10" cm="1">
        <f t="array" ref="AN347">Lair(100000000/($AM347-$AL347))</f>
        <v>7288.3962905694752</v>
      </c>
      <c r="AO347" s="10">
        <f t="shared" si="240"/>
        <v>7290.404515384942</v>
      </c>
      <c r="AP347" s="12">
        <v>129000</v>
      </c>
      <c r="AQ347" s="3">
        <v>6.9000000000000006E-2</v>
      </c>
      <c r="AR347" s="3">
        <f>LN(AU347*100000000/($AM347-$AL347)/AP347)</f>
        <v>-4.0131712198404879</v>
      </c>
      <c r="AS347" s="13">
        <f t="shared" si="241"/>
        <v>0.19708081045701445</v>
      </c>
      <c r="AT347" s="3">
        <f t="shared" si="242"/>
        <v>-4.6198737025438037</v>
      </c>
      <c r="AU347" s="3" cm="1">
        <f t="array" ref="AU347">$C347*EXP(poly_from_str($AO347,AU$4341))</f>
        <v>0.31984529633558384</v>
      </c>
      <c r="AV347" s="13">
        <f>LN(AS347/AU347)</f>
        <v>-0.48422357995102527</v>
      </c>
    </row>
    <row r="348" spans="1:48" x14ac:dyDescent="0.25">
      <c r="A348" t="s">
        <v>598</v>
      </c>
      <c r="B348" s="2" t="str">
        <f t="shared" si="206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207"/>
        <v>7285.5940000000001</v>
      </c>
      <c r="AB348" s="3">
        <f t="shared" si="208"/>
        <v>13721.94</v>
      </c>
      <c r="AC348" s="3" cm="1">
        <f t="array" ref="AC348">100000000/LvacE(AA348)</f>
        <v>13721.935833583753</v>
      </c>
      <c r="AD348" s="10">
        <f t="shared" si="209"/>
        <v>5.9417170263388105E-3</v>
      </c>
      <c r="AE348" s="10" t="b">
        <f t="shared" si="210"/>
        <v>1</v>
      </c>
      <c r="AP348"/>
      <c r="AQ348"/>
      <c r="AU348" s="3" cm="1">
        <f t="array" ref="AU348">$C348*EXP(poly_from_str(100000000/$E348,AU$4341))</f>
        <v>0</v>
      </c>
    </row>
    <row r="349" spans="1:48" x14ac:dyDescent="0.25">
      <c r="A349" t="s">
        <v>600</v>
      </c>
      <c r="B349" s="2" t="str">
        <f t="shared" si="206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207"/>
        <v>7285.4449999999997</v>
      </c>
      <c r="AB349" s="3">
        <f t="shared" si="208"/>
        <v>13722.22</v>
      </c>
      <c r="AC349" s="3" cm="1">
        <f t="array" ref="AC349">100000000/LvacE(AA349)</f>
        <v>13722.216469324898</v>
      </c>
      <c r="AD349" s="10">
        <f t="shared" si="209"/>
        <v>5.9417555461145407E-3</v>
      </c>
      <c r="AE349" s="10" t="b">
        <f t="shared" si="210"/>
        <v>1</v>
      </c>
      <c r="AP349"/>
      <c r="AQ349"/>
      <c r="AU349" s="3" cm="1">
        <f t="array" ref="AU349">$C349*EXP(poly_from_str(100000000/$E349,AU$4341))</f>
        <v>7.9941794850444226E-2</v>
      </c>
    </row>
    <row r="350" spans="1:48" x14ac:dyDescent="0.25">
      <c r="A350" t="s">
        <v>602</v>
      </c>
      <c r="B350" s="2" t="str">
        <f t="shared" si="206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243">$G350&amp;""</f>
        <v>o</v>
      </c>
      <c r="N350" t="str">
        <f t="shared" ref="N350:N355" si="244">$H350&amp;""</f>
        <v>9/2</v>
      </c>
      <c r="O350">
        <v>30505.72</v>
      </c>
      <c r="P350" t="str">
        <f t="shared" ref="P350:P355" si="245">$J350&amp;""</f>
        <v>e</v>
      </c>
      <c r="Q350" t="str">
        <f t="shared" ref="Q350:Q355" si="246">$K350&amp;""</f>
        <v>11/2</v>
      </c>
      <c r="R350">
        <v>5</v>
      </c>
      <c r="AA350" s="10">
        <f t="shared" si="207"/>
        <v>7275.1030000000001</v>
      </c>
      <c r="AB350" s="3">
        <f t="shared" si="208"/>
        <v>13741.72</v>
      </c>
      <c r="AC350" s="3" cm="1">
        <f t="array" ref="AC350">100000000/LvacE(AA350)</f>
        <v>13741.723315524012</v>
      </c>
      <c r="AD350" s="10">
        <f t="shared" si="209"/>
        <v>5.9444349664550464E-3</v>
      </c>
      <c r="AE350" s="10" t="b">
        <f t="shared" si="210"/>
        <v>1</v>
      </c>
      <c r="AJ350" t="s">
        <v>4985</v>
      </c>
      <c r="AK350" t="s">
        <v>4706</v>
      </c>
      <c r="AL350">
        <v>16763.98</v>
      </c>
      <c r="AM350">
        <v>30505.72</v>
      </c>
      <c r="AN350" s="10" cm="1">
        <f t="array" ref="AN350">Lair(100000000/($AM350-$AL350))</f>
        <v>7275.0941855191677</v>
      </c>
      <c r="AO350" s="10">
        <f t="shared" ref="AO350:AO355" si="247">100000000/($AM350-$AL350)</f>
        <v>7277.0988244574546</v>
      </c>
      <c r="AP350" s="12">
        <v>310000</v>
      </c>
      <c r="AQ350" s="3">
        <v>4.2999999999999997E-2</v>
      </c>
      <c r="AR350" s="3"/>
      <c r="AS350" s="13">
        <f>EXP(AR$4341*$AM350+AR$4342)*$AP350/(100000000/($AM350-$AL350))</f>
        <v>0.38163144342051225</v>
      </c>
      <c r="AT350" s="3"/>
      <c r="AU350" s="3" cm="1">
        <f t="array" ref="AU350">$C350*EXP(poly_from_str($AO350,AU$4341))</f>
        <v>0.55913220069767799</v>
      </c>
    </row>
    <row r="351" spans="1:48" x14ac:dyDescent="0.25">
      <c r="A351" t="s">
        <v>604</v>
      </c>
      <c r="B351" s="2" t="str">
        <f t="shared" si="206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243"/>
        <v>o</v>
      </c>
      <c r="N351" t="str">
        <f t="shared" si="244"/>
        <v>5/2</v>
      </c>
      <c r="O351">
        <v>37011.919999999998</v>
      </c>
      <c r="P351" t="str">
        <f t="shared" si="245"/>
        <v>e</v>
      </c>
      <c r="Q351" t="str">
        <f t="shared" si="246"/>
        <v>5/2</v>
      </c>
      <c r="R351">
        <v>5</v>
      </c>
      <c r="AA351" s="10">
        <f t="shared" si="207"/>
        <v>7262.3159999999998</v>
      </c>
      <c r="AB351" s="3">
        <f t="shared" si="208"/>
        <v>13765.92</v>
      </c>
      <c r="AC351" s="3" cm="1">
        <f t="array" ref="AC351">100000000/LvacE(AA351)</f>
        <v>13765.918677326572</v>
      </c>
      <c r="AD351" s="10">
        <f t="shared" si="209"/>
        <v>5.9477636801625383E-3</v>
      </c>
      <c r="AE351" s="10" t="b">
        <f t="shared" si="210"/>
        <v>1</v>
      </c>
      <c r="AJ351" t="s">
        <v>4990</v>
      </c>
      <c r="AK351" t="s">
        <v>4768</v>
      </c>
      <c r="AL351">
        <v>23245.99</v>
      </c>
      <c r="AM351">
        <v>37011.919999999998</v>
      </c>
      <c r="AN351" s="10" cm="1">
        <f t="array" ref="AN351">Lair(100000000/($AM351-$AL351))</f>
        <v>7262.3100451255887</v>
      </c>
      <c r="AO351" s="10">
        <f t="shared" si="247"/>
        <v>7264.3112379621298</v>
      </c>
      <c r="AU351" s="3" cm="1">
        <f t="array" ref="AU351">$C351*EXP(poly_from_str($AO351,AU$4341))</f>
        <v>1.5960130852148986</v>
      </c>
    </row>
    <row r="352" spans="1:48" x14ac:dyDescent="0.25">
      <c r="A352" t="s">
        <v>606</v>
      </c>
      <c r="B352" s="2" t="str">
        <f t="shared" si="206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243"/>
        <v>o</v>
      </c>
      <c r="N352" t="str">
        <f t="shared" si="244"/>
        <v>7/2</v>
      </c>
      <c r="O352">
        <v>38694.51</v>
      </c>
      <c r="P352" t="str">
        <f t="shared" si="245"/>
        <v>e</v>
      </c>
      <c r="Q352" t="str">
        <f t="shared" si="246"/>
        <v>5/2</v>
      </c>
      <c r="R352">
        <v>5</v>
      </c>
      <c r="AA352" s="10">
        <f t="shared" si="207"/>
        <v>7240.2079999999996</v>
      </c>
      <c r="AB352" s="3">
        <f t="shared" si="208"/>
        <v>13807.95</v>
      </c>
      <c r="AC352" s="3" cm="1">
        <f t="array" ref="AC352">100000000/LvacE(AA352)</f>
        <v>13807.952704006893</v>
      </c>
      <c r="AD352" s="10">
        <f t="shared" si="209"/>
        <v>5.9535604988148749E-3</v>
      </c>
      <c r="AE352" s="10" t="b">
        <f t="shared" si="210"/>
        <v>1</v>
      </c>
      <c r="AJ352" t="s">
        <v>4989</v>
      </c>
      <c r="AK352" t="s">
        <v>4794</v>
      </c>
      <c r="AL352">
        <v>24886.51</v>
      </c>
      <c r="AM352">
        <v>38694.51</v>
      </c>
      <c r="AN352" s="10" cm="1">
        <f t="array" ref="AN352">Lair(100000000/($AM352-$AL352))</f>
        <v>7240.1832186211414</v>
      </c>
      <c r="AO352" s="10">
        <f t="shared" si="247"/>
        <v>7242.1784472769386</v>
      </c>
      <c r="AU352" s="3" cm="1">
        <f t="array" ref="AU352">$C352*EXP(poly_from_str($AO352,AU$4341))</f>
        <v>3.9843051446539395</v>
      </c>
    </row>
    <row r="353" spans="1:48" x14ac:dyDescent="0.25">
      <c r="A353" t="s">
        <v>608</v>
      </c>
      <c r="B353" s="2" t="str">
        <f t="shared" si="206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243"/>
        <v>o</v>
      </c>
      <c r="N353" t="str">
        <f t="shared" si="244"/>
        <v>9/2</v>
      </c>
      <c r="O353">
        <v>23844.58</v>
      </c>
      <c r="P353" t="str">
        <f t="shared" si="245"/>
        <v>e</v>
      </c>
      <c r="Q353" t="str">
        <f t="shared" si="246"/>
        <v>9/2</v>
      </c>
      <c r="R353">
        <v>5</v>
      </c>
      <c r="AA353" s="10">
        <f t="shared" si="207"/>
        <v>7238.2629999999999</v>
      </c>
      <c r="AB353" s="3">
        <f t="shared" si="208"/>
        <v>13811.66</v>
      </c>
      <c r="AC353" s="3" cm="1">
        <f t="array" ref="AC353">100000000/LvacE(AA353)</f>
        <v>13811.66302868652</v>
      </c>
      <c r="AD353" s="10">
        <f t="shared" si="209"/>
        <v>5.9540730302758077E-3</v>
      </c>
      <c r="AE353" s="10" t="b">
        <f t="shared" si="210"/>
        <v>1</v>
      </c>
      <c r="AJ353" t="s">
        <v>4812</v>
      </c>
      <c r="AK353" t="s">
        <v>4763</v>
      </c>
      <c r="AL353">
        <v>10032.92</v>
      </c>
      <c r="AM353">
        <v>23844.58</v>
      </c>
      <c r="AN353" s="10" cm="1">
        <f t="array" ref="AN353">Lair(100000000/($AM353-$AL353))</f>
        <v>7238.2646056043759</v>
      </c>
      <c r="AO353" s="10">
        <f t="shared" si="247"/>
        <v>7240.2593171277013</v>
      </c>
      <c r="AP353" s="12">
        <v>1240000</v>
      </c>
      <c r="AQ353" s="3">
        <v>8.6999999999999994E-2</v>
      </c>
      <c r="AR353" s="3">
        <f>LN(AU353*100000000/($AM353-$AL353)/AP353)</f>
        <v>-4.6772498127000439</v>
      </c>
      <c r="AS353" s="13">
        <f t="shared" ref="AS353:AS355" si="248">EXP(AR$4341*$AM353+AR$4342)*$AP353/(100000000/($AM353-$AL353))</f>
        <v>2.5293608388794828</v>
      </c>
      <c r="AT353" s="3">
        <f t="shared" ref="AT353:AT355" si="249">LN(AS353/$C353)</f>
        <v>-3.6772035480196767</v>
      </c>
      <c r="AU353" s="3" cm="1">
        <f t="array" ref="AU353">$C353*EXP(poly_from_str($AO353,AU$4341))</f>
        <v>1.5935429740631606</v>
      </c>
      <c r="AV353" s="13">
        <f>LN(AS353/AU353)</f>
        <v>0.46200681510840896</v>
      </c>
    </row>
    <row r="354" spans="1:48" x14ac:dyDescent="0.25">
      <c r="A354" t="s">
        <v>610</v>
      </c>
      <c r="B354" s="2" t="str">
        <f t="shared" si="206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243"/>
        <v>e</v>
      </c>
      <c r="N354" t="str">
        <f t="shared" si="244"/>
        <v>7/2</v>
      </c>
      <c r="O354">
        <v>39225.599999999999</v>
      </c>
      <c r="P354" t="str">
        <f t="shared" si="245"/>
        <v>o</v>
      </c>
      <c r="Q354" t="str">
        <f t="shared" si="246"/>
        <v>9/2</v>
      </c>
      <c r="R354">
        <v>5</v>
      </c>
      <c r="AA354" s="10">
        <f t="shared" si="207"/>
        <v>7236.06</v>
      </c>
      <c r="AB354" s="3">
        <f t="shared" si="208"/>
        <v>13815.87</v>
      </c>
      <c r="AC354" s="3" cm="1">
        <f t="array" ref="AC354">100000000/LvacE(AA354)</f>
        <v>13815.867928841746</v>
      </c>
      <c r="AD354" s="10">
        <f t="shared" si="209"/>
        <v>5.9546540471500896E-3</v>
      </c>
      <c r="AE354" s="10" t="b">
        <f t="shared" si="210"/>
        <v>1</v>
      </c>
      <c r="AJ354" t="s">
        <v>4720</v>
      </c>
      <c r="AK354" t="s">
        <v>4714</v>
      </c>
      <c r="AL354">
        <v>25409.74</v>
      </c>
      <c r="AM354">
        <v>39225.599999999999</v>
      </c>
      <c r="AN354" s="10" cm="1">
        <f t="array" ref="AN354">Lair(100000000/($AM354-$AL354))</f>
        <v>7236.0641710967402</v>
      </c>
      <c r="AO354" s="10">
        <f t="shared" si="247"/>
        <v>7238.058289531019</v>
      </c>
      <c r="AP354" s="12">
        <v>50800</v>
      </c>
      <c r="AQ354" s="3">
        <v>5.0000000000000001E-3</v>
      </c>
      <c r="AR354" s="3"/>
      <c r="AS354" s="13">
        <f t="shared" si="248"/>
        <v>3.2679891270599525E-2</v>
      </c>
      <c r="AT354" s="3"/>
      <c r="AU354" s="3" cm="1">
        <f t="array" ref="AU354">$C354*EXP(poly_from_str($AO354,AU$4341))</f>
        <v>0.39833537760529719</v>
      </c>
    </row>
    <row r="355" spans="1:48" x14ac:dyDescent="0.25">
      <c r="A355" t="s">
        <v>612</v>
      </c>
      <c r="B355" s="2" t="str">
        <f t="shared" si="206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243"/>
        <v>o</v>
      </c>
      <c r="N355" t="str">
        <f t="shared" si="244"/>
        <v>7/2</v>
      </c>
      <c r="O355">
        <v>29267.86</v>
      </c>
      <c r="P355" t="str">
        <f t="shared" si="245"/>
        <v>e</v>
      </c>
      <c r="Q355" t="str">
        <f t="shared" si="246"/>
        <v>5/2</v>
      </c>
      <c r="R355">
        <v>5</v>
      </c>
      <c r="AA355" s="10">
        <f t="shared" si="207"/>
        <v>7231.625</v>
      </c>
      <c r="AB355" s="3">
        <f t="shared" si="208"/>
        <v>13824.34</v>
      </c>
      <c r="AC355" s="3" cm="1">
        <f t="array" ref="AC355">100000000/LvacE(AA355)</f>
        <v>13824.34085209936</v>
      </c>
      <c r="AD355" s="10">
        <f t="shared" si="209"/>
        <v>5.9558253402312317E-3</v>
      </c>
      <c r="AE355" s="10" t="b">
        <f t="shared" si="210"/>
        <v>1</v>
      </c>
      <c r="AJ355" t="s">
        <v>4982</v>
      </c>
      <c r="AK355" t="s">
        <v>4700</v>
      </c>
      <c r="AL355">
        <v>15443.48</v>
      </c>
      <c r="AM355">
        <v>29267.86</v>
      </c>
      <c r="AN355" s="10" cm="1">
        <f t="array" ref="AN355">Lair(100000000/($AM355-$AL355))</f>
        <v>7231.6045396573691</v>
      </c>
      <c r="AO355" s="10">
        <f t="shared" si="247"/>
        <v>7233.5974560884461</v>
      </c>
      <c r="AP355" s="12">
        <v>3790000</v>
      </c>
      <c r="AQ355" s="3">
        <v>0.4</v>
      </c>
      <c r="AR355" s="3">
        <f>LN(AU355*100000000/($AM355-$AL355)/AP355)</f>
        <v>-4.8795088519599981</v>
      </c>
      <c r="AS355" s="13">
        <f t="shared" si="248"/>
        <v>5.1507494206621836</v>
      </c>
      <c r="AT355" s="3">
        <f t="shared" si="249"/>
        <v>-3.8823186951982214</v>
      </c>
      <c r="AU355" s="3" cm="1">
        <f t="array" ref="AU355">$C355*EXP(poly_from_str($AO355,AU$4341))</f>
        <v>3.9823653835646384</v>
      </c>
      <c r="AV355" s="13">
        <f>LN(AS355/AU355)</f>
        <v>0.25726626242581674</v>
      </c>
    </row>
    <row r="356" spans="1:48" x14ac:dyDescent="0.25">
      <c r="A356" t="s">
        <v>614</v>
      </c>
      <c r="B356" s="2" t="str">
        <f t="shared" si="206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207"/>
        <v>7220.5320000000002</v>
      </c>
      <c r="AB356" s="3">
        <f t="shared" si="208"/>
        <v>13845.58</v>
      </c>
      <c r="AC356" s="3" cm="1">
        <f t="array" ref="AC356">100000000/LvacE(AA356)</f>
        <v>13845.579243262393</v>
      </c>
      <c r="AD356" s="10">
        <f t="shared" si="209"/>
        <v>5.9587644818458246E-3</v>
      </c>
      <c r="AE356" s="10" t="b">
        <f t="shared" si="210"/>
        <v>1</v>
      </c>
      <c r="AP356"/>
      <c r="AQ356"/>
      <c r="AU356" s="3" cm="1">
        <f t="array" ref="AU356">$C356*EXP(poly_from_str(100000000/$E356,AU$4341))</f>
        <v>7.9602027300043426E-2</v>
      </c>
    </row>
    <row r="357" spans="1:48" x14ac:dyDescent="0.25">
      <c r="A357" t="s">
        <v>616</v>
      </c>
      <c r="B357" s="2" t="str">
        <f t="shared" si="206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207"/>
        <v>7211.7849999999999</v>
      </c>
      <c r="AB357" s="3">
        <f t="shared" si="208"/>
        <v>13862.37</v>
      </c>
      <c r="AC357" s="3" cm="1">
        <f t="array" ref="AC357">100000000/LvacE(AA357)</f>
        <v>13862.372110102087</v>
      </c>
      <c r="AD357" s="10">
        <f t="shared" si="209"/>
        <v>5.9610916097819116E-3</v>
      </c>
      <c r="AE357" s="10" t="b">
        <f t="shared" si="210"/>
        <v>1</v>
      </c>
      <c r="AP357"/>
      <c r="AQ357"/>
      <c r="AU357" s="3" cm="1">
        <f t="array" ref="AU357">$C357*EXP(poly_from_str(100000000/$E357,AU$4341))</f>
        <v>7.9570167745153686E-2</v>
      </c>
    </row>
    <row r="358" spans="1:48" x14ac:dyDescent="0.25">
      <c r="A358" t="s">
        <v>618</v>
      </c>
      <c r="B358" s="2" t="str">
        <f t="shared" si="206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207"/>
        <v>7204.5460000000003</v>
      </c>
      <c r="AB358" s="3">
        <f t="shared" si="208"/>
        <v>13876.3</v>
      </c>
      <c r="AC358" s="3" cm="1">
        <f t="array" ref="AC358">100000000/LvacE(AA358)</f>
        <v>13876.300690769769</v>
      </c>
      <c r="AD358" s="10">
        <f t="shared" si="209"/>
        <v>5.963023949792934E-3</v>
      </c>
      <c r="AE358" s="10" t="b">
        <f t="shared" si="210"/>
        <v>1</v>
      </c>
      <c r="AP358"/>
      <c r="AQ358"/>
      <c r="AU358" s="3" cm="1">
        <f t="array" ref="AU358">$C358*EXP(poly_from_str(100000000/$E358,AU$4341))</f>
        <v>7.9546454108189751E-2</v>
      </c>
    </row>
    <row r="359" spans="1:48" x14ac:dyDescent="0.25">
      <c r="A359" t="s">
        <v>620</v>
      </c>
      <c r="B359" s="2" t="str">
        <f t="shared" si="206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207"/>
        <v>7192.1329999999998</v>
      </c>
      <c r="AB359" s="3">
        <f t="shared" si="208"/>
        <v>13900.25</v>
      </c>
      <c r="AC359" s="3" cm="1">
        <f t="array" ref="AC359">100000000/LvacE(AA359)</f>
        <v>13900.249840123335</v>
      </c>
      <c r="AD359" s="10">
        <f t="shared" si="209"/>
        <v>5.9663510004697726E-3</v>
      </c>
      <c r="AE359" s="10" t="b">
        <f t="shared" si="210"/>
        <v>1</v>
      </c>
      <c r="AP359"/>
      <c r="AQ359"/>
      <c r="AU359" s="3" cm="1">
        <f t="array" ref="AU359">$C359*EXP(poly_from_str(100000000/$E359,AU$4341))</f>
        <v>7.951152329880512E-2</v>
      </c>
    </row>
    <row r="360" spans="1:48" x14ac:dyDescent="0.25">
      <c r="A360" t="s">
        <v>622</v>
      </c>
      <c r="B360" s="2" t="str">
        <f t="shared" si="206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250">$G360&amp;""</f>
        <v>o</v>
      </c>
      <c r="N360" t="str">
        <f t="shared" ref="N360:N361" si="251">$H360&amp;""</f>
        <v>3/2</v>
      </c>
      <c r="O360">
        <v>37011.919999999998</v>
      </c>
      <c r="P360" t="str">
        <f t="shared" ref="P360:P361" si="252">$J360&amp;""</f>
        <v>e</v>
      </c>
      <c r="Q360" t="str">
        <f t="shared" ref="Q360:Q361" si="253">$K360&amp;""</f>
        <v>5/2</v>
      </c>
      <c r="R360">
        <v>5</v>
      </c>
      <c r="AA360" s="10">
        <f t="shared" si="207"/>
        <v>7181.8130000000001</v>
      </c>
      <c r="AB360" s="3">
        <f t="shared" si="208"/>
        <v>13920.22</v>
      </c>
      <c r="AC360" s="3" cm="1">
        <f t="array" ref="AC360">100000000/LvacE(AA360)</f>
        <v>13920.223863196432</v>
      </c>
      <c r="AD360" s="10">
        <f t="shared" si="209"/>
        <v>5.96913020870889E-3</v>
      </c>
      <c r="AE360" s="10" t="b">
        <f t="shared" si="210"/>
        <v>1</v>
      </c>
      <c r="AJ360" t="s">
        <v>4992</v>
      </c>
      <c r="AK360" t="s">
        <v>4768</v>
      </c>
      <c r="AL360">
        <v>23091.7</v>
      </c>
      <c r="AM360">
        <v>37011.919999999998</v>
      </c>
      <c r="AN360" s="10" cm="1">
        <f t="array" ref="AN360">Lair(100000000/($AM360-$AL360))</f>
        <v>7181.8150111028099</v>
      </c>
      <c r="AO360" s="10">
        <f t="shared" ref="AO360:AO361" si="254">100000000/($AM360-$AL360)</f>
        <v>7183.7945089948307</v>
      </c>
      <c r="AU360" s="3" cm="1">
        <f t="array" ref="AU360">$C360*EXP(poly_from_str($AO360,AU$4341))</f>
        <v>0.47692872406758552</v>
      </c>
    </row>
    <row r="361" spans="1:48" x14ac:dyDescent="0.25">
      <c r="A361" t="s">
        <v>624</v>
      </c>
      <c r="B361" s="2" t="str">
        <f t="shared" si="206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250"/>
        <v>o</v>
      </c>
      <c r="N361" t="str">
        <f t="shared" si="251"/>
        <v>7/2</v>
      </c>
      <c r="O361">
        <v>24788.02</v>
      </c>
      <c r="P361" t="str">
        <f t="shared" si="252"/>
        <v>e</v>
      </c>
      <c r="Q361" t="str">
        <f t="shared" si="253"/>
        <v>9/2</v>
      </c>
      <c r="R361">
        <v>5</v>
      </c>
      <c r="AA361" s="10">
        <f t="shared" si="207"/>
        <v>7177.308</v>
      </c>
      <c r="AB361" s="3">
        <f t="shared" si="208"/>
        <v>13928.96</v>
      </c>
      <c r="AC361" s="3" cm="1">
        <f t="array" ref="AC361">100000000/LvacE(AA361)</f>
        <v>13928.961153449687</v>
      </c>
      <c r="AD361" s="10">
        <f t="shared" si="209"/>
        <v>5.9703471798513933E-3</v>
      </c>
      <c r="AE361" s="10" t="b">
        <f t="shared" si="210"/>
        <v>1</v>
      </c>
      <c r="AJ361" t="s">
        <v>4817</v>
      </c>
      <c r="AK361" t="s">
        <v>4705</v>
      </c>
      <c r="AL361">
        <v>10859.06</v>
      </c>
      <c r="AM361">
        <v>24788.02</v>
      </c>
      <c r="AN361" s="10" cm="1">
        <f t="array" ref="AN361">Lair(100000000/($AM361-$AL361))</f>
        <v>7177.3086122859604</v>
      </c>
      <c r="AO361" s="10">
        <f t="shared" si="254"/>
        <v>7179.2868957912142</v>
      </c>
      <c r="AU361" s="3" cm="1">
        <f t="array" ref="AU361">$C361*EXP(poly_from_str($AO361,AU$4341))</f>
        <v>7.9479535749143432E-2</v>
      </c>
    </row>
    <row r="362" spans="1:48" x14ac:dyDescent="0.25">
      <c r="A362" t="s">
        <v>626</v>
      </c>
      <c r="B362" s="2" t="str">
        <f t="shared" si="206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207"/>
        <v>7167.7420000000002</v>
      </c>
      <c r="AB362" s="3">
        <f t="shared" si="208"/>
        <v>13947.55</v>
      </c>
      <c r="AC362" s="3" cm="1">
        <f t="array" ref="AC362">100000000/LvacE(AA362)</f>
        <v>13947.550497462767</v>
      </c>
      <c r="AD362" s="10">
        <f t="shared" si="209"/>
        <v>5.9729389323348115E-3</v>
      </c>
      <c r="AE362" s="10" t="b">
        <f t="shared" si="210"/>
        <v>1</v>
      </c>
      <c r="AP362"/>
      <c r="AQ362"/>
      <c r="AU362" s="3" cm="1">
        <f t="array" ref="AU362">$C362*EXP(poly_from_str(100000000/$E362,AU$4341))</f>
        <v>7.9464667467123856E-2</v>
      </c>
    </row>
    <row r="363" spans="1:48" x14ac:dyDescent="0.25">
      <c r="A363" t="s">
        <v>628</v>
      </c>
      <c r="B363" s="2" t="str">
        <f t="shared" si="206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255">$G363&amp;""</f>
        <v>o</v>
      </c>
      <c r="N363" t="str">
        <f t="shared" ref="N363:N366" si="256">$H363&amp;""</f>
        <v>5/2</v>
      </c>
      <c r="O363">
        <v>37197.64</v>
      </c>
      <c r="P363" t="str">
        <f t="shared" ref="P363:P366" si="257">$J363&amp;""</f>
        <v>e</v>
      </c>
      <c r="Q363" t="str">
        <f t="shared" ref="Q363:Q366" si="258">$K363&amp;""</f>
        <v>3/2</v>
      </c>
      <c r="R363">
        <v>5</v>
      </c>
      <c r="AA363" s="10">
        <f t="shared" si="207"/>
        <v>7165.64</v>
      </c>
      <c r="AB363" s="3">
        <f t="shared" si="208"/>
        <v>13951.64</v>
      </c>
      <c r="AC363" s="3" cm="1">
        <f t="array" ref="AC363">100000000/LvacE(AA363)</f>
        <v>13951.641907356063</v>
      </c>
      <c r="AD363" s="10">
        <f t="shared" si="209"/>
        <v>5.9735098265720904E-3</v>
      </c>
      <c r="AE363" s="10" t="b">
        <f t="shared" si="210"/>
        <v>1</v>
      </c>
      <c r="AJ363" t="s">
        <v>4990</v>
      </c>
      <c r="AK363" t="s">
        <v>4787</v>
      </c>
      <c r="AL363">
        <v>23245.99</v>
      </c>
      <c r="AM363">
        <v>37197.64</v>
      </c>
      <c r="AN363" s="10" cm="1">
        <f t="array" ref="AN363">Lair(100000000/($AM363-$AL363))</f>
        <v>7165.6358614029587</v>
      </c>
      <c r="AO363" s="10">
        <f t="shared" ref="AO363:AO366" si="259">100000000/($AM363-$AL363)</f>
        <v>7167.6109994158405</v>
      </c>
      <c r="AU363" s="3" cm="1">
        <f t="array" ref="AU363">$C363*EXP(poly_from_str($AO363,AU$4341))</f>
        <v>1.5892402745567178</v>
      </c>
    </row>
    <row r="364" spans="1:48" x14ac:dyDescent="0.25">
      <c r="A364" t="s">
        <v>630</v>
      </c>
      <c r="B364" s="2" t="str">
        <f t="shared" si="206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255"/>
        <v>e</v>
      </c>
      <c r="N364" t="str">
        <f t="shared" si="256"/>
        <v>5/2</v>
      </c>
      <c r="O364">
        <v>39940.720000000001</v>
      </c>
      <c r="P364" t="str">
        <f t="shared" si="257"/>
        <v>o</v>
      </c>
      <c r="Q364" t="str">
        <f t="shared" si="258"/>
        <v>7/2</v>
      </c>
      <c r="R364">
        <v>5</v>
      </c>
      <c r="AA364" s="10">
        <f t="shared" si="207"/>
        <v>7137.9560000000001</v>
      </c>
      <c r="AB364" s="3">
        <f t="shared" si="208"/>
        <v>14005.75</v>
      </c>
      <c r="AC364" s="3" cm="1">
        <f t="array" ref="AC364">100000000/LvacE(AA364)</f>
        <v>14005.75191568958</v>
      </c>
      <c r="AD364" s="10">
        <f t="shared" si="209"/>
        <v>5.9810758090754262E-3</v>
      </c>
      <c r="AE364" s="10" t="b">
        <f t="shared" si="210"/>
        <v>1</v>
      </c>
      <c r="AJ364" t="s">
        <v>4713</v>
      </c>
      <c r="AK364" t="s">
        <v>4752</v>
      </c>
      <c r="AL364">
        <v>25934.98</v>
      </c>
      <c r="AM364">
        <v>39940.720000000001</v>
      </c>
      <c r="AN364" s="10" cm="1">
        <f t="array" ref="AN364">Lair(100000000/($AM364-$AL364))</f>
        <v>7137.9620904710564</v>
      </c>
      <c r="AO364" s="10">
        <f t="shared" si="259"/>
        <v>7139.9297716507654</v>
      </c>
      <c r="AP364" s="12">
        <v>207000</v>
      </c>
      <c r="AQ364" s="3">
        <v>1.7000000000000001E-2</v>
      </c>
      <c r="AR364" s="3"/>
      <c r="AS364" s="13">
        <f t="shared" ref="AS364:AS366" si="260">EXP(AR$4341*$AM364+AR$4342)*$AP364/(100000000/($AM364-$AL364))</f>
        <v>0.12794045759079062</v>
      </c>
      <c r="AT364" s="3"/>
      <c r="AU364" s="3" cm="1">
        <f t="array" ref="AU364">$C364*EXP(poly_from_str($AO364,AU$4341))</f>
        <v>0.39724261732696231</v>
      </c>
    </row>
    <row r="365" spans="1:48" x14ac:dyDescent="0.25">
      <c r="A365" t="s">
        <v>632</v>
      </c>
      <c r="B365" s="2" t="str">
        <f t="shared" si="206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255"/>
        <v>o</v>
      </c>
      <c r="N365" t="str">
        <f t="shared" si="256"/>
        <v>7/2</v>
      </c>
      <c r="O365">
        <v>45805.95</v>
      </c>
      <c r="P365" t="str">
        <f t="shared" si="257"/>
        <v>e</v>
      </c>
      <c r="Q365" t="str">
        <f t="shared" si="258"/>
        <v>9/2</v>
      </c>
      <c r="R365">
        <v>5</v>
      </c>
      <c r="AA365" s="10">
        <f t="shared" si="207"/>
        <v>7131.6840000000002</v>
      </c>
      <c r="AB365" s="3">
        <f t="shared" si="208"/>
        <v>14018.07</v>
      </c>
      <c r="AC365" s="3" cm="1">
        <f t="array" ref="AC365">100000000/LvacE(AA365)</f>
        <v>14018.069277091068</v>
      </c>
      <c r="AD365" s="10">
        <f t="shared" si="209"/>
        <v>5.9828021878907608E-3</v>
      </c>
      <c r="AE365" s="10" t="b">
        <f t="shared" si="210"/>
        <v>1</v>
      </c>
      <c r="AJ365" t="s">
        <v>4804</v>
      </c>
      <c r="AK365" t="s">
        <v>4802</v>
      </c>
      <c r="AL365">
        <v>31787.93</v>
      </c>
      <c r="AM365">
        <v>45805.95</v>
      </c>
      <c r="AN365" s="10" cm="1">
        <f t="array" ref="AN365">Lair(100000000/($AM365-$AL365))</f>
        <v>7131.7090875514514</v>
      </c>
      <c r="AO365" s="10">
        <f t="shared" si="259"/>
        <v>7133.6750839276892</v>
      </c>
      <c r="AP365" s="12">
        <v>321000</v>
      </c>
      <c r="AQ365" s="3">
        <v>1.0999999999999999E-2</v>
      </c>
      <c r="AR365" s="3"/>
      <c r="AS365" s="13">
        <f t="shared" si="260"/>
        <v>0.12786783638303786</v>
      </c>
      <c r="AT365" s="3"/>
      <c r="AU365" s="3" cm="1">
        <f t="array" ref="AU365">$C365*EXP(poly_from_str($AO365,AU$4341))</f>
        <v>0.23835335372372074</v>
      </c>
    </row>
    <row r="366" spans="1:48" x14ac:dyDescent="0.25">
      <c r="A366" t="s">
        <v>634</v>
      </c>
      <c r="B366" s="2" t="str">
        <f t="shared" si="206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255"/>
        <v>o</v>
      </c>
      <c r="N366" t="str">
        <f t="shared" si="256"/>
        <v>11/2</v>
      </c>
      <c r="O366">
        <v>15454.16</v>
      </c>
      <c r="P366" t="str">
        <f t="shared" si="257"/>
        <v>e</v>
      </c>
      <c r="Q366" t="str">
        <f t="shared" si="258"/>
        <v>13/2</v>
      </c>
      <c r="R366">
        <v>5</v>
      </c>
      <c r="AA366" s="10">
        <f t="shared" si="207"/>
        <v>7112.5280000000002</v>
      </c>
      <c r="AB366" s="3">
        <f t="shared" si="208"/>
        <v>14055.82</v>
      </c>
      <c r="AC366" s="3" cm="1">
        <f t="array" ref="AC366">100000000/LvacE(AA366)</f>
        <v>14055.823568658063</v>
      </c>
      <c r="AD366" s="10">
        <f t="shared" si="209"/>
        <v>5.9881032151056605E-3</v>
      </c>
      <c r="AE366" s="10" t="b">
        <f t="shared" si="210"/>
        <v>1</v>
      </c>
      <c r="AJ366" t="s">
        <v>4826</v>
      </c>
      <c r="AK366" t="s">
        <v>4803</v>
      </c>
      <c r="AL366">
        <v>1398.34</v>
      </c>
      <c r="AM366">
        <v>15454.16</v>
      </c>
      <c r="AN366" s="10" cm="1">
        <f t="array" ref="AN366">Lair(100000000/($AM366-$AL366))</f>
        <v>7112.5298233091753</v>
      </c>
      <c r="AO366" s="10">
        <f t="shared" si="259"/>
        <v>7114.4906522707324</v>
      </c>
      <c r="AP366" s="12">
        <v>1370000</v>
      </c>
      <c r="AQ366" s="3">
        <v>0.57499999999999996</v>
      </c>
      <c r="AR366" s="3">
        <f>LN(AU366*100000000/($AM366-$AL366)/AP366)</f>
        <v>-3.1876060104623227</v>
      </c>
      <c r="AS366" s="13">
        <f t="shared" si="260"/>
        <v>5.338064932936474</v>
      </c>
      <c r="AT366" s="3">
        <f t="shared" ref="AT366" si="261">LN(AS366/$C366)</f>
        <v>-4.5397448832320011</v>
      </c>
      <c r="AU366" s="3" cm="1">
        <f t="array" ref="AU366">$C366*EXP(poly_from_str($AO366,AU$4341))</f>
        <v>7.9472532613943923</v>
      </c>
      <c r="AV366" s="13">
        <f>LN(AS366/AU366)</f>
        <v>-0.39796315206518545</v>
      </c>
    </row>
    <row r="367" spans="1:48" x14ac:dyDescent="0.25">
      <c r="A367" t="s">
        <v>636</v>
      </c>
      <c r="B367" s="2" t="str">
        <f t="shared" si="206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207"/>
        <v>7101.777</v>
      </c>
      <c r="AB367" s="3">
        <f t="shared" si="208"/>
        <v>14077.1</v>
      </c>
      <c r="AC367" s="3" cm="1">
        <f t="array" ref="AC367">100000000/LvacE(AA367)</f>
        <v>14077.101793906306</v>
      </c>
      <c r="AD367" s="10">
        <f t="shared" si="209"/>
        <v>5.9910971432858501E-3</v>
      </c>
      <c r="AE367" s="10" t="b">
        <f t="shared" si="210"/>
        <v>1</v>
      </c>
      <c r="AP367"/>
      <c r="AQ367"/>
      <c r="AU367" s="3" cm="1">
        <f t="array" ref="AU367">$C367*EXP(poly_from_str(100000000/$E367,AU$4341))</f>
        <v>0.23848091172507421</v>
      </c>
    </row>
    <row r="368" spans="1:48" x14ac:dyDescent="0.25">
      <c r="A368" t="s">
        <v>638</v>
      </c>
      <c r="B368" s="2" t="str">
        <f t="shared" si="206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262">$G368&amp;""</f>
        <v>o</v>
      </c>
      <c r="N368" t="str">
        <f t="shared" ref="N368:N369" si="263">$H368&amp;""</f>
        <v>3/2</v>
      </c>
      <c r="O368">
        <v>37197.64</v>
      </c>
      <c r="P368" t="str">
        <f t="shared" ref="P368:P369" si="264">$J368&amp;""</f>
        <v>e</v>
      </c>
      <c r="Q368" t="str">
        <f t="shared" ref="Q368:Q369" si="265">$K368&amp;""</f>
        <v>3/2</v>
      </c>
      <c r="R368">
        <v>5</v>
      </c>
      <c r="AA368" s="10">
        <f t="shared" si="207"/>
        <v>7087.26</v>
      </c>
      <c r="AB368" s="3">
        <f t="shared" si="208"/>
        <v>14105.94</v>
      </c>
      <c r="AC368" s="3" cm="1">
        <f t="array" ref="AC368">100000000/LvacE(AA368)</f>
        <v>14105.936068215624</v>
      </c>
      <c r="AD368" s="10">
        <f t="shared" si="209"/>
        <v>5.9951614635427248E-3</v>
      </c>
      <c r="AE368" s="10" t="b">
        <f t="shared" si="210"/>
        <v>1</v>
      </c>
      <c r="AJ368" t="s">
        <v>4992</v>
      </c>
      <c r="AK368" t="s">
        <v>4787</v>
      </c>
      <c r="AL368">
        <v>23091.7</v>
      </c>
      <c r="AM368">
        <v>37197.64</v>
      </c>
      <c r="AN368" s="10" cm="1">
        <f t="array" ref="AN368">Lair(100000000/($AM368-$AL368))</f>
        <v>7087.2580418474226</v>
      </c>
      <c r="AO368" s="10">
        <f t="shared" ref="AO368:AO369" si="266">100000000/($AM368-$AL368)</f>
        <v>7089.2120624361087</v>
      </c>
      <c r="AU368" s="3" cm="1">
        <f t="array" ref="AU368">$C368*EXP(poly_from_str($AO368,AU$4341))</f>
        <v>0.55672979261132771</v>
      </c>
    </row>
    <row r="369" spans="1:48" x14ac:dyDescent="0.25">
      <c r="A369" t="s">
        <v>640</v>
      </c>
      <c r="B369" s="2" t="str">
        <f t="shared" si="206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262"/>
        <v>o</v>
      </c>
      <c r="N369" t="str">
        <f t="shared" si="263"/>
        <v>5/2</v>
      </c>
      <c r="O369">
        <v>24250.62</v>
      </c>
      <c r="P369" t="str">
        <f t="shared" si="264"/>
        <v>e</v>
      </c>
      <c r="Q369" t="str">
        <f t="shared" si="265"/>
        <v>3/2</v>
      </c>
      <c r="R369">
        <v>5</v>
      </c>
      <c r="S369" t="s">
        <v>6</v>
      </c>
      <c r="AA369" s="10">
        <f t="shared" si="207"/>
        <v>7083.9930000000004</v>
      </c>
      <c r="AB369" s="3">
        <f t="shared" si="208"/>
        <v>14112.44</v>
      </c>
      <c r="AC369" s="3" cm="1">
        <f t="array" ref="AC369">100000000/LvacE(AA369)</f>
        <v>14112.441410922931</v>
      </c>
      <c r="AD369" s="10">
        <f t="shared" si="209"/>
        <v>5.9960795705841985E-3</v>
      </c>
      <c r="AE369" s="10" t="b">
        <f t="shared" si="210"/>
        <v>1</v>
      </c>
      <c r="AJ369" t="s">
        <v>4715</v>
      </c>
      <c r="AK369" t="s">
        <v>4710</v>
      </c>
      <c r="AL369">
        <v>10138.18</v>
      </c>
      <c r="AM369">
        <v>24250.62</v>
      </c>
      <c r="AN369" s="10" cm="1">
        <f t="array" ref="AN369">Lair(100000000/($AM369-$AL369))</f>
        <v>7083.9937255297746</v>
      </c>
      <c r="AO369" s="10">
        <f t="shared" si="266"/>
        <v>7085.9468667360152</v>
      </c>
      <c r="AU369" s="3" cm="1">
        <f t="array" ref="AU369">$C369*EXP(poly_from_str($AO369,AU$4341))</f>
        <v>1.5908672334944383</v>
      </c>
    </row>
    <row r="370" spans="1:48" x14ac:dyDescent="0.25">
      <c r="A370" t="s">
        <v>642</v>
      </c>
      <c r="B370" s="2" t="str">
        <f t="shared" si="206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207"/>
        <v>7079.5590000000002</v>
      </c>
      <c r="AB370" s="3">
        <f t="shared" si="208"/>
        <v>14121.28</v>
      </c>
      <c r="AC370" s="3" cm="1">
        <f t="array" ref="AC370">100000000/LvacE(AA370)</f>
        <v>14121.280121031583</v>
      </c>
      <c r="AD370" s="10">
        <f t="shared" si="209"/>
        <v>5.997327666951542E-3</v>
      </c>
      <c r="AE370" s="10" t="b">
        <f t="shared" si="210"/>
        <v>1</v>
      </c>
      <c r="AP370"/>
      <c r="AQ370"/>
      <c r="AU370" s="3" cm="1">
        <f t="array" ref="AU370">$C370*EXP(poly_from_str(100000000/$E370,AU$4341))</f>
        <v>0.3182348046386913</v>
      </c>
    </row>
    <row r="371" spans="1:48" x14ac:dyDescent="0.25">
      <c r="A371" t="s">
        <v>644</v>
      </c>
      <c r="B371" s="2" t="str">
        <f t="shared" si="206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267">$G371&amp;""</f>
        <v>o</v>
      </c>
      <c r="N371" t="str">
        <f t="shared" ref="N371:N376" si="268">$H371&amp;""</f>
        <v>11/2</v>
      </c>
      <c r="O371">
        <v>15525.5</v>
      </c>
      <c r="P371" t="str">
        <f t="shared" ref="P371:P376" si="269">$J371&amp;""</f>
        <v>e</v>
      </c>
      <c r="Q371" t="str">
        <f t="shared" ref="Q371:Q376" si="270">$K371&amp;""</f>
        <v>11/2</v>
      </c>
      <c r="R371">
        <v>5</v>
      </c>
      <c r="AA371" s="10">
        <f t="shared" si="207"/>
        <v>7076.6180000000004</v>
      </c>
      <c r="AB371" s="3">
        <f t="shared" si="208"/>
        <v>14127.15</v>
      </c>
      <c r="AC371" s="3" cm="1">
        <f t="array" ref="AC371">100000000/LvacE(AA371)</f>
        <v>14127.148803229076</v>
      </c>
      <c r="AD371" s="10">
        <f t="shared" si="209"/>
        <v>5.9981568033790345E-3</v>
      </c>
      <c r="AE371" s="10" t="b">
        <f t="shared" si="210"/>
        <v>1</v>
      </c>
      <c r="AJ371" t="s">
        <v>4826</v>
      </c>
      <c r="AK371" t="s">
        <v>4734</v>
      </c>
      <c r="AL371">
        <v>1398.34</v>
      </c>
      <c r="AM371">
        <v>15525.5</v>
      </c>
      <c r="AN371" s="10" cm="1">
        <f t="array" ref="AN371">Lair(100000000/($AM371-$AL371))</f>
        <v>7076.6124084814637</v>
      </c>
      <c r="AO371" s="10">
        <f t="shared" ref="AO371:AO376" si="271">100000000/($AM371-$AL371)</f>
        <v>7078.5635612536416</v>
      </c>
      <c r="AP371" s="12">
        <v>13000000</v>
      </c>
      <c r="AQ371" s="3">
        <v>0.626</v>
      </c>
      <c r="AR371" s="3">
        <f t="shared" ref="AR371:AR372" si="272">LN(AU371*100000000/($AM371-$AL371)/AP371)</f>
        <v>-3.2443626248250719</v>
      </c>
      <c r="AS371" s="13">
        <f t="shared" ref="AS371:AS373" si="273">EXP(AR$4341*$AM371+AR$4342)*$AP371/(100000000/($AM371-$AL371))</f>
        <v>50.638423091782869</v>
      </c>
      <c r="AT371" s="3">
        <f t="shared" ref="AT371:AT372" si="274">LN(AS371/$C371)</f>
        <v>-4.4871220379850847</v>
      </c>
      <c r="AU371" s="3" cm="1">
        <f t="array" ref="AU371">$C371*EXP(poly_from_str($AO371,AU$4341))</f>
        <v>71.612598223140438</v>
      </c>
      <c r="AV371" s="13">
        <f t="shared" ref="AV371:AV372" si="275">LN(AS371/AU371)</f>
        <v>-0.34656037355254538</v>
      </c>
    </row>
    <row r="372" spans="1:48" x14ac:dyDescent="0.25">
      <c r="A372" t="s">
        <v>646</v>
      </c>
      <c r="B372" s="2" t="str">
        <f t="shared" si="206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267"/>
        <v>o</v>
      </c>
      <c r="N372" t="str">
        <f t="shared" si="268"/>
        <v>9/2</v>
      </c>
      <c r="O372">
        <v>29835.09</v>
      </c>
      <c r="P372" t="str">
        <f t="shared" si="269"/>
        <v>e</v>
      </c>
      <c r="Q372" t="str">
        <f t="shared" si="270"/>
        <v>9/2</v>
      </c>
      <c r="R372">
        <v>5</v>
      </c>
      <c r="S372" t="s">
        <v>420</v>
      </c>
      <c r="AA372" s="10">
        <f t="shared" si="207"/>
        <v>7075.2129999999997</v>
      </c>
      <c r="AB372" s="3">
        <f t="shared" si="208"/>
        <v>14129.95</v>
      </c>
      <c r="AC372" s="3" cm="1">
        <f t="array" ref="AC372">100000000/LvacE(AA372)</f>
        <v>14129.954163070768</v>
      </c>
      <c r="AD372" s="10">
        <f t="shared" si="209"/>
        <v>5.9985532706273836E-3</v>
      </c>
      <c r="AE372" s="10" t="b">
        <f t="shared" si="210"/>
        <v>1</v>
      </c>
      <c r="AJ372" t="s">
        <v>4767</v>
      </c>
      <c r="AK372" t="s">
        <v>4697</v>
      </c>
      <c r="AL372">
        <v>15705.13</v>
      </c>
      <c r="AM372">
        <v>29835.09</v>
      </c>
      <c r="AN372" s="10" cm="1">
        <f t="array" ref="AN372">Lair(100000000/($AM372-$AL372))</f>
        <v>7075.2100945159655</v>
      </c>
      <c r="AO372" s="10">
        <f t="shared" si="271"/>
        <v>7077.160869528293</v>
      </c>
      <c r="AP372" s="12">
        <v>1100000</v>
      </c>
      <c r="AQ372" s="3">
        <v>0.11</v>
      </c>
      <c r="AR372" s="3">
        <f t="shared" si="272"/>
        <v>-4.5815168733255209</v>
      </c>
      <c r="AS372" s="13">
        <f t="shared" si="273"/>
        <v>1.4643058029040223</v>
      </c>
      <c r="AT372" s="3">
        <f t="shared" si="274"/>
        <v>-4.2237889104966877</v>
      </c>
      <c r="AU372" s="3" cm="1">
        <f t="array" ref="AU372">$C372*EXP(poly_from_str($AO372,AU$4341))</f>
        <v>1.5914980863321091</v>
      </c>
      <c r="AV372" s="13">
        <f t="shared" si="275"/>
        <v>-8.329448981754059E-2</v>
      </c>
    </row>
    <row r="373" spans="1:48" x14ac:dyDescent="0.25">
      <c r="A373" t="s">
        <v>648</v>
      </c>
      <c r="B373" s="2" t="str">
        <f t="shared" si="206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267"/>
        <v>e</v>
      </c>
      <c r="N373" t="str">
        <f t="shared" si="268"/>
        <v>9/2</v>
      </c>
      <c r="O373">
        <v>26979.66</v>
      </c>
      <c r="P373" t="str">
        <f t="shared" si="269"/>
        <v>o</v>
      </c>
      <c r="Q373" t="str">
        <f t="shared" si="270"/>
        <v>9/2</v>
      </c>
      <c r="R373">
        <v>5</v>
      </c>
      <c r="S373" t="s">
        <v>650</v>
      </c>
      <c r="AA373" s="10">
        <f t="shared" si="207"/>
        <v>7073.6620000000003</v>
      </c>
      <c r="AB373" s="3">
        <f t="shared" si="208"/>
        <v>14133.05</v>
      </c>
      <c r="AC373" s="3" cm="1">
        <f t="array" ref="AC373">100000000/LvacE(AA373)</f>
        <v>14133.052334868395</v>
      </c>
      <c r="AD373" s="10">
        <f t="shared" si="209"/>
        <v>5.9989912109787262E-3</v>
      </c>
      <c r="AE373" s="10" t="b">
        <f t="shared" si="210"/>
        <v>1</v>
      </c>
      <c r="AJ373" t="s">
        <v>4758</v>
      </c>
      <c r="AK373" t="s">
        <v>4808</v>
      </c>
      <c r="AL373">
        <v>12846.66</v>
      </c>
      <c r="AM373">
        <v>26979.66</v>
      </c>
      <c r="AN373" s="10" cm="1">
        <f t="array" ref="AN373">Lair(100000000/($AM373-$AL373))</f>
        <v>7073.688211336842</v>
      </c>
      <c r="AO373" s="10">
        <f t="shared" si="271"/>
        <v>7075.6385763815188</v>
      </c>
      <c r="AP373" s="12">
        <v>154000</v>
      </c>
      <c r="AQ373" s="3">
        <v>2.3E-2</v>
      </c>
      <c r="AR373" s="3"/>
      <c r="AS373" s="13">
        <f t="shared" si="273"/>
        <v>0.25404961694010375</v>
      </c>
      <c r="AT373" s="3"/>
      <c r="AU373" s="3" cm="1">
        <f t="array" ref="AU373">$C373*EXP(poly_from_str($AO373,AU$4341))</f>
        <v>0.31832339041183327</v>
      </c>
    </row>
    <row r="374" spans="1:48" x14ac:dyDescent="0.25">
      <c r="A374" t="s">
        <v>651</v>
      </c>
      <c r="B374" s="2" t="str">
        <f t="shared" si="206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267"/>
        <v>o</v>
      </c>
      <c r="N374" t="str">
        <f t="shared" si="268"/>
        <v>3/2</v>
      </c>
      <c r="O374">
        <v>23532.86</v>
      </c>
      <c r="P374" t="str">
        <f t="shared" si="269"/>
        <v>e</v>
      </c>
      <c r="Q374" t="str">
        <f t="shared" si="270"/>
        <v>5/2</v>
      </c>
      <c r="R374">
        <v>5</v>
      </c>
      <c r="S374" t="s">
        <v>429</v>
      </c>
      <c r="AA374" s="10">
        <f t="shared" si="207"/>
        <v>7059.098</v>
      </c>
      <c r="AB374" s="3">
        <f t="shared" si="208"/>
        <v>14162.21</v>
      </c>
      <c r="AC374" s="3" cm="1">
        <f t="array" ref="AC374">100000000/LvacE(AA374)</f>
        <v>14162.210800490588</v>
      </c>
      <c r="AD374" s="10">
        <f t="shared" si="209"/>
        <v>6.0031175938123106E-3</v>
      </c>
      <c r="AE374" s="10" t="b">
        <f t="shared" si="210"/>
        <v>1</v>
      </c>
      <c r="AJ374" t="s">
        <v>4967</v>
      </c>
      <c r="AK374" t="s">
        <v>4756</v>
      </c>
      <c r="AL374">
        <v>9370.66</v>
      </c>
      <c r="AM374">
        <v>23532.86</v>
      </c>
      <c r="AN374" s="10" cm="1">
        <f t="array" ref="AN374">Lair(100000000/($AM374-$AL374))</f>
        <v>7059.1034006146101</v>
      </c>
      <c r="AO374" s="10">
        <f t="shared" si="271"/>
        <v>7061.0498368897488</v>
      </c>
      <c r="AU374" s="3" cm="1">
        <f t="array" ref="AU374">$C374*EXP(poly_from_str($AO374,AU$4341))</f>
        <v>0.39822541449405996</v>
      </c>
    </row>
    <row r="375" spans="1:48" x14ac:dyDescent="0.25">
      <c r="A375" t="s">
        <v>653</v>
      </c>
      <c r="B375" s="2" t="str">
        <f t="shared" si="206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267"/>
        <v>o</v>
      </c>
      <c r="N375" t="str">
        <f t="shared" si="268"/>
        <v>5/2</v>
      </c>
      <c r="O375">
        <v>24309.200000000001</v>
      </c>
      <c r="P375" t="str">
        <f t="shared" si="269"/>
        <v>e</v>
      </c>
      <c r="Q375" t="str">
        <f t="shared" si="270"/>
        <v>3/2</v>
      </c>
      <c r="R375">
        <v>5</v>
      </c>
      <c r="S375" t="s">
        <v>655</v>
      </c>
      <c r="AA375" s="10">
        <f t="shared" si="207"/>
        <v>7054.7150000000001</v>
      </c>
      <c r="AB375" s="3">
        <f t="shared" si="208"/>
        <v>14171.01</v>
      </c>
      <c r="AC375" s="3" cm="1">
        <f t="array" ref="AC375">100000000/LvacE(AA375)</f>
        <v>14171.009536473415</v>
      </c>
      <c r="AD375" s="10">
        <f t="shared" si="209"/>
        <v>6.0043644241102173E-3</v>
      </c>
      <c r="AE375" s="10" t="b">
        <f t="shared" si="210"/>
        <v>1</v>
      </c>
      <c r="AJ375" t="s">
        <v>4715</v>
      </c>
      <c r="AK375" t="s">
        <v>4749</v>
      </c>
      <c r="AL375">
        <v>10138.18</v>
      </c>
      <c r="AM375">
        <v>24309.200000000001</v>
      </c>
      <c r="AN375" s="10" cm="1">
        <f t="array" ref="AN375">Lair(100000000/($AM375-$AL375))</f>
        <v>7054.7098080256892</v>
      </c>
      <c r="AO375" s="10">
        <f t="shared" si="271"/>
        <v>7056.6550608213101</v>
      </c>
      <c r="AU375" s="3" cm="1">
        <f t="array" ref="AU375">$C375*EXP(poly_from_str($AO375,AU$4341))</f>
        <v>1.195005773971463</v>
      </c>
    </row>
    <row r="376" spans="1:48" x14ac:dyDescent="0.25">
      <c r="A376" t="s">
        <v>656</v>
      </c>
      <c r="B376" s="2" t="str">
        <f t="shared" si="206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267"/>
        <v>o</v>
      </c>
      <c r="N376" t="str">
        <f t="shared" si="268"/>
        <v>7/2</v>
      </c>
      <c r="O376">
        <v>25033.91</v>
      </c>
      <c r="P376" t="str">
        <f t="shared" si="269"/>
        <v>e</v>
      </c>
      <c r="Q376" t="str">
        <f t="shared" si="270"/>
        <v>9/2</v>
      </c>
      <c r="R376">
        <v>5</v>
      </c>
      <c r="AA376" s="10">
        <f t="shared" si="207"/>
        <v>7052.8029999999999</v>
      </c>
      <c r="AB376" s="3">
        <f t="shared" si="208"/>
        <v>14174.85</v>
      </c>
      <c r="AC376" s="3" cm="1">
        <f t="array" ref="AC376">100000000/LvacE(AA376)</f>
        <v>14174.851242755332</v>
      </c>
      <c r="AD376" s="10">
        <f t="shared" si="209"/>
        <v>6.0049090583386023E-3</v>
      </c>
      <c r="AE376" s="10" t="b">
        <f t="shared" si="210"/>
        <v>1</v>
      </c>
      <c r="AJ376" t="s">
        <v>4817</v>
      </c>
      <c r="AK376" t="s">
        <v>4746</v>
      </c>
      <c r="AL376">
        <v>10859.06</v>
      </c>
      <c r="AM376">
        <v>25033.91</v>
      </c>
      <c r="AN376" s="10" cm="1">
        <f t="array" ref="AN376">Lair(100000000/($AM376-$AL376))</f>
        <v>7052.8036354168444</v>
      </c>
      <c r="AO376" s="10">
        <f t="shared" si="271"/>
        <v>7054.7483747623428</v>
      </c>
      <c r="AU376" s="3" cm="1">
        <f t="array" ref="AU376">$C376*EXP(poly_from_str($AO376,AU$4341))</f>
        <v>7.9676964959472601E-2</v>
      </c>
    </row>
    <row r="377" spans="1:48" x14ac:dyDescent="0.25">
      <c r="A377" t="s">
        <v>658</v>
      </c>
      <c r="B377" s="2" t="str">
        <f t="shared" si="206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207"/>
        <v>7036.2619999999997</v>
      </c>
      <c r="AB377" s="3">
        <f t="shared" si="208"/>
        <v>14208.17</v>
      </c>
      <c r="AC377" s="3" cm="1">
        <f t="array" ref="AC377">100000000/LvacE(AA377)</f>
        <v>14208.173582772648</v>
      </c>
      <c r="AD377" s="10">
        <f t="shared" si="209"/>
        <v>6.0096393214730103E-3</v>
      </c>
      <c r="AE377" s="10" t="b">
        <f t="shared" si="210"/>
        <v>1</v>
      </c>
      <c r="AP377"/>
      <c r="AQ377"/>
      <c r="AU377" s="3" cm="1">
        <f t="array" ref="AU377">$C377*EXP(poly_from_str(100000000/$E377,AU$4341))</f>
        <v>7.9772837118697149E-2</v>
      </c>
    </row>
    <row r="378" spans="1:48" x14ac:dyDescent="0.25">
      <c r="A378" t="s">
        <v>660</v>
      </c>
      <c r="B378" s="2" t="str">
        <f t="shared" si="206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207"/>
        <v>7033.317</v>
      </c>
      <c r="AB378" s="3">
        <f t="shared" si="208"/>
        <v>14214.12</v>
      </c>
      <c r="AC378" s="3" cm="1">
        <f t="array" ref="AC378">100000000/LvacE(AA378)</f>
        <v>14214.12281029539</v>
      </c>
      <c r="AD378" s="10">
        <f t="shared" si="209"/>
        <v>6.010485010862968E-3</v>
      </c>
      <c r="AE378" s="10" t="b">
        <f t="shared" si="210"/>
        <v>1</v>
      </c>
      <c r="AP378"/>
      <c r="AQ378"/>
      <c r="AU378" s="3" cm="1">
        <f t="array" ref="AU378">$C378*EXP(poly_from_str(100000000/$E378,AU$4341))</f>
        <v>0.3191671564063967</v>
      </c>
    </row>
    <row r="379" spans="1:48" x14ac:dyDescent="0.25">
      <c r="A379" t="s">
        <v>662</v>
      </c>
      <c r="B379" s="2" t="str">
        <f t="shared" si="206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207"/>
        <v>7030.3879999999999</v>
      </c>
      <c r="AB379" s="3">
        <f t="shared" si="208"/>
        <v>14220.04</v>
      </c>
      <c r="AC379" s="3" cm="1">
        <f t="array" ref="AC379">100000000/LvacE(AA379)</f>
        <v>14220.044659658011</v>
      </c>
      <c r="AD379" s="10">
        <f t="shared" si="209"/>
        <v>6.0113271600129338E-3</v>
      </c>
      <c r="AE379" s="10" t="b">
        <f t="shared" si="210"/>
        <v>1</v>
      </c>
      <c r="AJ379" t="s">
        <v>4977</v>
      </c>
      <c r="AK379" t="s">
        <v>4729</v>
      </c>
      <c r="AL379">
        <v>2893.14</v>
      </c>
      <c r="AM379">
        <v>17113.189999999999</v>
      </c>
      <c r="AN379" s="10" cm="1">
        <f t="array" ref="AN379">Lair(100000000/($AM379-$AL379))</f>
        <v>7030.3853766346347</v>
      </c>
      <c r="AO379" s="10">
        <f>100000000/($AM379-$AL379)</f>
        <v>7032.3240776227931</v>
      </c>
      <c r="AP379" s="12">
        <v>22400000</v>
      </c>
      <c r="AQ379" s="3">
        <v>0.79300000000000004</v>
      </c>
      <c r="AR379" s="3">
        <f>LN(AU379*100000000/($AM379-$AL379)/AP379)</f>
        <v>-3.6866347171817031</v>
      </c>
      <c r="AS379" s="13">
        <f>EXP(AR$4341*$AM379+AR$4342)*$AP379/(100000000/($AM379-$AL379))</f>
        <v>77.962270944063988</v>
      </c>
      <c r="AT379" s="3">
        <f>LN(AS379/$C379)</f>
        <v>-4.1609681875953894</v>
      </c>
      <c r="AU379" s="3" cm="1">
        <f t="array" ref="AU379">$C379*EXP(poly_from_str($AO379,AU$4341))</f>
        <v>79.811234297430701</v>
      </c>
      <c r="AV379" s="13">
        <f>LN(AS379/AU379)</f>
        <v>-2.343927139580454E-2</v>
      </c>
    </row>
    <row r="380" spans="1:48" x14ac:dyDescent="0.25">
      <c r="A380" t="s">
        <v>664</v>
      </c>
      <c r="B380" s="2" t="str">
        <f t="shared" si="206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207"/>
        <v>7027.4629999999997</v>
      </c>
      <c r="AB380" s="3">
        <f t="shared" si="208"/>
        <v>14225.96</v>
      </c>
      <c r="AC380" s="3" cm="1">
        <f t="array" ref="AC380">100000000/LvacE(AA380)</f>
        <v>14225.963348043566</v>
      </c>
      <c r="AD380" s="10">
        <f t="shared" si="209"/>
        <v>6.0121692101433736E-3</v>
      </c>
      <c r="AE380" s="10" t="b">
        <f t="shared" si="210"/>
        <v>1</v>
      </c>
      <c r="AP380"/>
      <c r="AQ380"/>
      <c r="AU380" s="3" cm="1">
        <f t="array" ref="AU380">$C380*EXP(poly_from_str(100000000/$E380,AU$4341))</f>
        <v>0.31932467547650434</v>
      </c>
    </row>
    <row r="381" spans="1:48" x14ac:dyDescent="0.25">
      <c r="A381" t="s">
        <v>666</v>
      </c>
      <c r="B381" s="2" t="str">
        <f t="shared" si="206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207"/>
        <v>7019.0129999999999</v>
      </c>
      <c r="AB381" s="3">
        <f t="shared" si="208"/>
        <v>14243.09</v>
      </c>
      <c r="AC381" s="3" cm="1">
        <f t="array" ref="AC381">100000000/LvacE(AA381)</f>
        <v>14243.089490573791</v>
      </c>
      <c r="AD381" s="10">
        <f t="shared" si="209"/>
        <v>6.0146077155416146E-3</v>
      </c>
      <c r="AE381" s="10" t="b">
        <f t="shared" si="210"/>
        <v>1</v>
      </c>
      <c r="AP381"/>
      <c r="AQ381"/>
      <c r="AU381" s="3" cm="1">
        <f t="array" ref="AU381">$C381*EXP(poly_from_str(100000000/$E381,AU$4341))</f>
        <v>0.39946047666715895</v>
      </c>
    </row>
    <row r="382" spans="1:48" x14ac:dyDescent="0.25">
      <c r="A382" t="s">
        <v>668</v>
      </c>
      <c r="B382" s="2" t="str">
        <f t="shared" si="206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276">$G382&amp;""</f>
        <v>o</v>
      </c>
      <c r="N382" t="str">
        <f t="shared" ref="N382:N387" si="277">$H382&amp;""</f>
        <v>5/2</v>
      </c>
      <c r="O382">
        <v>24461.24</v>
      </c>
      <c r="P382" t="str">
        <f t="shared" ref="P382:P387" si="278">$J382&amp;""</f>
        <v>e</v>
      </c>
      <c r="Q382" t="str">
        <f t="shared" ref="Q382:Q387" si="279">$K382&amp;""</f>
        <v>5/2</v>
      </c>
      <c r="R382">
        <v>5</v>
      </c>
      <c r="S382" t="s">
        <v>420</v>
      </c>
      <c r="AA382" s="10">
        <f t="shared" si="207"/>
        <v>6979.83</v>
      </c>
      <c r="AB382" s="3">
        <f t="shared" si="208"/>
        <v>14323.05</v>
      </c>
      <c r="AC382" s="3" cm="1">
        <f t="array" ref="AC382">100000000/LvacE(AA382)</f>
        <v>14323.046072939758</v>
      </c>
      <c r="AD382" s="10">
        <f t="shared" si="209"/>
        <v>6.0260311549808349E-3</v>
      </c>
      <c r="AE382" s="10" t="b">
        <f t="shared" si="210"/>
        <v>1</v>
      </c>
      <c r="AJ382" t="s">
        <v>4715</v>
      </c>
      <c r="AK382" t="s">
        <v>4717</v>
      </c>
      <c r="AL382">
        <v>10138.18</v>
      </c>
      <c r="AM382">
        <v>24461.24</v>
      </c>
      <c r="AN382" s="10" cm="1">
        <f t="array" ref="AN382">Lair(100000000/($AM382-$AL382))</f>
        <v>6979.8232296651104</v>
      </c>
      <c r="AO382" s="10">
        <f t="shared" ref="AO382:AO387" si="280">100000000/($AM382-$AL382)</f>
        <v>6981.7483135586945</v>
      </c>
      <c r="AU382" s="3" cm="1">
        <f t="array" ref="AU382">$C382*EXP(poly_from_str($AO382,AU$4341))</f>
        <v>1.6047917243526924</v>
      </c>
    </row>
    <row r="383" spans="1:48" x14ac:dyDescent="0.25">
      <c r="A383" t="s">
        <v>670</v>
      </c>
      <c r="B383" s="2" t="str">
        <f t="shared" si="206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276"/>
        <v>o</v>
      </c>
      <c r="N383" t="str">
        <f t="shared" si="277"/>
        <v>5/2</v>
      </c>
      <c r="O383">
        <v>24470.9</v>
      </c>
      <c r="P383" t="str">
        <f t="shared" si="278"/>
        <v>e</v>
      </c>
      <c r="Q383" t="str">
        <f t="shared" si="279"/>
        <v>7/2</v>
      </c>
      <c r="R383">
        <v>5</v>
      </c>
      <c r="S383" t="s">
        <v>420</v>
      </c>
      <c r="AA383" s="10">
        <f t="shared" si="207"/>
        <v>6975.1180000000004</v>
      </c>
      <c r="AB383" s="3">
        <f t="shared" si="208"/>
        <v>14332.72</v>
      </c>
      <c r="AC383" s="3" cm="1">
        <f t="array" ref="AC383">100000000/LvacE(AA383)</f>
        <v>14332.721859522833</v>
      </c>
      <c r="AD383" s="10">
        <f t="shared" si="209"/>
        <v>6.0274178773407731E-3</v>
      </c>
      <c r="AE383" s="10" t="b">
        <f t="shared" si="210"/>
        <v>1</v>
      </c>
      <c r="AJ383" t="s">
        <v>4715</v>
      </c>
      <c r="AK383" t="s">
        <v>4747</v>
      </c>
      <c r="AL383">
        <v>10138.18</v>
      </c>
      <c r="AM383">
        <v>24470.9</v>
      </c>
      <c r="AN383" s="10" cm="1">
        <f t="array" ref="AN383">Lair(100000000/($AM383-$AL383))</f>
        <v>6975.1189214858787</v>
      </c>
      <c r="AO383" s="10">
        <f t="shared" si="280"/>
        <v>6977.042738572999</v>
      </c>
      <c r="AU383" s="3" cm="1">
        <f t="array" ref="AU383">$C383*EXP(poly_from_str($AO383,AU$4341))</f>
        <v>8.0288726633162291E-2</v>
      </c>
    </row>
    <row r="384" spans="1:48" x14ac:dyDescent="0.25">
      <c r="A384" t="s">
        <v>672</v>
      </c>
      <c r="B384" s="2" t="str">
        <f t="shared" si="206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276"/>
        <v>o</v>
      </c>
      <c r="N384" t="str">
        <f t="shared" si="277"/>
        <v>9/2</v>
      </c>
      <c r="O384">
        <v>26095.23</v>
      </c>
      <c r="P384" t="str">
        <f t="shared" si="278"/>
        <v>e</v>
      </c>
      <c r="Q384" t="str">
        <f t="shared" si="279"/>
        <v>11/2</v>
      </c>
      <c r="R384">
        <v>6</v>
      </c>
      <c r="S384" t="s">
        <v>6</v>
      </c>
      <c r="AA384" s="10">
        <f t="shared" si="207"/>
        <v>6974.73</v>
      </c>
      <c r="AB384" s="3">
        <f t="shared" si="208"/>
        <v>14333.52</v>
      </c>
      <c r="AC384" s="3" cm="1">
        <f t="array" ref="AC384">100000000/LvacE(AA384)</f>
        <v>14333.519174947967</v>
      </c>
      <c r="AD384" s="10">
        <f t="shared" si="209"/>
        <v>6.0275321894143552E-3</v>
      </c>
      <c r="AE384" s="10" t="b">
        <f t="shared" si="210"/>
        <v>1</v>
      </c>
      <c r="AJ384" t="s">
        <v>4695</v>
      </c>
      <c r="AK384" t="s">
        <v>4738</v>
      </c>
      <c r="AL384">
        <v>11761.69</v>
      </c>
      <c r="AM384">
        <v>26095.23</v>
      </c>
      <c r="AN384" s="10" cm="1">
        <f t="array" ref="AN384">Lair(100000000/($AM384-$AL384))</f>
        <v>6974.7198829482868</v>
      </c>
      <c r="AO384" s="10">
        <f t="shared" si="280"/>
        <v>6976.6435925807582</v>
      </c>
      <c r="AU384" s="3" cm="1">
        <f t="array" ref="AU384">$C384*EXP(poly_from_str($AO384,AU$4341))</f>
        <v>8.0292970218340518E-2</v>
      </c>
    </row>
    <row r="385" spans="1:48" x14ac:dyDescent="0.25">
      <c r="A385" t="s">
        <v>673</v>
      </c>
      <c r="B385" s="2" t="str">
        <f t="shared" si="206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276"/>
        <v>o</v>
      </c>
      <c r="N385" t="str">
        <f t="shared" si="277"/>
        <v>13/2</v>
      </c>
      <c r="O385">
        <v>39725.99</v>
      </c>
      <c r="P385" t="str">
        <f t="shared" si="278"/>
        <v>e</v>
      </c>
      <c r="Q385" t="str">
        <f t="shared" si="279"/>
        <v>15/2</v>
      </c>
      <c r="R385">
        <v>6</v>
      </c>
      <c r="AA385" s="10">
        <f t="shared" si="207"/>
        <v>6974.3649999999998</v>
      </c>
      <c r="AB385" s="3">
        <f t="shared" si="208"/>
        <v>14334.27</v>
      </c>
      <c r="AC385" s="3" cm="1">
        <f t="array" ref="AC385">100000000/LvacE(AA385)</f>
        <v>14334.269307809758</v>
      </c>
      <c r="AD385" s="10">
        <f t="shared" si="209"/>
        <v>6.0276397426726131E-3</v>
      </c>
      <c r="AE385" s="10" t="b">
        <f t="shared" si="210"/>
        <v>1</v>
      </c>
      <c r="AJ385" t="s">
        <v>4984</v>
      </c>
      <c r="AK385" t="s">
        <v>4745</v>
      </c>
      <c r="AL385">
        <v>25391.75</v>
      </c>
      <c r="AM385">
        <v>39725.99</v>
      </c>
      <c r="AN385" s="10" cm="1">
        <f t="array" ref="AN385">Lair(100000000/($AM385-$AL385))</f>
        <v>6974.3792764157988</v>
      </c>
      <c r="AO385" s="10">
        <f t="shared" si="280"/>
        <v>6976.3028943285462</v>
      </c>
      <c r="AP385" s="12">
        <v>534000</v>
      </c>
      <c r="AQ385" s="3">
        <v>0.248</v>
      </c>
      <c r="AR385" s="3">
        <f t="shared" ref="AR385:AR386" si="281">LN(AU385*100000000/($AM385-$AL385)/AP385)</f>
        <v>-5.2504667996909893</v>
      </c>
      <c r="AS385" s="13">
        <f t="shared" ref="AS385:AS387" si="282">EXP(AR$4341*$AM385+AR$4342)*$AP385/(100000000/($AM385-$AL385))</f>
        <v>0.34327801297485216</v>
      </c>
      <c r="AT385" s="3">
        <f t="shared" ref="AT385:AT386" si="283">LN(AS385/$C385)</f>
        <v>-4.2880904515348695</v>
      </c>
      <c r="AU385" s="3" cm="1">
        <f t="array" ref="AU385">$C385*EXP(poly_from_str($AO385,AU$4341))</f>
        <v>0.4014830087652228</v>
      </c>
      <c r="AV385" s="13">
        <f t="shared" ref="AV385:AV386" si="284">LN(AS385/AU385)</f>
        <v>-0.15662456078662396</v>
      </c>
    </row>
    <row r="386" spans="1:48" x14ac:dyDescent="0.25">
      <c r="A386" t="s">
        <v>674</v>
      </c>
      <c r="B386" s="2" t="str">
        <f t="shared" si="206"/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276"/>
        <v>o</v>
      </c>
      <c r="N386" t="str">
        <f t="shared" si="277"/>
        <v>13/2</v>
      </c>
      <c r="O386">
        <v>39732.99</v>
      </c>
      <c r="P386" t="str">
        <f t="shared" si="278"/>
        <v>e</v>
      </c>
      <c r="Q386" t="str">
        <f t="shared" si="279"/>
        <v>11/2</v>
      </c>
      <c r="R386">
        <v>6</v>
      </c>
      <c r="AA386" s="10">
        <f t="shared" si="207"/>
        <v>6970.9650000000001</v>
      </c>
      <c r="AB386" s="3">
        <f t="shared" si="208"/>
        <v>14341.26</v>
      </c>
      <c r="AC386" s="3" cm="1">
        <f t="array" ref="AC386">100000000/LvacE(AA386)</f>
        <v>14341.26062071</v>
      </c>
      <c r="AD386" s="10">
        <f t="shared" si="209"/>
        <v>6.0286424204331829E-3</v>
      </c>
      <c r="AE386" s="10" t="b">
        <f t="shared" si="210"/>
        <v>1</v>
      </c>
      <c r="AJ386" t="s">
        <v>4984</v>
      </c>
      <c r="AK386" t="s">
        <v>4725</v>
      </c>
      <c r="AL386">
        <v>25391.75</v>
      </c>
      <c r="AM386">
        <v>39732.99</v>
      </c>
      <c r="AN386" s="10" cm="1">
        <f t="array" ref="AN386">Lair(100000000/($AM386-$AL386))</f>
        <v>6970.9750398456681</v>
      </c>
      <c r="AO386" s="10">
        <f t="shared" si="280"/>
        <v>6972.8977410600492</v>
      </c>
      <c r="AP386" s="12">
        <v>26900000</v>
      </c>
      <c r="AQ386" s="3">
        <v>0.9</v>
      </c>
      <c r="AR386" s="3">
        <f t="shared" si="281"/>
        <v>-6.1742506519439395</v>
      </c>
      <c r="AS386" s="13">
        <f t="shared" si="282"/>
        <v>17.291827562292212</v>
      </c>
      <c r="AT386" s="3">
        <f t="shared" si="283"/>
        <v>-3.364374103775468</v>
      </c>
      <c r="AU386" s="3" cm="1">
        <f t="array" ref="AU386">$C386*EXP(poly_from_str($AO386,AU$4341))</f>
        <v>8.0333371786586323</v>
      </c>
      <c r="AV386" s="13">
        <f t="shared" si="284"/>
        <v>0.76663396414713969</v>
      </c>
    </row>
    <row r="387" spans="1:48" x14ac:dyDescent="0.25">
      <c r="A387" t="s">
        <v>675</v>
      </c>
      <c r="B387" s="2" t="str">
        <f t="shared" ref="B387:B450" si="285">IF(OR(A387=A386,A387=A388),IF(B386="",1,B386+1),"")</f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276"/>
        <v>o</v>
      </c>
      <c r="N387" t="str">
        <f t="shared" si="277"/>
        <v>11/2</v>
      </c>
      <c r="O387">
        <v>38701.589999999997</v>
      </c>
      <c r="P387" t="str">
        <f t="shared" si="278"/>
        <v>e</v>
      </c>
      <c r="Q387" t="str">
        <f t="shared" si="279"/>
        <v>13/2</v>
      </c>
      <c r="R387">
        <v>6</v>
      </c>
      <c r="AA387" s="10">
        <f t="shared" ref="AA387:AA450" si="286">ROUND($A387,3)+0</f>
        <v>6969.8180000000002</v>
      </c>
      <c r="AB387" s="3">
        <f t="shared" ref="AB387:AB450" si="287">ROUND($E387,2)+0</f>
        <v>14343.62</v>
      </c>
      <c r="AC387" s="3" cm="1">
        <f t="array" ref="AC387">100000000/LvacE(AA387)</f>
        <v>14343.620699338631</v>
      </c>
      <c r="AD387" s="10">
        <f t="shared" ref="AD387:AD450" si="288">0.0005/$AA387*AC387+0.005</f>
        <v>6.0289810077780101E-3</v>
      </c>
      <c r="AE387" s="10" t="b">
        <f t="shared" ref="AE387:AE450" si="289">ABS(AB387-AC387)&lt;AD387</f>
        <v>1</v>
      </c>
      <c r="AJ387" t="s">
        <v>4987</v>
      </c>
      <c r="AK387" t="s">
        <v>4751</v>
      </c>
      <c r="AL387">
        <v>24357.98</v>
      </c>
      <c r="AM387">
        <v>38701.589999999997</v>
      </c>
      <c r="AN387" s="10" cm="1">
        <f t="array" ref="AN387">Lair(100000000/($AM387-$AL387))</f>
        <v>6969.8232155283149</v>
      </c>
      <c r="AO387" s="10">
        <f t="shared" si="280"/>
        <v>6971.7456065802135</v>
      </c>
      <c r="AP387" s="12">
        <v>269000</v>
      </c>
      <c r="AQ387" s="3">
        <v>2.4E-2</v>
      </c>
      <c r="AR387" s="3"/>
      <c r="AS387" s="13">
        <f t="shared" si="282"/>
        <v>0.18686521093339883</v>
      </c>
      <c r="AT387" s="3"/>
      <c r="AU387" s="3" cm="1">
        <f t="array" ref="AU387">$C387*EXP(poly_from_str($AO387,AU$4341))</f>
        <v>0.40173004362931686</v>
      </c>
    </row>
    <row r="388" spans="1:48" x14ac:dyDescent="0.25">
      <c r="A388" t="s">
        <v>676</v>
      </c>
      <c r="B388" s="2" t="str">
        <f t="shared" si="285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286"/>
        <v>6951.7510000000002</v>
      </c>
      <c r="AB388" s="3">
        <f t="shared" si="287"/>
        <v>14380.9</v>
      </c>
      <c r="AC388" s="3" cm="1">
        <f t="array" ref="AC388">100000000/LvacE(AA388)</f>
        <v>14380.89828535569</v>
      </c>
      <c r="AD388" s="10">
        <f t="shared" si="288"/>
        <v>6.0343364057023688E-3</v>
      </c>
      <c r="AE388" s="10" t="b">
        <f t="shared" si="289"/>
        <v>1</v>
      </c>
      <c r="AP388"/>
      <c r="AQ388"/>
      <c r="AU388" s="3" cm="1">
        <f t="array" ref="AU388">$C388*EXP(poly_from_str(100000000/$E388,AU$4341))</f>
        <v>0.56390207368881917</v>
      </c>
    </row>
    <row r="389" spans="1:48" x14ac:dyDescent="0.25">
      <c r="A389" t="s">
        <v>677</v>
      </c>
      <c r="B389" s="2" t="str">
        <f t="shared" si="285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290">$G389&amp;""</f>
        <v>o</v>
      </c>
      <c r="N389" t="str">
        <f t="shared" ref="N389:N391" si="291">$H389&amp;""</f>
        <v>13/2</v>
      </c>
      <c r="O389">
        <v>30505.72</v>
      </c>
      <c r="P389" t="str">
        <f t="shared" ref="P389:P391" si="292">$J389&amp;""</f>
        <v>e</v>
      </c>
      <c r="Q389" t="str">
        <f t="shared" ref="Q389:Q391" si="293">$K389&amp;""</f>
        <v>11/2</v>
      </c>
      <c r="R389">
        <v>6</v>
      </c>
      <c r="AA389" s="10">
        <f t="shared" si="286"/>
        <v>6934.5510000000004</v>
      </c>
      <c r="AB389" s="3">
        <f t="shared" si="287"/>
        <v>14416.57</v>
      </c>
      <c r="AC389" s="3" cm="1">
        <f t="array" ref="AC389">100000000/LvacE(AA389)</f>
        <v>14416.567475773081</v>
      </c>
      <c r="AD389" s="10">
        <f t="shared" si="288"/>
        <v>6.0394737507715414E-3</v>
      </c>
      <c r="AE389" s="10" t="b">
        <f t="shared" si="289"/>
        <v>1</v>
      </c>
      <c r="AJ389" t="s">
        <v>4988</v>
      </c>
      <c r="AK389" t="s">
        <v>4706</v>
      </c>
      <c r="AL389">
        <v>16089.14</v>
      </c>
      <c r="AM389">
        <v>30505.72</v>
      </c>
      <c r="AN389" s="10" cm="1">
        <f t="array" ref="AN389">Lair(100000000/($AM389-$AL389))</f>
        <v>6934.5449919015</v>
      </c>
      <c r="AO389" s="10">
        <f t="shared" ref="AO389:AO391" si="294">100000000/($AM389-$AL389)</f>
        <v>6936.4578839086653</v>
      </c>
      <c r="AU389" s="3" cm="1">
        <f t="array" ref="AU389">$C389*EXP(poly_from_str($AO389,AU$4341))</f>
        <v>2.4234662646927876</v>
      </c>
    </row>
    <row r="390" spans="1:48" x14ac:dyDescent="0.25">
      <c r="A390" t="s">
        <v>678</v>
      </c>
      <c r="B390" s="2" t="str">
        <f t="shared" si="285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290"/>
        <v>e</v>
      </c>
      <c r="N390" t="str">
        <f t="shared" si="291"/>
        <v>9/2</v>
      </c>
      <c r="O390">
        <v>39225.599999999999</v>
      </c>
      <c r="P390" t="str">
        <f t="shared" si="292"/>
        <v>o</v>
      </c>
      <c r="Q390" t="str">
        <f t="shared" si="293"/>
        <v>9/2</v>
      </c>
      <c r="R390">
        <v>6</v>
      </c>
      <c r="S390" t="s">
        <v>159</v>
      </c>
      <c r="AA390" s="10">
        <f t="shared" si="286"/>
        <v>6924.4660000000003</v>
      </c>
      <c r="AB390" s="3">
        <f t="shared" si="287"/>
        <v>14437.56</v>
      </c>
      <c r="AC390" s="3" cm="1">
        <f t="array" ref="AC390">100000000/LvacE(AA390)</f>
        <v>14437.564058211448</v>
      </c>
      <c r="AD390" s="10">
        <f t="shared" si="288"/>
        <v>6.0425037871665085E-3</v>
      </c>
      <c r="AE390" s="10" t="b">
        <f t="shared" si="289"/>
        <v>1</v>
      </c>
      <c r="AJ390" t="s">
        <v>4705</v>
      </c>
      <c r="AK390" t="s">
        <v>4714</v>
      </c>
      <c r="AL390">
        <v>24788.02</v>
      </c>
      <c r="AM390">
        <v>39225.599999999999</v>
      </c>
      <c r="AN390" s="10" cm="1">
        <f t="array" ref="AN390">Lair(100000000/($AM390-$AL390))</f>
        <v>6924.4583702207738</v>
      </c>
      <c r="AO390" s="10">
        <f t="shared" si="294"/>
        <v>6926.3685465292665</v>
      </c>
      <c r="AP390" s="12">
        <v>609000</v>
      </c>
      <c r="AQ390" s="3">
        <v>2.3E-2</v>
      </c>
      <c r="AR390" s="3"/>
      <c r="AS390" s="13">
        <f t="shared" ref="AS390:AS391" si="295">EXP(AR$4341*$AM390+AR$4342)*$AP390/(100000000/($AM390-$AL390))</f>
        <v>0.40940266297945066</v>
      </c>
      <c r="AT390" s="3"/>
      <c r="AU390" s="3" cm="1">
        <f t="array" ref="AU390">$C390*EXP(poly_from_str($AO390,AU$4341))</f>
        <v>0.32369975140867058</v>
      </c>
    </row>
    <row r="391" spans="1:48" x14ac:dyDescent="0.25">
      <c r="A391" t="s">
        <v>679</v>
      </c>
      <c r="B391" s="2" t="str">
        <f t="shared" si="285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290"/>
        <v>o</v>
      </c>
      <c r="N391" t="str">
        <f t="shared" si="291"/>
        <v>9/2</v>
      </c>
      <c r="O391">
        <v>24470.9</v>
      </c>
      <c r="P391" t="str">
        <f t="shared" si="292"/>
        <v>e</v>
      </c>
      <c r="Q391" t="str">
        <f t="shared" si="293"/>
        <v>7/2</v>
      </c>
      <c r="R391">
        <v>6</v>
      </c>
      <c r="S391" t="s">
        <v>6</v>
      </c>
      <c r="AA391" s="10">
        <f t="shared" si="286"/>
        <v>6924.2780000000002</v>
      </c>
      <c r="AB391" s="3">
        <f t="shared" si="287"/>
        <v>14437.96</v>
      </c>
      <c r="AC391" s="3" cm="1">
        <f t="array" ref="AC391">100000000/LvacE(AA391)</f>
        <v>14437.956047682826</v>
      </c>
      <c r="AD391" s="10">
        <f t="shared" si="288"/>
        <v>6.0425603974654709E-3</v>
      </c>
      <c r="AE391" s="10" t="b">
        <f t="shared" si="289"/>
        <v>1</v>
      </c>
      <c r="AJ391" t="s">
        <v>4812</v>
      </c>
      <c r="AK391" t="s">
        <v>4747</v>
      </c>
      <c r="AL391">
        <v>10032.92</v>
      </c>
      <c r="AM391">
        <v>24470.9</v>
      </c>
      <c r="AN391" s="10" cm="1">
        <f t="array" ref="AN391">Lair(100000000/($AM391-$AL391))</f>
        <v>6924.2665288621984</v>
      </c>
      <c r="AO391" s="10">
        <f t="shared" si="294"/>
        <v>6926.1766535207826</v>
      </c>
      <c r="AP391" s="12">
        <v>1820000</v>
      </c>
      <c r="AQ391" s="3">
        <v>0.13700000000000001</v>
      </c>
      <c r="AR391" s="3">
        <f>LN(AU391*100000000/($AM391-$AL391)/AP391)</f>
        <v>-5.37743234395864</v>
      </c>
      <c r="AS391" s="13">
        <f t="shared" si="295"/>
        <v>3.7026084002846118</v>
      </c>
      <c r="AT391" s="3">
        <f t="shared" ref="AT391" si="296">LN(AS391/$C391)</f>
        <v>-3.0084505692130112</v>
      </c>
      <c r="AU391" s="3" cm="1">
        <f t="array" ref="AU391">$C391*EXP(poly_from_str($AO391,AU$4341))</f>
        <v>1.2139159843581648</v>
      </c>
      <c r="AV391" s="13">
        <f>LN(AS391/AU391)</f>
        <v>1.1151860597165915</v>
      </c>
    </row>
    <row r="392" spans="1:48" x14ac:dyDescent="0.25">
      <c r="A392" t="s">
        <v>680</v>
      </c>
      <c r="B392" s="2" t="str">
        <f t="shared" si="285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286"/>
        <v>6915.5460000000003</v>
      </c>
      <c r="AB392" s="3">
        <f t="shared" si="287"/>
        <v>14456.19</v>
      </c>
      <c r="AC392" s="3" cm="1">
        <f t="array" ref="AC392">100000000/LvacE(AA392)</f>
        <v>14456.186191173992</v>
      </c>
      <c r="AD392" s="10">
        <f t="shared" si="288"/>
        <v>6.0451948545475649E-3</v>
      </c>
      <c r="AE392" s="10" t="b">
        <f t="shared" si="289"/>
        <v>1</v>
      </c>
      <c r="AP392"/>
      <c r="AQ392"/>
      <c r="AU392" s="3" cm="1">
        <f t="array" ref="AU392">$C392*EXP(poly_from_str(100000000/$E392,AU$4341))</f>
        <v>8.1057969792811602E-2</v>
      </c>
    </row>
    <row r="393" spans="1:48" x14ac:dyDescent="0.25">
      <c r="A393" t="s">
        <v>681</v>
      </c>
      <c r="B393" s="2" t="str">
        <f t="shared" si="285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286"/>
        <v>6913.0420000000004</v>
      </c>
      <c r="AB393" s="3">
        <f t="shared" si="287"/>
        <v>14461.42</v>
      </c>
      <c r="AC393" s="3" cm="1">
        <f t="array" ref="AC393">100000000/LvacE(AA393)</f>
        <v>14461.422388176954</v>
      </c>
      <c r="AD393" s="10">
        <f t="shared" si="288"/>
        <v>6.0459521573987948E-3</v>
      </c>
      <c r="AE393" s="10" t="b">
        <f t="shared" si="289"/>
        <v>1</v>
      </c>
      <c r="AP393"/>
      <c r="AQ393"/>
      <c r="AU393" s="3" cm="1">
        <f t="array" ref="AU393">$C393*EXP(poly_from_str(100000000/$E393,AU$4341))</f>
        <v>0.24328941525202821</v>
      </c>
    </row>
    <row r="394" spans="1:48" x14ac:dyDescent="0.25">
      <c r="A394" t="s">
        <v>682</v>
      </c>
      <c r="B394" s="2" t="str">
        <f t="shared" si="285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286"/>
        <v>6910.1440000000002</v>
      </c>
      <c r="AB394" s="3">
        <f t="shared" si="287"/>
        <v>14467.49</v>
      </c>
      <c r="AC394" s="3" cm="1">
        <f t="array" ref="AC394">100000000/LvacE(AA394)</f>
        <v>14467.487229010289</v>
      </c>
      <c r="AD394" s="10">
        <f t="shared" si="288"/>
        <v>6.0468296484856385E-3</v>
      </c>
      <c r="AE394" s="10" t="b">
        <f t="shared" si="289"/>
        <v>1</v>
      </c>
      <c r="AJ394" t="s">
        <v>4994</v>
      </c>
      <c r="AK394" t="s">
        <v>4741</v>
      </c>
      <c r="AL394">
        <v>4453.76</v>
      </c>
      <c r="AM394">
        <v>18921.240000000002</v>
      </c>
      <c r="AN394" s="10" cm="1">
        <f t="array" ref="AN394">Lair(100000000/($AM394-$AL394))</f>
        <v>6910.1474689128818</v>
      </c>
      <c r="AO394" s="10">
        <f>100000000/($AM394-$AL394)</f>
        <v>6912.0537923674328</v>
      </c>
      <c r="AP394" s="12">
        <v>28800000</v>
      </c>
      <c r="AQ394" s="3">
        <v>0.81499999999999995</v>
      </c>
      <c r="AR394" s="3">
        <f>LN(AU394*100000000/($AM394-$AL394)/AP394)</f>
        <v>-3.602194615134672</v>
      </c>
      <c r="AS394" s="13">
        <f>EXP(AR$4341*$AM394+AR$4342)*$AP394/(100000000/($AM394-$AL394))</f>
        <v>89.041412402799196</v>
      </c>
      <c r="AT394" s="3">
        <f>LN(AS394/$C394)</f>
        <v>-4.3645638586308397</v>
      </c>
      <c r="AU394" s="3" cm="1">
        <f t="array" ref="AU394">$C394*EXP(poly_from_str($AO394,AU$4341))</f>
        <v>113.59837902706852</v>
      </c>
      <c r="AV394" s="13">
        <f>LN(AS394/AU394)</f>
        <v>-0.24356766765071758</v>
      </c>
    </row>
    <row r="395" spans="1:48" x14ac:dyDescent="0.25">
      <c r="A395" t="s">
        <v>683</v>
      </c>
      <c r="B395" s="2" t="str">
        <f t="shared" si="285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286"/>
        <v>6907.2780000000002</v>
      </c>
      <c r="AB395" s="3">
        <f t="shared" si="287"/>
        <v>14473.49</v>
      </c>
      <c r="AC395" s="3" cm="1">
        <f t="array" ref="AC395">100000000/LvacE(AA395)</f>
        <v>14473.490106342741</v>
      </c>
      <c r="AD395" s="10">
        <f t="shared" si="288"/>
        <v>6.0476985366987356E-3</v>
      </c>
      <c r="AE395" s="10" t="b">
        <f t="shared" si="289"/>
        <v>1</v>
      </c>
      <c r="AP395"/>
      <c r="AQ395"/>
      <c r="AU395" s="3" cm="1">
        <f t="array" ref="AU395">$C395*EXP(poly_from_str(100000000/$E395,AU$4341))</f>
        <v>0.24356162407141682</v>
      </c>
    </row>
    <row r="396" spans="1:48" x14ac:dyDescent="0.25">
      <c r="A396" t="s">
        <v>684</v>
      </c>
      <c r="B396" s="2" t="str">
        <f t="shared" si="285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297">$G396&amp;""</f>
        <v>o</v>
      </c>
      <c r="N396" t="str">
        <f t="shared" ref="N396:N397" si="298">$H396&amp;""</f>
        <v>15/2</v>
      </c>
      <c r="O396">
        <v>39725.99</v>
      </c>
      <c r="P396" t="str">
        <f t="shared" ref="P396:P397" si="299">$J396&amp;""</f>
        <v>e</v>
      </c>
      <c r="Q396" t="str">
        <f t="shared" ref="Q396:Q397" si="300">$K396&amp;""</f>
        <v>15/2</v>
      </c>
      <c r="R396">
        <v>6</v>
      </c>
      <c r="AA396" s="10">
        <f t="shared" si="286"/>
        <v>6903.5219999999999</v>
      </c>
      <c r="AB396" s="3">
        <f t="shared" si="287"/>
        <v>14481.36</v>
      </c>
      <c r="AC396" s="3" cm="1">
        <f t="array" ref="AC396">100000000/LvacE(AA396)</f>
        <v>14481.364647305547</v>
      </c>
      <c r="AD396" s="10">
        <f t="shared" si="288"/>
        <v>6.0488388859560056E-3</v>
      </c>
      <c r="AE396" s="10" t="b">
        <f t="shared" si="289"/>
        <v>1</v>
      </c>
      <c r="AJ396" t="s">
        <v>4986</v>
      </c>
      <c r="AK396" t="s">
        <v>4745</v>
      </c>
      <c r="AL396">
        <v>25244.61</v>
      </c>
      <c r="AM396">
        <v>39725.99</v>
      </c>
      <c r="AN396" s="10" cm="1">
        <f t="array" ref="AN396">Lair(100000000/($AM396-$AL396))</f>
        <v>6903.5146970893666</v>
      </c>
      <c r="AO396" s="10">
        <f t="shared" ref="AO396:AO397" si="301">100000000/($AM396-$AL396)</f>
        <v>6905.4192349071718</v>
      </c>
      <c r="AU396" s="3" cm="1">
        <f t="array" ref="AU396">$C396*EXP(poly_from_str($AO396,AU$4341))</f>
        <v>8.1247944988610925</v>
      </c>
    </row>
    <row r="397" spans="1:48" x14ac:dyDescent="0.25">
      <c r="A397" t="s">
        <v>685</v>
      </c>
      <c r="B397" s="2" t="str">
        <f t="shared" si="285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297"/>
        <v>o</v>
      </c>
      <c r="N397" t="str">
        <f t="shared" si="298"/>
        <v>9/2</v>
      </c>
      <c r="O397">
        <v>31254.71</v>
      </c>
      <c r="P397" t="str">
        <f t="shared" si="299"/>
        <v>e</v>
      </c>
      <c r="Q397" t="str">
        <f t="shared" si="300"/>
        <v>7/2</v>
      </c>
      <c r="R397">
        <v>6</v>
      </c>
      <c r="AA397" s="10">
        <f t="shared" si="286"/>
        <v>6899.0590000000002</v>
      </c>
      <c r="AB397" s="3">
        <f t="shared" si="287"/>
        <v>14490.73</v>
      </c>
      <c r="AC397" s="3" cm="1">
        <f t="array" ref="AC397">100000000/LvacE(AA397)</f>
        <v>14490.732576963395</v>
      </c>
      <c r="AD397" s="10">
        <f t="shared" si="288"/>
        <v>6.0501963077111958E-3</v>
      </c>
      <c r="AE397" s="10" t="b">
        <f t="shared" si="289"/>
        <v>1</v>
      </c>
      <c r="AJ397" t="s">
        <v>4985</v>
      </c>
      <c r="AK397" t="s">
        <v>4735</v>
      </c>
      <c r="AL397">
        <v>16763.98</v>
      </c>
      <c r="AM397">
        <v>31254.71</v>
      </c>
      <c r="AN397" s="10" cm="1">
        <f t="array" ref="AN397">Lair(100000000/($AM397-$AL397))</f>
        <v>6899.0602429039791</v>
      </c>
      <c r="AO397" s="10">
        <f t="shared" si="301"/>
        <v>6900.963581544891</v>
      </c>
      <c r="AP397" s="12">
        <v>11300000</v>
      </c>
      <c r="AQ397" s="3">
        <v>0.39400000000000002</v>
      </c>
      <c r="AR397" s="3">
        <f>LN(AU397*100000000/($AM397-$AL397)/AP397)</f>
        <v>-4.611925838636342</v>
      </c>
      <c r="AS397" s="13">
        <f>EXP(AR$4341*$AM397+AR$4342)*$AP397/(100000000/($AM397-$AL397))</f>
        <v>13.867496338862694</v>
      </c>
      <c r="AT397" s="3">
        <f>LN(AS397/$C397)</f>
        <v>-4.2782075700433788</v>
      </c>
      <c r="AU397" s="3" cm="1">
        <f t="array" ref="AU397">$C397*EXP(poly_from_str($AO397,AU$4341))</f>
        <v>16.264277114665074</v>
      </c>
      <c r="AV397" s="13">
        <f>LN(AS397/AU397)</f>
        <v>-0.15942340577294153</v>
      </c>
    </row>
    <row r="398" spans="1:48" x14ac:dyDescent="0.25">
      <c r="A398" t="s">
        <v>686</v>
      </c>
      <c r="B398" s="2" t="str">
        <f t="shared" si="285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286"/>
        <v>6881.201</v>
      </c>
      <c r="AB398" s="3">
        <f t="shared" si="287"/>
        <v>14528.34</v>
      </c>
      <c r="AC398" s="3" cm="1">
        <f t="array" ref="AC398">100000000/LvacE(AA398)</f>
        <v>14528.338478774383</v>
      </c>
      <c r="AD398" s="10">
        <f t="shared" si="288"/>
        <v>6.0556542730530894E-3</v>
      </c>
      <c r="AE398" s="10" t="b">
        <f t="shared" si="289"/>
        <v>1</v>
      </c>
      <c r="AP398"/>
      <c r="AQ398"/>
      <c r="AU398" s="3" cm="1">
        <f t="array" ref="AU398">$C398*EXP(poly_from_str(100000000/$E398,AU$4341))</f>
        <v>6.5306394289010541E-2</v>
      </c>
    </row>
    <row r="399" spans="1:48" x14ac:dyDescent="0.25">
      <c r="A399" t="s">
        <v>687</v>
      </c>
      <c r="B399" s="2" t="str">
        <f t="shared" si="285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302">$G399&amp;""</f>
        <v>e</v>
      </c>
      <c r="N399" t="str">
        <f t="shared" ref="N399:N400" si="303">$H399&amp;""</f>
        <v>7/2</v>
      </c>
      <c r="O399">
        <v>39940.720000000001</v>
      </c>
      <c r="P399" t="str">
        <f t="shared" ref="P399:P400" si="304">$J399&amp;""</f>
        <v>o</v>
      </c>
      <c r="Q399" t="str">
        <f t="shared" ref="Q399:Q400" si="305">$K399&amp;""</f>
        <v>7/2</v>
      </c>
      <c r="R399">
        <v>6</v>
      </c>
      <c r="AA399" s="10">
        <f t="shared" si="286"/>
        <v>6879.942</v>
      </c>
      <c r="AB399" s="3">
        <f t="shared" si="287"/>
        <v>14531</v>
      </c>
      <c r="AC399" s="3" cm="1">
        <f t="array" ref="AC399">100000000/LvacE(AA399)</f>
        <v>14530.997084825054</v>
      </c>
      <c r="AD399" s="10">
        <f t="shared" si="288"/>
        <v>6.0560406675539604E-3</v>
      </c>
      <c r="AE399" s="10" t="b">
        <f t="shared" si="289"/>
        <v>1</v>
      </c>
      <c r="AJ399" t="s">
        <v>4720</v>
      </c>
      <c r="AK399" t="s">
        <v>4752</v>
      </c>
      <c r="AL399">
        <v>25409.74</v>
      </c>
      <c r="AM399">
        <v>39940.720000000001</v>
      </c>
      <c r="AN399" s="10" cm="1">
        <f t="array" ref="AN399">Lair(100000000/($AM399-$AL399))</f>
        <v>6879.9501050240096</v>
      </c>
      <c r="AO399" s="10">
        <f t="shared" ref="AO399:AO400" si="306">100000000/($AM399-$AL399)</f>
        <v>6881.8482992888303</v>
      </c>
      <c r="AP399" s="12">
        <v>43200</v>
      </c>
      <c r="AQ399" s="3">
        <v>2E-3</v>
      </c>
      <c r="AR399" s="3"/>
      <c r="AS399" s="13">
        <f>EXP(AR$4341*$AM399+AR$4342)*$AP399/(100000000/($AM399-$AL399))</f>
        <v>2.7701937566233271E-2</v>
      </c>
      <c r="AT399" s="3"/>
      <c r="AU399" s="3" cm="1">
        <f t="array" ref="AU399">$C399*EXP(poly_from_str($AO399,AU$4341))</f>
        <v>1.633116967162216E-2</v>
      </c>
    </row>
    <row r="400" spans="1:48" x14ac:dyDescent="0.25">
      <c r="A400" t="s">
        <v>688</v>
      </c>
      <c r="B400" s="2" t="str">
        <f t="shared" si="285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302"/>
        <v>o</v>
      </c>
      <c r="N400" t="str">
        <f t="shared" si="303"/>
        <v>7/2</v>
      </c>
      <c r="O400">
        <v>25409.74</v>
      </c>
      <c r="P400" t="str">
        <f t="shared" si="304"/>
        <v>e</v>
      </c>
      <c r="Q400" t="str">
        <f t="shared" si="305"/>
        <v>7/2</v>
      </c>
      <c r="R400">
        <v>6</v>
      </c>
      <c r="S400" t="s">
        <v>420</v>
      </c>
      <c r="AA400" s="10">
        <f t="shared" si="286"/>
        <v>6870.64</v>
      </c>
      <c r="AB400" s="3">
        <f t="shared" si="287"/>
        <v>14550.67</v>
      </c>
      <c r="AC400" s="3" cm="1">
        <f t="array" ref="AC400">100000000/LvacE(AA400)</f>
        <v>14550.670132178238</v>
      </c>
      <c r="AD400" s="10">
        <f t="shared" si="288"/>
        <v>6.0589020915211862E-3</v>
      </c>
      <c r="AE400" s="10" t="b">
        <f t="shared" si="289"/>
        <v>1</v>
      </c>
      <c r="AJ400" t="s">
        <v>4817</v>
      </c>
      <c r="AK400" t="s">
        <v>4720</v>
      </c>
      <c r="AL400">
        <v>10859.06</v>
      </c>
      <c r="AM400">
        <v>25409.74</v>
      </c>
      <c r="AN400" s="10" cm="1">
        <f t="array" ref="AN400">Lair(100000000/($AM400-$AL400))</f>
        <v>6870.6353563135963</v>
      </c>
      <c r="AO400" s="10">
        <f t="shared" si="306"/>
        <v>6872.5310432227216</v>
      </c>
      <c r="AU400" s="3" cm="1">
        <f t="array" ref="AU400">$C400*EXP(poly_from_str($AO400,AU$4341))</f>
        <v>0.98196610808787377</v>
      </c>
    </row>
    <row r="401" spans="1:48" x14ac:dyDescent="0.25">
      <c r="A401" t="s">
        <v>689</v>
      </c>
      <c r="B401" s="2" t="str">
        <f t="shared" si="285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286"/>
        <v>6869.6610000000001</v>
      </c>
      <c r="AB401" s="3">
        <f t="shared" si="287"/>
        <v>14552.74</v>
      </c>
      <c r="AC401" s="3" cm="1">
        <f t="array" ref="AC401">100000000/LvacE(AA401)</f>
        <v>14552.743743989588</v>
      </c>
      <c r="AD401" s="10">
        <f t="shared" si="288"/>
        <v>6.0592039217065869E-3</v>
      </c>
      <c r="AE401" s="10" t="b">
        <f t="shared" si="289"/>
        <v>1</v>
      </c>
      <c r="AP401"/>
      <c r="AQ401"/>
      <c r="AU401" s="3" cm="1">
        <f t="array" ref="AU401">$C401*EXP(poly_from_str(100000000/$E401,AU$4341))</f>
        <v>6.5479354685295713E-2</v>
      </c>
    </row>
    <row r="402" spans="1:48" x14ac:dyDescent="0.25">
      <c r="A402" t="s">
        <v>690</v>
      </c>
      <c r="B402" s="2" t="str">
        <f t="shared" si="285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286"/>
        <v>6866.8010000000004</v>
      </c>
      <c r="AB402" s="3">
        <f t="shared" si="287"/>
        <v>14558.8</v>
      </c>
      <c r="AC402" s="3" cm="1">
        <f t="array" ref="AC402">100000000/LvacE(AA402)</f>
        <v>14558.804873006949</v>
      </c>
      <c r="AD402" s="10">
        <f t="shared" si="288"/>
        <v>6.06008641236341E-3</v>
      </c>
      <c r="AE402" s="10" t="b">
        <f t="shared" si="289"/>
        <v>1</v>
      </c>
      <c r="AJ402" t="s">
        <v>4757</v>
      </c>
      <c r="AK402" t="s">
        <v>4753</v>
      </c>
      <c r="AL402">
        <v>0</v>
      </c>
      <c r="AM402">
        <v>14558.82</v>
      </c>
      <c r="AN402" s="10" cm="1">
        <f t="array" ref="AN402">Lair(100000000/($AM402-$AL402))</f>
        <v>6866.7938809408197</v>
      </c>
      <c r="AO402" s="10">
        <f>100000000/($AM402-$AL402)</f>
        <v>6868.6885338234833</v>
      </c>
      <c r="AP402" s="12">
        <v>8270000</v>
      </c>
      <c r="AQ402" s="3">
        <v>0.44500000000000001</v>
      </c>
      <c r="AR402" s="3">
        <f>LN(AU402*100000000/($AM402-$AL402)/AP402)</f>
        <v>-4.2972968438430401</v>
      </c>
      <c r="AS402" s="13">
        <f>EXP(AR$4341*$AM402+AR$4342)*$AP402/(100000000/($AM402-$AL402))</f>
        <v>35.696041526414909</v>
      </c>
      <c r="AT402" s="3">
        <f>LN(AS402/$C402)</f>
        <v>-3.3327154779573918</v>
      </c>
      <c r="AU402" s="3" cm="1">
        <f t="array" ref="AU402">$C402*EXP(poly_from_str($AO402,AU$4341))</f>
        <v>16.380961129446199</v>
      </c>
      <c r="AV402" s="13">
        <f>LN(AS402/AU402)</f>
        <v>0.77892004730988285</v>
      </c>
    </row>
    <row r="403" spans="1:48" x14ac:dyDescent="0.25">
      <c r="A403" t="s">
        <v>691</v>
      </c>
      <c r="B403" s="2" t="str">
        <f t="shared" si="285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286"/>
        <v>6863.9319999999998</v>
      </c>
      <c r="AB403" s="3">
        <f t="shared" si="287"/>
        <v>14564.89</v>
      </c>
      <c r="AC403" s="3" cm="1">
        <f t="array" ref="AC403">100000000/LvacE(AA403)</f>
        <v>14564.890150312578</v>
      </c>
      <c r="AD403" s="10">
        <f t="shared" si="288"/>
        <v>6.0609727886517945E-3</v>
      </c>
      <c r="AE403" s="10" t="b">
        <f t="shared" si="289"/>
        <v>1</v>
      </c>
      <c r="AP403"/>
      <c r="AQ403"/>
      <c r="AU403" s="3" cm="1">
        <f t="array" ref="AU403">$C403*EXP(poly_from_str(100000000/$E403,AU$4341))</f>
        <v>6.5568818329717726E-2</v>
      </c>
    </row>
    <row r="404" spans="1:48" x14ac:dyDescent="0.25">
      <c r="A404" t="s">
        <v>692</v>
      </c>
      <c r="B404" s="2" t="str">
        <f t="shared" si="285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286"/>
        <v>6857.3010000000004</v>
      </c>
      <c r="AB404" s="3">
        <f t="shared" si="287"/>
        <v>14578.97</v>
      </c>
      <c r="AC404" s="3" cm="1">
        <f t="array" ref="AC404">100000000/LvacE(AA404)</f>
        <v>14578.974282605317</v>
      </c>
      <c r="AD404" s="10">
        <f t="shared" si="288"/>
        <v>6.0630256920766144E-3</v>
      </c>
      <c r="AE404" s="10" t="b">
        <f t="shared" si="289"/>
        <v>1</v>
      </c>
      <c r="AJ404" t="s">
        <v>4993</v>
      </c>
      <c r="AK404" t="s">
        <v>4754</v>
      </c>
      <c r="AL404">
        <v>26447.88</v>
      </c>
      <c r="AM404">
        <v>41026.870000000003</v>
      </c>
      <c r="AN404" s="10" cm="1">
        <f t="array" ref="AN404">Lair(100000000/($AM404-$AL404))</f>
        <v>6857.2936229021379</v>
      </c>
      <c r="AO404" s="10">
        <f>100000000/($AM404-$AL404)</f>
        <v>6859.1857186265979</v>
      </c>
      <c r="AU404" s="3" cm="1">
        <f t="array" ref="AU404">$C404*EXP(poly_from_str($AO404,AU$4341))</f>
        <v>3.283772294336746</v>
      </c>
    </row>
    <row r="405" spans="1:48" x14ac:dyDescent="0.25">
      <c r="A405" t="s">
        <v>693</v>
      </c>
      <c r="B405" s="2" t="str">
        <f t="shared" si="285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286"/>
        <v>6854.63</v>
      </c>
      <c r="AB405" s="3">
        <f t="shared" si="287"/>
        <v>14584.66</v>
      </c>
      <c r="AC405" s="3" cm="1">
        <f t="array" ref="AC405">100000000/LvacE(AA405)</f>
        <v>14584.655140226818</v>
      </c>
      <c r="AD405" s="10">
        <f t="shared" si="288"/>
        <v>6.0638542955802734E-3</v>
      </c>
      <c r="AE405" s="10" t="b">
        <f t="shared" si="289"/>
        <v>1</v>
      </c>
      <c r="AP405"/>
      <c r="AQ405"/>
      <c r="AU405" s="3" cm="1">
        <f t="array" ref="AU405">$C405*EXP(poly_from_str(100000000/$E405,AU$4341))</f>
        <v>1.6429794497710375</v>
      </c>
    </row>
    <row r="406" spans="1:48" x14ac:dyDescent="0.25">
      <c r="A406" t="s">
        <v>694</v>
      </c>
      <c r="B406" s="2" t="str">
        <f t="shared" si="285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307">$G406&amp;""</f>
        <v>o</v>
      </c>
      <c r="N406" t="str">
        <f t="shared" ref="N406:N407" si="308">$H406&amp;""</f>
        <v>13/2</v>
      </c>
      <c r="O406">
        <v>17534.759999999998</v>
      </c>
      <c r="P406" t="str">
        <f t="shared" ref="P406:P407" si="309">$J406&amp;""</f>
        <v>e</v>
      </c>
      <c r="Q406" t="str">
        <f t="shared" ref="Q406:Q407" si="310">$K406&amp;""</f>
        <v>15/2</v>
      </c>
      <c r="R406">
        <v>6</v>
      </c>
      <c r="S406" t="s">
        <v>6</v>
      </c>
      <c r="AA406" s="10">
        <f t="shared" si="286"/>
        <v>6827.9650000000001</v>
      </c>
      <c r="AB406" s="3">
        <f t="shared" si="287"/>
        <v>14641.61</v>
      </c>
      <c r="AC406" s="3" cm="1">
        <f t="array" ref="AC406">100000000/LvacE(AA406)</f>
        <v>14641.611668860773</v>
      </c>
      <c r="AD406" s="10">
        <f t="shared" si="288"/>
        <v>6.0721797540600145E-3</v>
      </c>
      <c r="AE406" s="10" t="b">
        <f t="shared" si="289"/>
        <v>1</v>
      </c>
      <c r="AJ406" t="s">
        <v>4977</v>
      </c>
      <c r="AK406" t="s">
        <v>4701</v>
      </c>
      <c r="AL406">
        <v>2893.14</v>
      </c>
      <c r="AM406">
        <v>17534.759999999998</v>
      </c>
      <c r="AN406" s="10" cm="1">
        <f t="array" ref="AN406">Lair(100000000/($AM406-$AL406))</f>
        <v>6827.9611303366546</v>
      </c>
      <c r="AO406" s="10">
        <f t="shared" ref="AO406:AO407" si="311">100000000/($AM406-$AL406)</f>
        <v>6829.8453313226273</v>
      </c>
      <c r="AP406" s="12">
        <v>1740000</v>
      </c>
      <c r="AQ406" s="3">
        <v>0.56699999999999995</v>
      </c>
      <c r="AR406" s="3">
        <f t="shared" ref="AR406:AR407" si="312">LN(AU406*100000000/($AM406-$AL406)/AP406)</f>
        <v>-4.3436010850274256</v>
      </c>
      <c r="AS406" s="13">
        <f t="shared" ref="AS406:AS407" si="313">EXP(AR$4341*$AM406+AR$4342)*$AP406/(100000000/($AM406-$AL406))</f>
        <v>6.0413464737971525</v>
      </c>
      <c r="AT406" s="3">
        <f t="shared" ref="AT406:AT407" si="314">LN(AS406/$C406)</f>
        <v>-3.499690453320293</v>
      </c>
      <c r="AU406" s="3" cm="1">
        <f t="array" ref="AU406">$C406*EXP(poly_from_str($AO406,AU$4341))</f>
        <v>3.3093019613589054</v>
      </c>
      <c r="AV406" s="13">
        <f t="shared" ref="AV406:AV407" si="315">LN(AS406/AU406)</f>
        <v>0.6018896338857096</v>
      </c>
    </row>
    <row r="407" spans="1:48" x14ac:dyDescent="0.25">
      <c r="A407" t="s">
        <v>695</v>
      </c>
      <c r="B407" s="2" t="str">
        <f t="shared" si="285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307"/>
        <v>o</v>
      </c>
      <c r="N407" t="str">
        <f t="shared" si="308"/>
        <v>11/2</v>
      </c>
      <c r="O407">
        <v>39024.269999999997</v>
      </c>
      <c r="P407" t="str">
        <f t="shared" si="309"/>
        <v>e</v>
      </c>
      <c r="Q407" t="str">
        <f t="shared" si="310"/>
        <v>9/2</v>
      </c>
      <c r="R407">
        <v>6</v>
      </c>
      <c r="AA407" s="10">
        <f t="shared" si="286"/>
        <v>6816.4560000000001</v>
      </c>
      <c r="AB407" s="3">
        <f t="shared" si="287"/>
        <v>14666.33</v>
      </c>
      <c r="AC407" s="3" cm="1">
        <f t="array" ref="AC407">100000000/LvacE(AA407)</f>
        <v>14666.332602597944</v>
      </c>
      <c r="AD407" s="10">
        <f t="shared" si="288"/>
        <v>6.0758033648715655E-3</v>
      </c>
      <c r="AE407" s="10" t="b">
        <f t="shared" si="289"/>
        <v>1</v>
      </c>
      <c r="AJ407" t="s">
        <v>4987</v>
      </c>
      <c r="AK407" t="s">
        <v>4702</v>
      </c>
      <c r="AL407">
        <v>24357.98</v>
      </c>
      <c r="AM407">
        <v>39024.269999999997</v>
      </c>
      <c r="AN407" s="10" cm="1">
        <f t="array" ref="AN407">Lair(100000000/($AM407-$AL407))</f>
        <v>6816.4758159791745</v>
      </c>
      <c r="AO407" s="10">
        <f t="shared" si="311"/>
        <v>6818.3569259846918</v>
      </c>
      <c r="AP407" s="12">
        <v>3210000</v>
      </c>
      <c r="AQ407" s="3">
        <v>0.70599999999999996</v>
      </c>
      <c r="AR407" s="3">
        <f t="shared" si="312"/>
        <v>-6.5638203893800355</v>
      </c>
      <c r="AS407" s="13">
        <f t="shared" si="313"/>
        <v>2.2254922900633094</v>
      </c>
      <c r="AT407" s="3">
        <f t="shared" si="314"/>
        <v>-2.8889013090077427</v>
      </c>
      <c r="AU407" s="3" cm="1">
        <f t="array" ref="AU407">$C407*EXP(poly_from_str($AO407,AU$4341))</f>
        <v>0.66404012896613107</v>
      </c>
      <c r="AV407" s="13">
        <f t="shared" si="315"/>
        <v>1.2093908412480727</v>
      </c>
    </row>
    <row r="408" spans="1:48" x14ac:dyDescent="0.25">
      <c r="A408" t="s">
        <v>696</v>
      </c>
      <c r="B408" s="2" t="str">
        <f t="shared" si="285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286"/>
        <v>6807.0870000000004</v>
      </c>
      <c r="AB408" s="3">
        <f t="shared" si="287"/>
        <v>14686.52</v>
      </c>
      <c r="AC408" s="3" cm="1">
        <f t="array" ref="AC408">100000000/LvacE(AA408)</f>
        <v>14686.518612891921</v>
      </c>
      <c r="AD408" s="10">
        <f t="shared" si="288"/>
        <v>6.0787667773962578E-3</v>
      </c>
      <c r="AE408" s="10" t="b">
        <f t="shared" si="289"/>
        <v>1</v>
      </c>
      <c r="AP408"/>
      <c r="AQ408"/>
      <c r="AU408" s="3" cm="1">
        <f t="array" ref="AU408">$C408*EXP(poly_from_str(100000000/$E408,AU$4341))</f>
        <v>1.6647497844045341E-2</v>
      </c>
    </row>
    <row r="409" spans="1:48" x14ac:dyDescent="0.25">
      <c r="A409" t="s">
        <v>697</v>
      </c>
      <c r="B409" s="2" t="str">
        <f t="shared" si="285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316">$G409&amp;""</f>
        <v>o</v>
      </c>
      <c r="N409" t="str">
        <f t="shared" ref="N409:N414" si="317">$H409&amp;""</f>
        <v>3/2</v>
      </c>
      <c r="O409">
        <v>31803.7</v>
      </c>
      <c r="P409" t="str">
        <f t="shared" ref="P409:P414" si="318">$J409&amp;""</f>
        <v>e</v>
      </c>
      <c r="Q409" t="str">
        <f t="shared" ref="Q409:Q414" si="319">$K409&amp;""</f>
        <v>1/2</v>
      </c>
      <c r="R409">
        <v>6</v>
      </c>
      <c r="S409" t="s">
        <v>6</v>
      </c>
      <c r="AA409" s="10">
        <f t="shared" si="286"/>
        <v>6797.1210000000001</v>
      </c>
      <c r="AB409" s="3">
        <f t="shared" si="287"/>
        <v>14708.05</v>
      </c>
      <c r="AC409" s="3" cm="1">
        <f t="array" ref="AC409">100000000/LvacE(AA409)</f>
        <v>14708.051970645214</v>
      </c>
      <c r="AD409" s="10">
        <f t="shared" si="288"/>
        <v>6.0819324807256788E-3</v>
      </c>
      <c r="AE409" s="10" t="b">
        <f t="shared" si="289"/>
        <v>1</v>
      </c>
      <c r="AJ409" t="s">
        <v>4856</v>
      </c>
      <c r="AK409" t="s">
        <v>4703</v>
      </c>
      <c r="AL409">
        <v>17095.63</v>
      </c>
      <c r="AM409">
        <v>31803.7</v>
      </c>
      <c r="AN409" s="10" cm="1">
        <f t="array" ref="AN409">Lair(100000000/($AM409-$AL409))</f>
        <v>6797.112683223856</v>
      </c>
      <c r="AO409" s="10">
        <f t="shared" ref="AO409:AO414" si="320">100000000/($AM409-$AL409)</f>
        <v>6798.9885824584735</v>
      </c>
      <c r="AU409" s="3" cm="1">
        <f t="array" ref="AU409">$C409*EXP(poly_from_str($AO409,AU$4341))</f>
        <v>0.66795355877143403</v>
      </c>
    </row>
    <row r="410" spans="1:48" x14ac:dyDescent="0.25">
      <c r="A410" t="s">
        <v>698</v>
      </c>
      <c r="B410" s="2" t="str">
        <f t="shared" si="285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316"/>
        <v>o</v>
      </c>
      <c r="N410" t="str">
        <f t="shared" si="317"/>
        <v>9/2</v>
      </c>
      <c r="O410">
        <v>24788.02</v>
      </c>
      <c r="P410" t="str">
        <f t="shared" si="318"/>
        <v>e</v>
      </c>
      <c r="Q410" t="str">
        <f t="shared" si="319"/>
        <v>9/2</v>
      </c>
      <c r="R410">
        <v>6</v>
      </c>
      <c r="S410" t="s">
        <v>6</v>
      </c>
      <c r="AA410" s="10">
        <f t="shared" si="286"/>
        <v>6775.4440000000004</v>
      </c>
      <c r="AB410" s="3">
        <f t="shared" si="287"/>
        <v>14755.11</v>
      </c>
      <c r="AC410" s="3" cm="1">
        <f t="array" ref="AC410">100000000/LvacE(AA410)</f>
        <v>14755.107814952993</v>
      </c>
      <c r="AD410" s="10">
        <f t="shared" si="288"/>
        <v>6.0888664871964846E-3</v>
      </c>
      <c r="AE410" s="10" t="b">
        <f t="shared" si="289"/>
        <v>1</v>
      </c>
      <c r="AJ410" t="s">
        <v>4812</v>
      </c>
      <c r="AK410" t="s">
        <v>4705</v>
      </c>
      <c r="AL410">
        <v>10032.92</v>
      </c>
      <c r="AM410">
        <v>24788.02</v>
      </c>
      <c r="AN410" s="10" cm="1">
        <f t="array" ref="AN410">Lair(100000000/($AM410-$AL410))</f>
        <v>6775.4476037330896</v>
      </c>
      <c r="AO410" s="10">
        <f t="shared" si="320"/>
        <v>6777.3176732112961</v>
      </c>
      <c r="AP410" s="12">
        <v>32800</v>
      </c>
      <c r="AQ410" s="3">
        <v>2E-3</v>
      </c>
      <c r="AR410" s="3"/>
      <c r="AS410" s="13">
        <f t="shared" ref="AS410:AS414" si="321">EXP(AR$4341*$AM410+AR$4342)*$AP410/(100000000/($AM410-$AL410))</f>
        <v>6.659019079798735E-2</v>
      </c>
      <c r="AT410" s="3"/>
      <c r="AU410" s="3" cm="1">
        <f t="array" ref="AU410">$C410*EXP(poly_from_str($AO410,AU$4341))</f>
        <v>1.6817474692972949E-2</v>
      </c>
    </row>
    <row r="411" spans="1:48" x14ac:dyDescent="0.25">
      <c r="A411" t="s">
        <v>699</v>
      </c>
      <c r="B411" s="2" t="str">
        <f t="shared" si="285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316"/>
        <v>o</v>
      </c>
      <c r="N411" t="str">
        <f t="shared" si="317"/>
        <v>9/2</v>
      </c>
      <c r="O411">
        <v>30505.72</v>
      </c>
      <c r="P411" t="str">
        <f t="shared" si="318"/>
        <v>e</v>
      </c>
      <c r="Q411" t="str">
        <f t="shared" si="319"/>
        <v>11/2</v>
      </c>
      <c r="R411">
        <v>6</v>
      </c>
      <c r="AA411" s="10">
        <f t="shared" si="286"/>
        <v>6754.6319999999996</v>
      </c>
      <c r="AB411" s="3">
        <f t="shared" si="287"/>
        <v>14800.57</v>
      </c>
      <c r="AC411" s="3" cm="1">
        <f t="array" ref="AC411">100000000/LvacE(AA411)</f>
        <v>14800.570123882051</v>
      </c>
      <c r="AD411" s="10">
        <f t="shared" si="288"/>
        <v>6.0955867117469947E-3</v>
      </c>
      <c r="AE411" s="10" t="b">
        <f t="shared" si="289"/>
        <v>1</v>
      </c>
      <c r="AJ411" t="s">
        <v>4767</v>
      </c>
      <c r="AK411" t="s">
        <v>4706</v>
      </c>
      <c r="AL411">
        <v>15705.13</v>
      </c>
      <c r="AM411">
        <v>30505.72</v>
      </c>
      <c r="AN411" s="10" cm="1">
        <f t="array" ref="AN411">Lair(100000000/($AM411-$AL411))</f>
        <v>6754.6229439437438</v>
      </c>
      <c r="AO411" s="10">
        <f t="shared" si="320"/>
        <v>6756.4874102991835</v>
      </c>
      <c r="AP411" s="12">
        <v>146000</v>
      </c>
      <c r="AQ411" s="3">
        <v>2.4E-2</v>
      </c>
      <c r="AR411" s="3"/>
      <c r="AS411" s="13">
        <f t="shared" si="321"/>
        <v>0.19358540562233797</v>
      </c>
      <c r="AT411" s="3"/>
      <c r="AU411" s="3" cm="1">
        <f t="array" ref="AU411">$C411*EXP(poly_from_str($AO411,AU$4341))</f>
        <v>0.3388198216053252</v>
      </c>
    </row>
    <row r="412" spans="1:48" x14ac:dyDescent="0.25">
      <c r="A412" t="s">
        <v>700</v>
      </c>
      <c r="B412" s="2" t="str">
        <f t="shared" si="285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316"/>
        <v>e</v>
      </c>
      <c r="N412" t="str">
        <f t="shared" si="317"/>
        <v>3/2</v>
      </c>
      <c r="O412">
        <v>63221.279999999999</v>
      </c>
      <c r="P412" t="str">
        <f t="shared" si="318"/>
        <v>o</v>
      </c>
      <c r="Q412" t="str">
        <f t="shared" si="319"/>
        <v>3/2</v>
      </c>
      <c r="R412">
        <v>6</v>
      </c>
      <c r="S412" t="s">
        <v>159</v>
      </c>
      <c r="AA412" s="10">
        <f t="shared" si="286"/>
        <v>6745.9430000000002</v>
      </c>
      <c r="AB412" s="3">
        <f t="shared" si="287"/>
        <v>14819.63</v>
      </c>
      <c r="AC412" s="3" cm="1">
        <f t="array" ref="AC412">100000000/LvacE(AA412)</f>
        <v>14819.633619604785</v>
      </c>
      <c r="AD412" s="10">
        <f t="shared" si="288"/>
        <v>6.098410824076396E-3</v>
      </c>
      <c r="AE412" s="10" t="b">
        <f t="shared" si="289"/>
        <v>1</v>
      </c>
      <c r="AJ412" t="s">
        <v>4945</v>
      </c>
      <c r="AK412" t="s">
        <v>4707</v>
      </c>
      <c r="AL412">
        <v>48401.64</v>
      </c>
      <c r="AM412">
        <v>63221.279999999999</v>
      </c>
      <c r="AN412" s="10" cm="1">
        <f t="array" ref="AN412">Lair(100000000/($AM412-$AL412))</f>
        <v>6745.9401105317384</v>
      </c>
      <c r="AO412" s="10">
        <f t="shared" si="320"/>
        <v>6747.8022408101688</v>
      </c>
      <c r="AP412" s="12">
        <v>342000</v>
      </c>
      <c r="AQ412" s="3">
        <v>0.161</v>
      </c>
      <c r="AR412" s="3">
        <f>LN(AU412*100000000/($AM412-$AL412)/AP412)</f>
        <v>-6.614116479118004</v>
      </c>
      <c r="AS412" s="13">
        <f t="shared" si="321"/>
        <v>3.8978585696566363E-2</v>
      </c>
      <c r="AT412" s="3">
        <f t="shared" ref="AT412:AT414" si="322">LN(AS412/$C412)</f>
        <v>-4.631037229478018</v>
      </c>
      <c r="AU412" s="3" cm="1">
        <f t="array" ref="AU412">$C412*EXP(poly_from_str($AO412,AU$4341))</f>
        <v>6.7981300792450947E-2</v>
      </c>
      <c r="AV412" s="13">
        <f>LN(AS412/AU412)</f>
        <v>-0.5562202683895594</v>
      </c>
    </row>
    <row r="413" spans="1:48" x14ac:dyDescent="0.25">
      <c r="A413" t="s">
        <v>701</v>
      </c>
      <c r="B413" s="2" t="str">
        <f t="shared" si="285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316"/>
        <v>o</v>
      </c>
      <c r="N413" t="str">
        <f t="shared" si="317"/>
        <v>7/2</v>
      </c>
      <c r="O413">
        <v>28720.71</v>
      </c>
      <c r="P413" t="str">
        <f t="shared" si="318"/>
        <v>e</v>
      </c>
      <c r="Q413" t="str">
        <f t="shared" si="319"/>
        <v>9/2</v>
      </c>
      <c r="R413">
        <v>6</v>
      </c>
      <c r="AA413" s="10">
        <f t="shared" si="286"/>
        <v>6739.8140000000003</v>
      </c>
      <c r="AB413" s="3">
        <f t="shared" si="287"/>
        <v>14833.11</v>
      </c>
      <c r="AC413" s="3" cm="1">
        <f t="array" ref="AC413">100000000/LvacE(AA413)</f>
        <v>14833.110089234819</v>
      </c>
      <c r="AD413" s="10">
        <f t="shared" si="288"/>
        <v>6.10040945412105E-3</v>
      </c>
      <c r="AE413" s="10" t="b">
        <f t="shared" si="289"/>
        <v>1</v>
      </c>
      <c r="AJ413" t="s">
        <v>4818</v>
      </c>
      <c r="AK413" t="s">
        <v>4708</v>
      </c>
      <c r="AL413">
        <v>13887.6</v>
      </c>
      <c r="AM413">
        <v>28720.71</v>
      </c>
      <c r="AN413" s="10" cm="1">
        <f t="array" ref="AN413">Lair(100000000/($AM413-$AL413))</f>
        <v>6739.8140554298107</v>
      </c>
      <c r="AO413" s="10">
        <f t="shared" si="320"/>
        <v>6741.6745375716901</v>
      </c>
      <c r="AP413" s="12">
        <v>137000</v>
      </c>
      <c r="AQ413" s="3">
        <v>3.4000000000000002E-2</v>
      </c>
      <c r="AR413" s="3"/>
      <c r="AS413" s="13">
        <f t="shared" si="321"/>
        <v>0.2081475302167356</v>
      </c>
      <c r="AT413" s="3"/>
      <c r="AU413" s="3" cm="1">
        <f t="array" ref="AU413">$C413*EXP(poly_from_str($AO413,AU$4341))</f>
        <v>0.15331217204660322</v>
      </c>
    </row>
    <row r="414" spans="1:48" x14ac:dyDescent="0.25">
      <c r="A414" t="s">
        <v>702</v>
      </c>
      <c r="B414" s="2" t="str">
        <f t="shared" si="285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316"/>
        <v>o</v>
      </c>
      <c r="N414" t="str">
        <f t="shared" si="317"/>
        <v>9/2</v>
      </c>
      <c r="O414">
        <v>14859.96</v>
      </c>
      <c r="P414" t="str">
        <f t="shared" si="318"/>
        <v>e</v>
      </c>
      <c r="Q414" t="str">
        <f t="shared" si="319"/>
        <v>11/2</v>
      </c>
      <c r="R414">
        <v>6</v>
      </c>
      <c r="S414" t="s">
        <v>6</v>
      </c>
      <c r="AA414" s="10">
        <f t="shared" si="286"/>
        <v>6727.6270000000004</v>
      </c>
      <c r="AB414" s="3">
        <f t="shared" si="287"/>
        <v>14859.98</v>
      </c>
      <c r="AC414" s="3" cm="1">
        <f t="array" ref="AC414">100000000/LvacE(AA414)</f>
        <v>14859.97986711818</v>
      </c>
      <c r="AD414" s="10">
        <f t="shared" si="288"/>
        <v>6.1043998030151031E-3</v>
      </c>
      <c r="AE414" s="10" t="b">
        <f t="shared" si="289"/>
        <v>1</v>
      </c>
      <c r="AJ414" t="s">
        <v>4757</v>
      </c>
      <c r="AK414" t="s">
        <v>4709</v>
      </c>
      <c r="AL414">
        <v>0</v>
      </c>
      <c r="AM414">
        <v>14859.96</v>
      </c>
      <c r="AN414" s="10" cm="1">
        <f t="array" ref="AN414">Lair(100000000/($AM414-$AL414))</f>
        <v>6727.6360094047041</v>
      </c>
      <c r="AO414" s="10">
        <f t="shared" si="320"/>
        <v>6729.493215324941</v>
      </c>
      <c r="AP414" s="12">
        <v>592000</v>
      </c>
      <c r="AQ414" s="3">
        <v>0.39800000000000002</v>
      </c>
      <c r="AR414" s="3">
        <f>LN(AU414*100000000/($AM414-$AL414)/AP414)</f>
        <v>-3.9396077242848948</v>
      </c>
      <c r="AS414" s="13">
        <f t="shared" si="321"/>
        <v>2.549839506564096</v>
      </c>
      <c r="AT414" s="3">
        <f t="shared" si="322"/>
        <v>-3.6691397674007891</v>
      </c>
      <c r="AU414" s="3" cm="1">
        <f t="array" ref="AU414">$C414*EXP(poly_from_str($AO414,AU$4341))</f>
        <v>1.7115494512873375</v>
      </c>
      <c r="AV414" s="13">
        <f>LN(AS414/AU414)</f>
        <v>0.39863134648033305</v>
      </c>
    </row>
    <row r="415" spans="1:48" x14ac:dyDescent="0.25">
      <c r="A415" t="s">
        <v>703</v>
      </c>
      <c r="B415" s="2" t="str">
        <f t="shared" si="285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286"/>
        <v>6723.2979999999998</v>
      </c>
      <c r="AB415" s="3">
        <f t="shared" si="287"/>
        <v>14869.55</v>
      </c>
      <c r="AC415" s="3" cm="1">
        <f t="array" ref="AC415">100000000/LvacE(AA415)</f>
        <v>14869.547850003537</v>
      </c>
      <c r="AD415" s="10">
        <f t="shared" si="288"/>
        <v>6.1058224587102593E-3</v>
      </c>
      <c r="AE415" s="10" t="b">
        <f t="shared" si="289"/>
        <v>1</v>
      </c>
      <c r="AP415"/>
      <c r="AQ415"/>
      <c r="AU415" s="3" cm="1">
        <f t="array" ref="AU415">$C415*EXP(poly_from_str(100000000/$E415,AU$4341))</f>
        <v>1.7145122070344521E-2</v>
      </c>
    </row>
    <row r="416" spans="1:48" x14ac:dyDescent="0.25">
      <c r="A416" t="s">
        <v>704</v>
      </c>
      <c r="B416" s="2" t="str">
        <f t="shared" si="285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323">$G416&amp;""</f>
        <v>o</v>
      </c>
      <c r="N416" t="str">
        <f t="shared" ref="N416:N417" si="324">$H416&amp;""</f>
        <v>3/2</v>
      </c>
      <c r="O416">
        <v>24250.62</v>
      </c>
      <c r="P416" t="str">
        <f t="shared" ref="P416:P417" si="325">$J416&amp;""</f>
        <v>e</v>
      </c>
      <c r="Q416" t="str">
        <f t="shared" ref="Q416:Q417" si="326">$K416&amp;""</f>
        <v>3/2</v>
      </c>
      <c r="R416">
        <v>6</v>
      </c>
      <c r="S416" t="s">
        <v>6</v>
      </c>
      <c r="AA416" s="10">
        <f t="shared" si="286"/>
        <v>6718.5919999999996</v>
      </c>
      <c r="AB416" s="3">
        <f t="shared" si="287"/>
        <v>14879.96</v>
      </c>
      <c r="AC416" s="3" cm="1">
        <f t="array" ref="AC416">100000000/LvacE(AA416)</f>
        <v>14879.963067819213</v>
      </c>
      <c r="AD416" s="10">
        <f t="shared" si="288"/>
        <v>6.1073721300399855E-3</v>
      </c>
      <c r="AE416" s="10" t="b">
        <f t="shared" si="289"/>
        <v>1</v>
      </c>
      <c r="AJ416" t="s">
        <v>4967</v>
      </c>
      <c r="AK416" t="s">
        <v>4710</v>
      </c>
      <c r="AL416">
        <v>9370.66</v>
      </c>
      <c r="AM416">
        <v>24250.62</v>
      </c>
      <c r="AN416" s="10" cm="1">
        <f t="array" ref="AN416">Lair(100000000/($AM416-$AL416))</f>
        <v>6718.5933999240351</v>
      </c>
      <c r="AO416" s="10">
        <f t="shared" ref="AO416:AO417" si="327">100000000/($AM416-$AL416)</f>
        <v>6720.448173247778</v>
      </c>
      <c r="AU416" s="3" cm="1">
        <f t="array" ref="AU416">$C416*EXP(poly_from_str($AO416,AU$4341))</f>
        <v>0.34355484836371331</v>
      </c>
    </row>
    <row r="417" spans="1:48" x14ac:dyDescent="0.25">
      <c r="A417" t="s">
        <v>705</v>
      </c>
      <c r="B417" s="2" t="str">
        <f t="shared" si="285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323"/>
        <v>o</v>
      </c>
      <c r="N417" t="str">
        <f t="shared" si="324"/>
        <v>11/2</v>
      </c>
      <c r="O417">
        <v>27380.31</v>
      </c>
      <c r="P417" t="str">
        <f t="shared" si="325"/>
        <v>e</v>
      </c>
      <c r="Q417" t="str">
        <f t="shared" si="326"/>
        <v>11/2</v>
      </c>
      <c r="R417">
        <v>6</v>
      </c>
      <c r="AA417" s="10">
        <f t="shared" si="286"/>
        <v>6716.0159999999996</v>
      </c>
      <c r="AB417" s="3">
        <f t="shared" si="287"/>
        <v>14885.67</v>
      </c>
      <c r="AC417" s="3" cm="1">
        <f t="array" ref="AC417">100000000/LvacE(AA417)</f>
        <v>14885.670397060576</v>
      </c>
      <c r="AD417" s="10">
        <f t="shared" si="288"/>
        <v>6.1082217788835363E-3</v>
      </c>
      <c r="AE417" s="10" t="b">
        <f t="shared" si="289"/>
        <v>1</v>
      </c>
      <c r="AJ417" t="s">
        <v>4760</v>
      </c>
      <c r="AK417" t="s">
        <v>4712</v>
      </c>
      <c r="AL417">
        <v>12494.63</v>
      </c>
      <c r="AM417">
        <v>27380.31</v>
      </c>
      <c r="AN417" s="10" cm="1">
        <f t="array" ref="AN417">Lair(100000000/($AM417-$AL417))</f>
        <v>6716.0116820989551</v>
      </c>
      <c r="AO417" s="10">
        <f t="shared" si="327"/>
        <v>6717.8657609192178</v>
      </c>
      <c r="AP417" s="12">
        <v>1080000</v>
      </c>
      <c r="AQ417" s="3">
        <v>0.193</v>
      </c>
      <c r="AR417" s="3">
        <f>LN(AU417*100000000/($AM417-$AL417)/AP417)</f>
        <v>-5.2310087953603261</v>
      </c>
      <c r="AS417" s="13">
        <f>EXP(AR$4341*$AM417+AR$4342)*$AP417/(100000000/($AM417-$AL417))</f>
        <v>1.820948889740609</v>
      </c>
      <c r="AT417" s="3">
        <f>LN(AS417/$C417)</f>
        <v>-3.312665272215165</v>
      </c>
      <c r="AU417" s="3" cm="1">
        <f t="array" ref="AU417">$C417*EXP(poly_from_str($AO417,AU$4341))</f>
        <v>0.85979354351791226</v>
      </c>
      <c r="AV417" s="13">
        <f>LN(AS417/AU417)</f>
        <v>0.75042071744478822</v>
      </c>
    </row>
    <row r="418" spans="1:48" x14ac:dyDescent="0.25">
      <c r="A418" t="s">
        <v>706</v>
      </c>
      <c r="B418" s="2" t="str">
        <f t="shared" si="285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286"/>
        <v>6709.51</v>
      </c>
      <c r="AB418" s="3">
        <f t="shared" si="287"/>
        <v>14900.1</v>
      </c>
      <c r="AC418" s="3" cm="1">
        <f t="array" ref="AC418">100000000/LvacE(AA418)</f>
        <v>14900.104459659817</v>
      </c>
      <c r="AD418" s="10">
        <f t="shared" si="288"/>
        <v>6.1103720286324794E-3</v>
      </c>
      <c r="AE418" s="10" t="b">
        <f t="shared" si="289"/>
        <v>1</v>
      </c>
      <c r="AP418"/>
      <c r="AQ418"/>
      <c r="AU418" s="3" cm="1">
        <f t="array" ref="AU418">$C418*EXP(poly_from_str(100000000/$E418,AU$4341))</f>
        <v>5.1726658013372825E-2</v>
      </c>
    </row>
    <row r="419" spans="1:48" x14ac:dyDescent="0.25">
      <c r="A419" t="s">
        <v>707</v>
      </c>
      <c r="B419" s="2" t="str">
        <f t="shared" si="285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286"/>
        <v>6707.1450000000004</v>
      </c>
      <c r="AB419" s="3">
        <f t="shared" si="287"/>
        <v>14905.36</v>
      </c>
      <c r="AC419" s="3" cm="1">
        <f t="array" ref="AC419">100000000/LvacE(AA419)</f>
        <v>14905.358334118575</v>
      </c>
      <c r="AD419" s="10">
        <f t="shared" si="288"/>
        <v>6.1111552183618044E-3</v>
      </c>
      <c r="AE419" s="10" t="b">
        <f t="shared" si="289"/>
        <v>1</v>
      </c>
      <c r="AP419"/>
      <c r="AQ419"/>
      <c r="AU419" s="3" cm="1">
        <f t="array" ref="AU419">$C419*EXP(poly_from_str(100000000/$E419,AU$4341))</f>
        <v>1.7259357536382552E-2</v>
      </c>
    </row>
    <row r="420" spans="1:48" x14ac:dyDescent="0.25">
      <c r="A420" t="s">
        <v>708</v>
      </c>
      <c r="B420" s="2" t="str">
        <f t="shared" si="285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286"/>
        <v>6706.7049999999999</v>
      </c>
      <c r="AB420" s="3">
        <f t="shared" si="287"/>
        <v>14906.34</v>
      </c>
      <c r="AC420" s="3" cm="1">
        <f t="array" ref="AC420">100000000/LvacE(AA420)</f>
        <v>14906.336207942877</v>
      </c>
      <c r="AD420" s="10">
        <f t="shared" si="288"/>
        <v>6.1113010194978664E-3</v>
      </c>
      <c r="AE420" s="10" t="b">
        <f t="shared" si="289"/>
        <v>1</v>
      </c>
      <c r="AJ420" t="s">
        <v>4994</v>
      </c>
      <c r="AK420" t="s">
        <v>4748</v>
      </c>
      <c r="AL420">
        <v>4453.76</v>
      </c>
      <c r="AM420">
        <v>19360.099999999999</v>
      </c>
      <c r="AN420" s="10" cm="1">
        <f t="array" ref="AN420">Lair(100000000/($AM420-$AL420))</f>
        <v>6706.7033085046878</v>
      </c>
      <c r="AO420" s="10">
        <f>100000000/($AM420-$AL420)</f>
        <v>6708.5548833583571</v>
      </c>
      <c r="AP420" s="12">
        <v>3330000</v>
      </c>
      <c r="AQ420" s="3">
        <v>0.13100000000000001</v>
      </c>
      <c r="AR420" s="3">
        <f>LN(AU420*100000000/($AM420-$AL420)/AP420)</f>
        <v>-3.8696294021097697</v>
      </c>
      <c r="AS420" s="13">
        <f>EXP(AR$4341*$AM420+AR$4342)*$AP420/(100000000/($AM420-$AL420))</f>
        <v>10.264041996794974</v>
      </c>
      <c r="AT420" s="3">
        <f>LN(AS420/$C420)</f>
        <v>-4.0682829362515003</v>
      </c>
      <c r="AU420" s="3" cm="1">
        <f t="array" ref="AU420">$C420*EXP(poly_from_str($AO420,AU$4341))</f>
        <v>10.357538589148897</v>
      </c>
      <c r="AV420" s="13">
        <f>LN(AS420/AU420)</f>
        <v>-9.0679017182189441E-3</v>
      </c>
    </row>
    <row r="421" spans="1:48" x14ac:dyDescent="0.25">
      <c r="A421" t="s">
        <v>709</v>
      </c>
      <c r="B421" s="2" t="str">
        <f t="shared" si="285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286"/>
        <v>6703.9139999999998</v>
      </c>
      <c r="AB421" s="3">
        <f t="shared" si="287"/>
        <v>14912.54</v>
      </c>
      <c r="AC421" s="3" cm="1">
        <f t="array" ref="AC421">100000000/LvacE(AA421)</f>
        <v>14912.542028872684</v>
      </c>
      <c r="AD421" s="10">
        <f t="shared" si="288"/>
        <v>6.1122265313123562E-3</v>
      </c>
      <c r="AE421" s="10" t="b">
        <f t="shared" si="289"/>
        <v>1</v>
      </c>
      <c r="AP421"/>
      <c r="AQ421"/>
      <c r="AU421" s="3" cm="1">
        <f t="array" ref="AU421">$C421*EXP(poly_from_str(100000000/$E421,AU$4341))</f>
        <v>3.456590452173984E-2</v>
      </c>
    </row>
    <row r="422" spans="1:48" x14ac:dyDescent="0.25">
      <c r="A422" t="s">
        <v>710</v>
      </c>
      <c r="B422" s="2" t="str">
        <f t="shared" si="285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286"/>
        <v>6692.241</v>
      </c>
      <c r="AB422" s="3">
        <f t="shared" si="287"/>
        <v>14938.55</v>
      </c>
      <c r="AC422" s="3" cm="1">
        <f t="array" ref="AC422">100000000/LvacE(AA422)</f>
        <v>14938.55317627544</v>
      </c>
      <c r="AD422" s="10">
        <f t="shared" si="288"/>
        <v>6.1161099231390086E-3</v>
      </c>
      <c r="AE422" s="10" t="b">
        <f t="shared" si="289"/>
        <v>1</v>
      </c>
      <c r="AJ422" t="s">
        <v>4967</v>
      </c>
      <c r="AK422" t="s">
        <v>4749</v>
      </c>
      <c r="AL422">
        <v>9370.66</v>
      </c>
      <c r="AM422">
        <v>24309.200000000001</v>
      </c>
      <c r="AN422" s="10" cm="1">
        <f t="array" ref="AN422">Lair(100000000/($AM422-$AL422))</f>
        <v>6692.2469173636018</v>
      </c>
      <c r="AO422" s="10">
        <f>100000000/($AM422-$AL422)</f>
        <v>6694.094603622576</v>
      </c>
      <c r="AU422" s="3" cm="1">
        <f t="array" ref="AU422">$C422*EXP(poly_from_str($AO422,AU$4341))</f>
        <v>0.86851722137248799</v>
      </c>
    </row>
    <row r="423" spans="1:48" x14ac:dyDescent="0.25">
      <c r="A423" t="s">
        <v>712</v>
      </c>
      <c r="B423" s="2" t="str">
        <f t="shared" si="285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286"/>
        <v>6682.7780000000002</v>
      </c>
      <c r="AB423" s="3">
        <f t="shared" si="287"/>
        <v>14959.71</v>
      </c>
      <c r="AC423" s="3" cm="1">
        <f t="array" ref="AC423">100000000/LvacE(AA423)</f>
        <v>14959.706433472857</v>
      </c>
      <c r="AD423" s="10">
        <f t="shared" si="288"/>
        <v>6.1192730353658957E-3</v>
      </c>
      <c r="AE423" s="10" t="b">
        <f t="shared" si="289"/>
        <v>1</v>
      </c>
      <c r="AP423"/>
      <c r="AQ423"/>
      <c r="AU423" s="3" cm="1">
        <f t="array" ref="AU423">$C423*EXP(poly_from_str(100000000/$E423,AU$4341))</f>
        <v>1.7443781870699157E-2</v>
      </c>
    </row>
    <row r="424" spans="1:48" x14ac:dyDescent="0.25">
      <c r="A424" t="s">
        <v>713</v>
      </c>
      <c r="B424" s="2" t="str">
        <f t="shared" si="285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286"/>
        <v>6671.8119999999999</v>
      </c>
      <c r="AB424" s="3">
        <f t="shared" si="287"/>
        <v>14984.29</v>
      </c>
      <c r="AC424" s="3" cm="1">
        <f t="array" ref="AC424">100000000/LvacE(AA424)</f>
        <v>14984.294501667171</v>
      </c>
      <c r="AD424" s="10">
        <f t="shared" si="288"/>
        <v>6.1229553906545307E-3</v>
      </c>
      <c r="AE424" s="10" t="b">
        <f t="shared" si="289"/>
        <v>1</v>
      </c>
      <c r="AP424"/>
      <c r="AQ424"/>
      <c r="AU424" s="3" cm="1">
        <f t="array" ref="AU424">$C424*EXP(poly_from_str(100000000/$E424,AU$4341))</f>
        <v>3.5063295001513332E-2</v>
      </c>
    </row>
    <row r="425" spans="1:48" x14ac:dyDescent="0.25">
      <c r="A425" t="s">
        <v>714</v>
      </c>
      <c r="B425" s="2" t="str">
        <f t="shared" si="285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286"/>
        <v>6671.6109999999999</v>
      </c>
      <c r="AB425" s="3">
        <f t="shared" si="287"/>
        <v>14984.75</v>
      </c>
      <c r="AC425" s="3" cm="1">
        <f t="array" ref="AC425">100000000/LvacE(AA425)</f>
        <v>14984.745940105593</v>
      </c>
      <c r="AD425" s="10">
        <f t="shared" si="288"/>
        <v>6.1230230554588389E-3</v>
      </c>
      <c r="AE425" s="10" t="b">
        <f t="shared" si="289"/>
        <v>1</v>
      </c>
      <c r="AJ425" t="s">
        <v>4815</v>
      </c>
      <c r="AK425" t="s">
        <v>4713</v>
      </c>
      <c r="AL425">
        <v>10950.24</v>
      </c>
      <c r="AM425">
        <v>25934.98</v>
      </c>
      <c r="AN425" s="10" cm="1">
        <f t="array" ref="AN425">Lair(100000000/($AM425-$AL425))</f>
        <v>6671.6136591176546</v>
      </c>
      <c r="AO425" s="10">
        <f>100000000/($AM425-$AL425)</f>
        <v>6673.4557956961553</v>
      </c>
      <c r="AU425" s="3" cm="1">
        <f t="array" ref="AU425">$C425*EXP(poly_from_str($AO425,AU$4341))</f>
        <v>0.17533282344939044</v>
      </c>
    </row>
    <row r="426" spans="1:48" x14ac:dyDescent="0.25">
      <c r="A426" t="s">
        <v>715</v>
      </c>
      <c r="B426" s="2" t="str">
        <f t="shared" si="285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286"/>
        <v>6671.1610000000001</v>
      </c>
      <c r="AB426" s="3">
        <f t="shared" si="287"/>
        <v>14985.76</v>
      </c>
      <c r="AC426" s="3" cm="1">
        <f t="array" ref="AC426">100000000/LvacE(AA426)</f>
        <v>14985.756721802307</v>
      </c>
      <c r="AD426" s="10">
        <f t="shared" si="288"/>
        <v>6.1231745660015029E-3</v>
      </c>
      <c r="AE426" s="10" t="b">
        <f t="shared" si="289"/>
        <v>1</v>
      </c>
      <c r="AP426"/>
      <c r="AQ426"/>
      <c r="AU426" s="3" cm="1">
        <f t="array" ref="AU426">$C426*EXP(poly_from_str(100000000/$E426,AU$4341))</f>
        <v>1.753699150019444E-2</v>
      </c>
    </row>
    <row r="427" spans="1:48" x14ac:dyDescent="0.25">
      <c r="A427" t="s">
        <v>716</v>
      </c>
      <c r="B427" s="2" t="str">
        <f t="shared" si="285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286"/>
        <v>6666.0680000000002</v>
      </c>
      <c r="AB427" s="3">
        <f t="shared" si="287"/>
        <v>14997.21</v>
      </c>
      <c r="AC427" s="3" cm="1">
        <f t="array" ref="AC427">100000000/LvacE(AA427)</f>
        <v>14997.206036800653</v>
      </c>
      <c r="AD427" s="10">
        <f t="shared" si="288"/>
        <v>6.1248914680138763E-3</v>
      </c>
      <c r="AE427" s="10" t="b">
        <f t="shared" si="289"/>
        <v>1</v>
      </c>
      <c r="AP427"/>
      <c r="AQ427"/>
      <c r="AU427" s="3" cm="1">
        <f t="array" ref="AU427">$C427*EXP(poly_from_str(100000000/$E427,AU$4341))</f>
        <v>0</v>
      </c>
    </row>
    <row r="428" spans="1:48" x14ac:dyDescent="0.25">
      <c r="A428" t="s">
        <v>717</v>
      </c>
      <c r="B428" s="2" t="str">
        <f t="shared" si="285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286"/>
        <v>6665.89</v>
      </c>
      <c r="AB428" s="3">
        <f t="shared" si="287"/>
        <v>14997.61</v>
      </c>
      <c r="AC428" s="3" cm="1">
        <f t="array" ref="AC428">100000000/LvacE(AA428)</f>
        <v>14997.606505987185</v>
      </c>
      <c r="AD428" s="10">
        <f t="shared" si="288"/>
        <v>6.1249515448040092E-3</v>
      </c>
      <c r="AE428" s="10" t="b">
        <f t="shared" si="289"/>
        <v>1</v>
      </c>
      <c r="AP428"/>
      <c r="AQ428"/>
      <c r="AU428" s="3" cm="1">
        <f t="array" ref="AU428">$C428*EXP(poly_from_str(100000000/$E428,AU$4341))</f>
        <v>1.7580440818630111E-2</v>
      </c>
    </row>
    <row r="429" spans="1:48" x14ac:dyDescent="0.25">
      <c r="A429" t="s">
        <v>718</v>
      </c>
      <c r="B429" s="2" t="str">
        <f t="shared" si="285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286"/>
        <v>6664.3810000000003</v>
      </c>
      <c r="AB429" s="3">
        <f t="shared" si="287"/>
        <v>15001</v>
      </c>
      <c r="AC429" s="3" cm="1">
        <f t="array" ref="AC429">100000000/LvacE(AA429)</f>
        <v>15001.002354152206</v>
      </c>
      <c r="AD429" s="10">
        <f t="shared" si="288"/>
        <v>6.1254610408792813E-3</v>
      </c>
      <c r="AE429" s="10" t="b">
        <f t="shared" si="289"/>
        <v>1</v>
      </c>
      <c r="AJ429" t="s">
        <v>4812</v>
      </c>
      <c r="AK429" t="s">
        <v>4746</v>
      </c>
      <c r="AL429">
        <v>10032.92</v>
      </c>
      <c r="AM429">
        <v>25033.91</v>
      </c>
      <c r="AN429" s="10" cm="1">
        <f t="array" ref="AN429">Lair(100000000/($AM429-$AL429))</f>
        <v>6664.3865028812615</v>
      </c>
      <c r="AO429" s="10">
        <f>100000000/($AM429-$AL429)</f>
        <v>6666.2266957047505</v>
      </c>
      <c r="AP429" s="12">
        <v>385000</v>
      </c>
      <c r="AQ429" s="3">
        <v>1.4999999999999999E-2</v>
      </c>
      <c r="AR429" s="3"/>
      <c r="AS429" s="13">
        <f>EXP(AR$4341*$AM429+AR$4342)*$AP429/(100000000/($AM429-$AL429))</f>
        <v>0.78011883893074507</v>
      </c>
      <c r="AT429" s="3"/>
      <c r="AU429" s="3" cm="1">
        <f t="array" ref="AU429">$C429*EXP(poly_from_str($AO429,AU$4341))</f>
        <v>0.17592955016349737</v>
      </c>
    </row>
    <row r="430" spans="1:48" x14ac:dyDescent="0.25">
      <c r="A430" t="s">
        <v>719</v>
      </c>
      <c r="B430" s="2" t="str">
        <f t="shared" si="285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286"/>
        <v>6643.6880000000001</v>
      </c>
      <c r="AB430" s="3">
        <f t="shared" si="287"/>
        <v>15047.73</v>
      </c>
      <c r="AC430" s="3" cm="1">
        <f t="array" ref="AC430">100000000/LvacE(AA430)</f>
        <v>15047.725425073266</v>
      </c>
      <c r="AD430" s="10">
        <f t="shared" si="288"/>
        <v>6.1324828487636131E-3</v>
      </c>
      <c r="AE430" s="10" t="b">
        <f t="shared" si="289"/>
        <v>1</v>
      </c>
      <c r="AP430"/>
      <c r="AQ430"/>
      <c r="AU430" s="3" cm="1">
        <f t="array" ref="AU430">$C430*EXP(poly_from_str(100000000/$E430,AU$4341))</f>
        <v>1.7771574218197542E-2</v>
      </c>
    </row>
    <row r="431" spans="1:48" x14ac:dyDescent="0.25">
      <c r="A431" t="s">
        <v>720</v>
      </c>
      <c r="B431" s="2" t="str">
        <f t="shared" si="285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328">$G431&amp;""</f>
        <v>o</v>
      </c>
      <c r="N431" t="str">
        <f t="shared" ref="N431:N434" si="329">$H431&amp;""</f>
        <v>5/2</v>
      </c>
      <c r="O431">
        <v>29267.86</v>
      </c>
      <c r="P431" t="str">
        <f t="shared" ref="P431:P434" si="330">$J431&amp;""</f>
        <v>e</v>
      </c>
      <c r="Q431" t="str">
        <f t="shared" ref="Q431:Q434" si="331">$K431&amp;""</f>
        <v>5/2</v>
      </c>
      <c r="R431">
        <v>6</v>
      </c>
      <c r="AA431" s="10">
        <f t="shared" si="286"/>
        <v>6629.2370000000001</v>
      </c>
      <c r="AB431" s="3">
        <f t="shared" si="287"/>
        <v>15080.53</v>
      </c>
      <c r="AC431" s="3" cm="1">
        <f t="array" ref="AC431">100000000/LvacE(AA431)</f>
        <v>15080.527556863197</v>
      </c>
      <c r="AD431" s="10">
        <f t="shared" si="288"/>
        <v>6.1374255858451885E-3</v>
      </c>
      <c r="AE431" s="10" t="b">
        <f t="shared" si="289"/>
        <v>1</v>
      </c>
      <c r="AJ431" t="s">
        <v>4979</v>
      </c>
      <c r="AK431" t="s">
        <v>4700</v>
      </c>
      <c r="AL431">
        <v>14187.35</v>
      </c>
      <c r="AM431">
        <v>29267.86</v>
      </c>
      <c r="AN431" s="10" cm="1">
        <f t="array" ref="AN431">Lair(100000000/($AM431-$AL431))</f>
        <v>6629.244731976778</v>
      </c>
      <c r="AO431" s="10">
        <f t="shared" ref="AO431:AO434" si="332">100000000/($AM431-$AL431)</f>
        <v>6631.0754742379404</v>
      </c>
      <c r="AP431" s="12">
        <v>37900</v>
      </c>
      <c r="AQ431" s="3">
        <v>2.9000000000000001E-2</v>
      </c>
      <c r="AR431" s="3"/>
      <c r="AS431" s="13">
        <f>EXP(AR$4341*$AM431+AR$4342)*$AP431/(100000000/($AM431-$AL431))</f>
        <v>5.6187639623469739E-2</v>
      </c>
      <c r="AT431" s="3"/>
      <c r="AU431" s="3" cm="1">
        <f t="array" ref="AU431">$C431*EXP(poly_from_str($AO431,AU$4341))</f>
        <v>7.161251515117692E-2</v>
      </c>
    </row>
    <row r="432" spans="1:48" x14ac:dyDescent="0.25">
      <c r="A432" t="s">
        <v>721</v>
      </c>
      <c r="B432" s="2" t="str">
        <f t="shared" si="285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328"/>
        <v>o</v>
      </c>
      <c r="N432" t="str">
        <f t="shared" si="329"/>
        <v>1/2</v>
      </c>
      <c r="O432">
        <v>38549.9</v>
      </c>
      <c r="P432" t="str">
        <f t="shared" si="330"/>
        <v>e</v>
      </c>
      <c r="Q432" t="str">
        <f t="shared" si="331"/>
        <v>1/2</v>
      </c>
      <c r="R432">
        <v>6</v>
      </c>
      <c r="AA432" s="10">
        <f t="shared" si="286"/>
        <v>6627.55</v>
      </c>
      <c r="AB432" s="3">
        <f t="shared" si="287"/>
        <v>15084.37</v>
      </c>
      <c r="AC432" s="3" cm="1">
        <f t="array" ref="AC432">100000000/LvacE(AA432)</f>
        <v>15084.366179809265</v>
      </c>
      <c r="AD432" s="10">
        <f t="shared" si="288"/>
        <v>6.1380047060987288E-3</v>
      </c>
      <c r="AE432" s="10" t="b">
        <f t="shared" si="289"/>
        <v>1</v>
      </c>
      <c r="AJ432" t="s">
        <v>4995</v>
      </c>
      <c r="AK432" t="s">
        <v>4704</v>
      </c>
      <c r="AL432">
        <v>23465.43</v>
      </c>
      <c r="AM432">
        <v>38549.9</v>
      </c>
      <c r="AN432" s="10" cm="1">
        <f t="array" ref="AN432">Lair(100000000/($AM432-$AL432))</f>
        <v>6627.504399065896</v>
      </c>
      <c r="AO432" s="10">
        <f t="shared" si="332"/>
        <v>6629.334673342848</v>
      </c>
      <c r="AU432" s="3" cm="1">
        <f t="array" ref="AU432">$C432*EXP(poly_from_str($AO432,AU$4341))</f>
        <v>0.7167750837027016</v>
      </c>
    </row>
    <row r="433" spans="1:48" x14ac:dyDescent="0.25">
      <c r="A433" t="s">
        <v>722</v>
      </c>
      <c r="B433" s="2" t="str">
        <f t="shared" si="285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328"/>
        <v>o</v>
      </c>
      <c r="N433" t="str">
        <f t="shared" si="329"/>
        <v>3/2</v>
      </c>
      <c r="O433">
        <v>24461.24</v>
      </c>
      <c r="P433" t="str">
        <f t="shared" si="330"/>
        <v>e</v>
      </c>
      <c r="Q433" t="str">
        <f t="shared" si="331"/>
        <v>5/2</v>
      </c>
      <c r="R433">
        <v>6</v>
      </c>
      <c r="S433" t="s">
        <v>6</v>
      </c>
      <c r="AA433" s="10">
        <f t="shared" si="286"/>
        <v>6624.8239999999996</v>
      </c>
      <c r="AB433" s="3">
        <f t="shared" si="287"/>
        <v>15090.57</v>
      </c>
      <c r="AC433" s="3" cm="1">
        <f t="array" ref="AC433">100000000/LvacE(AA433)</f>
        <v>15090.573089426423</v>
      </c>
      <c r="AD433" s="10">
        <f t="shared" si="288"/>
        <v>6.1389414337215918E-3</v>
      </c>
      <c r="AE433" s="10" t="b">
        <f t="shared" si="289"/>
        <v>1</v>
      </c>
      <c r="AJ433" t="s">
        <v>4967</v>
      </c>
      <c r="AK433" t="s">
        <v>4717</v>
      </c>
      <c r="AL433">
        <v>9370.66</v>
      </c>
      <c r="AM433">
        <v>24461.24</v>
      </c>
      <c r="AN433" s="10" cm="1">
        <f t="array" ref="AN433">Lair(100000000/($AM433-$AL433))</f>
        <v>6624.820980282213</v>
      </c>
      <c r="AO433" s="10">
        <f t="shared" si="332"/>
        <v>6626.6505329815018</v>
      </c>
      <c r="AU433" s="3" cm="1">
        <f t="array" ref="AU433">$C433*EXP(poly_from_str($AO433,AU$4341))</f>
        <v>0.53833795981679011</v>
      </c>
    </row>
    <row r="434" spans="1:48" x14ac:dyDescent="0.25">
      <c r="A434" t="s">
        <v>723</v>
      </c>
      <c r="B434" s="2" t="str">
        <f t="shared" si="285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328"/>
        <v>o</v>
      </c>
      <c r="N434" t="str">
        <f t="shared" si="329"/>
        <v>11/2</v>
      </c>
      <c r="O434">
        <v>27604.26</v>
      </c>
      <c r="P434" t="str">
        <f t="shared" si="330"/>
        <v>e</v>
      </c>
      <c r="Q434" t="str">
        <f t="shared" si="331"/>
        <v>9/2</v>
      </c>
      <c r="R434">
        <v>6</v>
      </c>
      <c r="AA434" s="10">
        <f t="shared" si="286"/>
        <v>6616.4589999999998</v>
      </c>
      <c r="AB434" s="3">
        <f t="shared" si="287"/>
        <v>15109.65</v>
      </c>
      <c r="AC434" s="3" cm="1">
        <f t="array" ref="AC434">100000000/LvacE(AA434)</f>
        <v>15109.65153090521</v>
      </c>
      <c r="AD434" s="10">
        <f t="shared" si="288"/>
        <v>6.1418231059019038E-3</v>
      </c>
      <c r="AE434" s="10" t="b">
        <f t="shared" si="289"/>
        <v>1</v>
      </c>
      <c r="AJ434" t="s">
        <v>4760</v>
      </c>
      <c r="AK434" t="s">
        <v>4718</v>
      </c>
      <c r="AL434">
        <v>12494.63</v>
      </c>
      <c r="AM434">
        <v>27604.26</v>
      </c>
      <c r="AN434" s="10" cm="1">
        <f t="array" ref="AN434">Lair(100000000/($AM434-$AL434))</f>
        <v>6616.4684423978979</v>
      </c>
      <c r="AO434" s="10">
        <f t="shared" si="332"/>
        <v>6618.2957491348234</v>
      </c>
      <c r="AP434" s="12">
        <v>2830000</v>
      </c>
      <c r="AQ434" s="3">
        <v>0.14699999999999999</v>
      </c>
      <c r="AR434" s="3">
        <f>LN(AU434*100000000/($AM434-$AL434)/AP434)</f>
        <v>-5.4690515574653036</v>
      </c>
      <c r="AS434" s="13">
        <f>EXP(AR$4341*$AM434+AR$4342)*$AP434/(100000000/($AM434-$AL434))</f>
        <v>4.7626264617466791</v>
      </c>
      <c r="AT434" s="3">
        <f>LN(AS434/$C434)</f>
        <v>-3.0443708922402171</v>
      </c>
      <c r="AU434" s="3" cm="1">
        <f t="array" ref="AU434">$C434*EXP(poly_from_str($AO434,AU$4341))</f>
        <v>1.8024422234055451</v>
      </c>
      <c r="AV434" s="13">
        <f>LN(AS434/AU434)</f>
        <v>0.97165675767379101</v>
      </c>
    </row>
    <row r="435" spans="1:48" x14ac:dyDescent="0.25">
      <c r="A435" t="s">
        <v>724</v>
      </c>
      <c r="B435" s="2" t="str">
        <f t="shared" si="285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286"/>
        <v>6603.1940000000004</v>
      </c>
      <c r="AB435" s="3">
        <f t="shared" si="287"/>
        <v>15140</v>
      </c>
      <c r="AC435" s="3" cm="1">
        <f t="array" ref="AC435">100000000/LvacE(AA435)</f>
        <v>15140.004730334387</v>
      </c>
      <c r="AD435" s="10">
        <f t="shared" si="288"/>
        <v>6.1464152598223213E-3</v>
      </c>
      <c r="AE435" s="10" t="b">
        <f t="shared" si="289"/>
        <v>1</v>
      </c>
      <c r="AP435"/>
      <c r="AQ435"/>
      <c r="AU435" s="3" cm="1">
        <f t="array" ref="AU435">$C435*EXP(poly_from_str(100000000/$E435,AU$4341))</f>
        <v>1.8155431146732126E-2</v>
      </c>
    </row>
    <row r="436" spans="1:48" x14ac:dyDescent="0.25">
      <c r="A436" t="s">
        <v>725</v>
      </c>
      <c r="B436" s="2" t="str">
        <f t="shared" si="285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286"/>
        <v>6593.6030000000001</v>
      </c>
      <c r="AB436" s="3">
        <f t="shared" si="287"/>
        <v>15162.03</v>
      </c>
      <c r="AC436" s="3" cm="1">
        <f t="array" ref="AC436">100000000/LvacE(AA436)</f>
        <v>15162.027093792452</v>
      </c>
      <c r="AD436" s="10">
        <f t="shared" si="288"/>
        <v>6.1497528053927764E-3</v>
      </c>
      <c r="AE436" s="10" t="b">
        <f t="shared" si="289"/>
        <v>1</v>
      </c>
      <c r="AP436"/>
      <c r="AQ436"/>
      <c r="AU436" s="3" cm="1">
        <f t="array" ref="AU436">$C436*EXP(poly_from_str(100000000/$E436,AU$4341))</f>
        <v>0.12777369531257576</v>
      </c>
    </row>
    <row r="437" spans="1:48" x14ac:dyDescent="0.25">
      <c r="A437" t="s">
        <v>726</v>
      </c>
      <c r="B437" s="2" t="str">
        <f t="shared" si="285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286"/>
        <v>6581.6390000000001</v>
      </c>
      <c r="AB437" s="3">
        <f t="shared" si="287"/>
        <v>15189.59</v>
      </c>
      <c r="AC437" s="3" cm="1">
        <f t="array" ref="AC437">100000000/LvacE(AA437)</f>
        <v>15189.588185897286</v>
      </c>
      <c r="AD437" s="10">
        <f t="shared" si="288"/>
        <v>6.1539365943572176E-3</v>
      </c>
      <c r="AE437" s="10" t="b">
        <f t="shared" si="289"/>
        <v>1</v>
      </c>
      <c r="AP437"/>
      <c r="AQ437"/>
      <c r="AU437" s="3" cm="1">
        <f t="array" ref="AU437">$C437*EXP(poly_from_str(100000000/$E437,AU$4341))</f>
        <v>1.8379434899446177E-2</v>
      </c>
    </row>
    <row r="438" spans="1:48" x14ac:dyDescent="0.25">
      <c r="A438" t="s">
        <v>727</v>
      </c>
      <c r="B438" s="2" t="str">
        <f t="shared" si="285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333">$G438&amp;""</f>
        <v>o</v>
      </c>
      <c r="N438" t="str">
        <f t="shared" ref="N438:N439" si="334">$H438&amp;""</f>
        <v>3/2</v>
      </c>
      <c r="O438">
        <v>32288.92</v>
      </c>
      <c r="P438" t="str">
        <f t="shared" ref="P438:P439" si="335">$J438&amp;""</f>
        <v>e</v>
      </c>
      <c r="Q438" t="str">
        <f t="shared" ref="Q438:Q439" si="336">$K438&amp;""</f>
        <v>3/2</v>
      </c>
      <c r="R438">
        <v>6</v>
      </c>
      <c r="S438" t="s">
        <v>6</v>
      </c>
      <c r="AA438" s="10">
        <f t="shared" si="286"/>
        <v>6580.0389999999998</v>
      </c>
      <c r="AB438" s="3">
        <f t="shared" si="287"/>
        <v>15193.28</v>
      </c>
      <c r="AC438" s="3" cm="1">
        <f t="array" ref="AC438">100000000/LvacE(AA438)</f>
        <v>15193.28165370181</v>
      </c>
      <c r="AD438" s="10">
        <f t="shared" si="288"/>
        <v>6.1544978421633834E-3</v>
      </c>
      <c r="AE438" s="10" t="b">
        <f t="shared" si="289"/>
        <v>1</v>
      </c>
      <c r="AJ438" t="s">
        <v>4856</v>
      </c>
      <c r="AK438" t="s">
        <v>4719</v>
      </c>
      <c r="AL438">
        <v>17095.63</v>
      </c>
      <c r="AM438">
        <v>32288.92</v>
      </c>
      <c r="AN438" s="10" cm="1">
        <f t="array" ref="AN438">Lair(100000000/($AM438-$AL438))</f>
        <v>6580.0353990445483</v>
      </c>
      <c r="AO438" s="10">
        <f t="shared" ref="AO438:AO439" si="337">100000000/($AM438-$AL438)</f>
        <v>6581.8529100675378</v>
      </c>
      <c r="AU438" s="3" cm="1">
        <f t="array" ref="AU438">$C438*EXP(poly_from_str($AO438,AU$4341))</f>
        <v>1.1037994200136507</v>
      </c>
    </row>
    <row r="439" spans="1:48" x14ac:dyDescent="0.25">
      <c r="A439" t="s">
        <v>728</v>
      </c>
      <c r="B439" s="2" t="str">
        <f t="shared" si="285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333"/>
        <v>o</v>
      </c>
      <c r="N439" t="str">
        <f t="shared" si="334"/>
        <v>15/2</v>
      </c>
      <c r="O439">
        <v>19649.669999999998</v>
      </c>
      <c r="P439" t="str">
        <f t="shared" si="335"/>
        <v>e</v>
      </c>
      <c r="Q439" t="str">
        <f t="shared" si="336"/>
        <v>17/2</v>
      </c>
      <c r="R439">
        <v>6</v>
      </c>
      <c r="S439" t="s">
        <v>6</v>
      </c>
      <c r="AA439" s="10">
        <f t="shared" si="286"/>
        <v>6578.9009999999998</v>
      </c>
      <c r="AB439" s="3">
        <f t="shared" si="287"/>
        <v>15195.91</v>
      </c>
      <c r="AC439" s="3" cm="1">
        <f t="array" ref="AC439">100000000/LvacE(AA439)</f>
        <v>15195.909725958665</v>
      </c>
      <c r="AD439" s="10">
        <f t="shared" si="288"/>
        <v>6.1548972788888802E-3</v>
      </c>
      <c r="AE439" s="10" t="b">
        <f t="shared" si="289"/>
        <v>1</v>
      </c>
      <c r="AJ439" t="s">
        <v>4994</v>
      </c>
      <c r="AK439" t="s">
        <v>4721</v>
      </c>
      <c r="AL439">
        <v>4453.76</v>
      </c>
      <c r="AM439">
        <v>19649.669999999998</v>
      </c>
      <c r="AN439" s="10" cm="1">
        <f t="array" ref="AN439">Lair(100000000/($AM439-$AL439))</f>
        <v>6578.900895104769</v>
      </c>
      <c r="AO439" s="10">
        <f t="shared" si="337"/>
        <v>6580.7181011206312</v>
      </c>
      <c r="AP439" s="12">
        <v>2300000</v>
      </c>
      <c r="AQ439" s="3">
        <v>0.59499999999999997</v>
      </c>
      <c r="AR439" s="3">
        <f>LN(AU439*100000000/($AM439-$AL439)/AP439)</f>
        <v>-4.5531244556483959</v>
      </c>
      <c r="AS439" s="13">
        <f>EXP(AR$4341*$AM439+AR$4342)*$AP439/(100000000/($AM439-$AL439))</f>
        <v>7.0716365736213591</v>
      </c>
      <c r="AT439" s="3">
        <f>LN(AS439/$C439)</f>
        <v>-3.3422254320097964</v>
      </c>
      <c r="AU439" s="3" cm="1">
        <f t="array" ref="AU439">$C439*EXP(poly_from_str($AO439,AU$4341))</f>
        <v>3.6817790504226746</v>
      </c>
      <c r="AV439" s="13">
        <f>LN(AS439/AU439)</f>
        <v>0.65269586156085901</v>
      </c>
    </row>
    <row r="440" spans="1:48" x14ac:dyDescent="0.25">
      <c r="A440" t="s">
        <v>729</v>
      </c>
      <c r="B440" s="2" t="str">
        <f t="shared" si="285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286"/>
        <v>6564.777</v>
      </c>
      <c r="AB440" s="3">
        <f t="shared" si="287"/>
        <v>15228.6</v>
      </c>
      <c r="AC440" s="3" cm="1">
        <f t="array" ref="AC440">100000000/LvacE(AA440)</f>
        <v>15228.603211671334</v>
      </c>
      <c r="AD440" s="10">
        <f t="shared" si="288"/>
        <v>6.1598720879377424E-3</v>
      </c>
      <c r="AE440" s="10" t="b">
        <f t="shared" si="289"/>
        <v>1</v>
      </c>
      <c r="AP440"/>
      <c r="AQ440"/>
      <c r="AU440" s="3" cm="1">
        <f t="array" ref="AU440">$C440*EXP(poly_from_str(100000000/$E440,AU$4341))</f>
        <v>1.8564621130537817E-2</v>
      </c>
    </row>
    <row r="441" spans="1:48" x14ac:dyDescent="0.25">
      <c r="A441" t="s">
        <v>730</v>
      </c>
      <c r="B441" s="2" t="str">
        <f t="shared" si="285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AA441" s="10">
        <f t="shared" si="286"/>
        <v>6546.2979999999998</v>
      </c>
      <c r="AB441" s="3">
        <f t="shared" si="287"/>
        <v>15271.59</v>
      </c>
      <c r="AC441" s="3" cm="1">
        <f t="array" ref="AC441">100000000/LvacE(AA441)</f>
        <v>15271.590449323146</v>
      </c>
      <c r="AD441" s="10">
        <f t="shared" si="288"/>
        <v>6.1664295185861646E-3</v>
      </c>
      <c r="AE441" s="10" t="b">
        <f t="shared" si="289"/>
        <v>1</v>
      </c>
      <c r="AJ441" t="s">
        <v>4715</v>
      </c>
      <c r="AK441" t="s">
        <v>4720</v>
      </c>
      <c r="AL441">
        <v>10138.18</v>
      </c>
      <c r="AM441">
        <v>25409.74</v>
      </c>
      <c r="AN441" s="10" cm="1">
        <f t="array" ref="AN441">Lair(100000000/($AM441-$AL441))</f>
        <v>6546.3110660044722</v>
      </c>
      <c r="AO441" s="10">
        <f>100000000/($AM441-$AL441)</f>
        <v>6548.1195110388189</v>
      </c>
      <c r="AU441" s="3" cm="1">
        <f t="array" ref="AU441">$C441*EXP(poly_from_str($AO441,AU$4341))</f>
        <v>0.56333739472192856</v>
      </c>
    </row>
    <row r="442" spans="1:48" x14ac:dyDescent="0.25">
      <c r="A442" t="s">
        <v>731</v>
      </c>
      <c r="B442" s="2" t="str">
        <f t="shared" si="285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286"/>
        <v>6514.5550000000003</v>
      </c>
      <c r="AB442" s="3">
        <f t="shared" si="287"/>
        <v>15346</v>
      </c>
      <c r="AC442" s="3" cm="1">
        <f t="array" ref="AC442">100000000/LvacE(AA442)</f>
        <v>15346.002663374175</v>
      </c>
      <c r="AD442" s="10">
        <f t="shared" si="288"/>
        <v>6.1778243228719516E-3</v>
      </c>
      <c r="AE442" s="10" t="b">
        <f t="shared" si="289"/>
        <v>1</v>
      </c>
      <c r="AP442"/>
      <c r="AQ442"/>
      <c r="AU442" s="3" cm="1">
        <f t="array" ref="AU442">$C442*EXP(poly_from_str(100000000/$E442,AU$4341))</f>
        <v>1.9171360205659356E-2</v>
      </c>
    </row>
    <row r="443" spans="1:48" x14ac:dyDescent="0.25">
      <c r="A443" t="s">
        <v>732</v>
      </c>
      <c r="B443" s="2" t="str">
        <f t="shared" si="285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286"/>
        <v>6513.5379999999996</v>
      </c>
      <c r="AB443" s="3">
        <f t="shared" si="287"/>
        <v>15348.4</v>
      </c>
      <c r="AC443" s="3" cm="1">
        <f t="array" ref="AC443">100000000/LvacE(AA443)</f>
        <v>15348.398714085602</v>
      </c>
      <c r="AD443" s="10">
        <f t="shared" si="288"/>
        <v>6.1781921525663631E-3</v>
      </c>
      <c r="AE443" s="10" t="b">
        <f t="shared" si="289"/>
        <v>1</v>
      </c>
      <c r="AJ443" t="s">
        <v>4977</v>
      </c>
      <c r="AK443" t="s">
        <v>4724</v>
      </c>
      <c r="AL443">
        <v>2893.14</v>
      </c>
      <c r="AM443">
        <v>18241.54</v>
      </c>
      <c r="AN443" s="10" cm="1">
        <f t="array" ref="AN443">Lair(100000000/($AM443-$AL443))</f>
        <v>6513.53746756702</v>
      </c>
      <c r="AO443" s="10">
        <f>100000000/($AM443-$AL443)</f>
        <v>6515.3371035417367</v>
      </c>
      <c r="AP443" s="12">
        <v>24800</v>
      </c>
      <c r="AQ443" s="3">
        <v>6.0000000000000001E-3</v>
      </c>
      <c r="AR443" s="3"/>
      <c r="AS443" s="13">
        <f>EXP(AR$4341*$AM443+AR$4342)*$AP443/(100000000/($AM443-$AL443))</f>
        <v>8.5600145263120361E-2</v>
      </c>
      <c r="AT443" s="3"/>
      <c r="AU443" s="3" cm="1">
        <f t="array" ref="AU443">$C443*EXP(poly_from_str($AO443,AU$4341))</f>
        <v>0.19184559380557281</v>
      </c>
    </row>
    <row r="444" spans="1:48" x14ac:dyDescent="0.25">
      <c r="A444" t="s">
        <v>733</v>
      </c>
      <c r="B444" s="2" t="str">
        <f t="shared" si="285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286"/>
        <v>6502.7460000000001</v>
      </c>
      <c r="AB444" s="3">
        <f t="shared" si="287"/>
        <v>15373.87</v>
      </c>
      <c r="AC444" s="3" cm="1">
        <f t="array" ref="AC444">100000000/LvacE(AA444)</f>
        <v>15373.870825430378</v>
      </c>
      <c r="AD444" s="10">
        <f t="shared" si="288"/>
        <v>6.1821060537679299E-3</v>
      </c>
      <c r="AE444" s="10" t="b">
        <f t="shared" si="289"/>
        <v>1</v>
      </c>
      <c r="AP444"/>
      <c r="AQ444"/>
      <c r="AU444" s="3" cm="1">
        <f t="array" ref="AU444">$C444*EXP(poly_from_str(100000000/$E444,AU$4341))</f>
        <v>1.9326650465828595E-2</v>
      </c>
    </row>
    <row r="445" spans="1:48" x14ac:dyDescent="0.25">
      <c r="A445" t="s">
        <v>734</v>
      </c>
      <c r="B445" s="2" t="str">
        <f t="shared" si="285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338">$G445&amp;""</f>
        <v>o</v>
      </c>
      <c r="N445" t="str">
        <f t="shared" ref="N445:N448" si="339">$H445&amp;""</f>
        <v>11/2</v>
      </c>
      <c r="O445">
        <v>39732.99</v>
      </c>
      <c r="P445" t="str">
        <f t="shared" ref="P445:P448" si="340">$J445&amp;""</f>
        <v>e</v>
      </c>
      <c r="Q445" t="str">
        <f t="shared" ref="Q445:Q448" si="341">$K445&amp;""</f>
        <v>11/2</v>
      </c>
      <c r="R445">
        <v>6</v>
      </c>
      <c r="AA445" s="10">
        <f t="shared" si="286"/>
        <v>6502.2460000000001</v>
      </c>
      <c r="AB445" s="3">
        <f t="shared" si="287"/>
        <v>15375.05</v>
      </c>
      <c r="AC445" s="3" cm="1">
        <f t="array" ref="AC445">100000000/LvacE(AA445)</f>
        <v>15375.05301346226</v>
      </c>
      <c r="AD445" s="10">
        <f t="shared" si="288"/>
        <v>6.1822878597227989E-3</v>
      </c>
      <c r="AE445" s="10" t="b">
        <f t="shared" si="289"/>
        <v>1</v>
      </c>
      <c r="AJ445" t="s">
        <v>4987</v>
      </c>
      <c r="AK445" t="s">
        <v>4725</v>
      </c>
      <c r="AL445">
        <v>24357.98</v>
      </c>
      <c r="AM445">
        <v>39732.99</v>
      </c>
      <c r="AN445" s="10" cm="1">
        <f t="array" ref="AN445">Lair(100000000/($AM445-$AL445))</f>
        <v>6502.2642041683084</v>
      </c>
      <c r="AO445" s="10">
        <f t="shared" ref="AO445:AO448" si="342">100000000/($AM445-$AL445)</f>
        <v>6504.0608103669529</v>
      </c>
      <c r="AP445" s="12">
        <v>628000</v>
      </c>
      <c r="AQ445" s="3">
        <v>3.7999999999999999E-2</v>
      </c>
      <c r="AR445" s="3"/>
      <c r="AS445" s="13">
        <f t="shared" ref="AS445:AS448" si="343">EXP(AR$4341*$AM445+AR$4342)*$AP445/(100000000/($AM445-$AL445))</f>
        <v>0.43278974632429418</v>
      </c>
      <c r="AT445" s="3"/>
      <c r="AU445" s="3" cm="1">
        <f t="array" ref="AU445">$C445*EXP(poly_from_str($AO445,AU$4341))</f>
        <v>0.1933309679937559</v>
      </c>
    </row>
    <row r="446" spans="1:48" x14ac:dyDescent="0.25">
      <c r="A446" t="s">
        <v>735</v>
      </c>
      <c r="B446" s="2">
        <f t="shared" si="285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338"/>
        <v>o</v>
      </c>
      <c r="N446" t="str">
        <f t="shared" si="339"/>
        <v>9/2</v>
      </c>
      <c r="O446">
        <v>25409.74</v>
      </c>
      <c r="P446" t="str">
        <f t="shared" si="340"/>
        <v>e</v>
      </c>
      <c r="Q446" t="str">
        <f t="shared" si="341"/>
        <v>7/2</v>
      </c>
      <c r="R446">
        <v>6</v>
      </c>
      <c r="S446" t="s">
        <v>420</v>
      </c>
      <c r="AA446" s="10">
        <f t="shared" si="286"/>
        <v>6501.4889999999996</v>
      </c>
      <c r="AB446" s="3">
        <f t="shared" si="287"/>
        <v>15376.84</v>
      </c>
      <c r="AC446" s="3" cm="1">
        <f t="array" ref="AC446">100000000/LvacE(AA446)</f>
        <v>15376.843192185333</v>
      </c>
      <c r="AD446" s="10">
        <f t="shared" si="288"/>
        <v>6.1825631937687912E-3</v>
      </c>
      <c r="AE446" s="10" t="b">
        <f t="shared" si="289"/>
        <v>1</v>
      </c>
      <c r="AJ446" t="s">
        <v>4812</v>
      </c>
      <c r="AK446" t="s">
        <v>4720</v>
      </c>
      <c r="AL446">
        <v>10032.92</v>
      </c>
      <c r="AM446">
        <v>25409.74</v>
      </c>
      <c r="AN446" s="10" cm="1">
        <f t="array" ref="AN446">Lair(100000000/($AM446-$AL446))</f>
        <v>6501.4988191864504</v>
      </c>
      <c r="AO446" s="10">
        <f t="shared" si="342"/>
        <v>6503.295219687815</v>
      </c>
      <c r="AP446" s="12">
        <v>2070000</v>
      </c>
      <c r="AQ446" s="3">
        <v>7.6999999999999999E-2</v>
      </c>
      <c r="AR446" s="3">
        <f t="shared" ref="AR446:AR448" si="344">LN(AU446*100000000/($AM446-$AL446)/AP446)</f>
        <v>-4.0046191452366475</v>
      </c>
      <c r="AS446" s="13">
        <f t="shared" si="343"/>
        <v>4.1799182822752643</v>
      </c>
      <c r="AT446" s="3">
        <f t="shared" ref="AT446:AT448" si="345">LN(AS446/$C446)</f>
        <v>-4.2734907780055469</v>
      </c>
      <c r="AU446" s="3" cm="1">
        <f t="array" ref="AU446">$C446*EXP(poly_from_str($AO446,AU$4341))</f>
        <v>5.803004123014853</v>
      </c>
      <c r="AV446" s="13">
        <f t="shared" ref="AV446:AV448" si="346">LN(AS446/AU446)</f>
        <v>-0.32808403905469585</v>
      </c>
    </row>
    <row r="447" spans="1:48" x14ac:dyDescent="0.25">
      <c r="A447" t="s">
        <v>735</v>
      </c>
      <c r="B447" s="2">
        <f t="shared" si="285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338"/>
        <v>o</v>
      </c>
      <c r="N447" t="str">
        <f t="shared" si="339"/>
        <v>9/2</v>
      </c>
      <c r="O447">
        <v>27138.55</v>
      </c>
      <c r="P447" t="str">
        <f t="shared" si="340"/>
        <v>e</v>
      </c>
      <c r="Q447" t="str">
        <f t="shared" si="341"/>
        <v>7/2</v>
      </c>
      <c r="R447">
        <v>6</v>
      </c>
      <c r="S447" t="s">
        <v>6</v>
      </c>
      <c r="AA447" s="10">
        <f t="shared" si="286"/>
        <v>6501.4889999999996</v>
      </c>
      <c r="AB447" s="3">
        <f t="shared" si="287"/>
        <v>15376.84</v>
      </c>
      <c r="AC447" s="3" cm="1">
        <f t="array" ref="AC447">100000000/LvacE(AA447)</f>
        <v>15376.843192185333</v>
      </c>
      <c r="AD447" s="10">
        <f t="shared" si="288"/>
        <v>6.1825631937687912E-3</v>
      </c>
      <c r="AE447" s="10" t="b">
        <f t="shared" si="289"/>
        <v>1</v>
      </c>
      <c r="AJ447" t="s">
        <v>4695</v>
      </c>
      <c r="AK447" t="s">
        <v>4723</v>
      </c>
      <c r="AL447">
        <v>11761.69</v>
      </c>
      <c r="AM447">
        <v>27138.55</v>
      </c>
      <c r="AN447" s="10" cm="1">
        <f t="array" ref="AN447">Lair(100000000/($AM447-$AL447))</f>
        <v>6501.4819066362134</v>
      </c>
      <c r="AO447" s="10">
        <f t="shared" si="342"/>
        <v>6503.2783025923372</v>
      </c>
      <c r="AP447" s="12">
        <v>6440000</v>
      </c>
      <c r="AQ447" s="3">
        <v>0.39500000000000002</v>
      </c>
      <c r="AR447" s="3">
        <f t="shared" si="344"/>
        <v>-5.1395899577117756</v>
      </c>
      <c r="AS447" s="13">
        <f t="shared" si="343"/>
        <v>11.421900875825063</v>
      </c>
      <c r="AT447" s="3">
        <f t="shared" si="345"/>
        <v>-3.2682498328065481</v>
      </c>
      <c r="AU447" s="3" cm="1">
        <f t="array" ref="AU447">$C447*EXP(poly_from_str($AO447,AU$4341))</f>
        <v>5.8030721443625328</v>
      </c>
      <c r="AV447" s="13">
        <f t="shared" si="346"/>
        <v>0.67714518446574157</v>
      </c>
    </row>
    <row r="448" spans="1:48" x14ac:dyDescent="0.25">
      <c r="A448" t="s">
        <v>737</v>
      </c>
      <c r="B448" s="2" t="str">
        <f t="shared" si="285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338"/>
        <v>o</v>
      </c>
      <c r="N448" t="str">
        <f t="shared" si="339"/>
        <v>7/2</v>
      </c>
      <c r="O448">
        <v>29267.86</v>
      </c>
      <c r="P448" t="str">
        <f t="shared" si="340"/>
        <v>e</v>
      </c>
      <c r="Q448" t="str">
        <f t="shared" si="341"/>
        <v>5/2</v>
      </c>
      <c r="R448">
        <v>6</v>
      </c>
      <c r="AA448" s="10">
        <f t="shared" si="286"/>
        <v>6500.0379999999996</v>
      </c>
      <c r="AB448" s="3">
        <f t="shared" si="287"/>
        <v>15380.28</v>
      </c>
      <c r="AC448" s="3" cm="1">
        <f t="array" ref="AC448">100000000/LvacE(AA448)</f>
        <v>15380.275730731244</v>
      </c>
      <c r="AD448" s="10">
        <f t="shared" si="288"/>
        <v>6.1830912165999063E-3</v>
      </c>
      <c r="AE448" s="10" t="b">
        <f t="shared" si="289"/>
        <v>1</v>
      </c>
      <c r="AJ448" t="s">
        <v>4818</v>
      </c>
      <c r="AK448" t="s">
        <v>4700</v>
      </c>
      <c r="AL448">
        <v>13887.6</v>
      </c>
      <c r="AM448">
        <v>29267.86</v>
      </c>
      <c r="AN448" s="10" cm="1">
        <f t="array" ref="AN448">Lair(100000000/($AM448-$AL448))</f>
        <v>6500.0446613956119</v>
      </c>
      <c r="AO448" s="10">
        <f t="shared" si="342"/>
        <v>6501.8406710939862</v>
      </c>
      <c r="AP448" s="12">
        <v>11500000</v>
      </c>
      <c r="AQ448" s="3">
        <v>0.442</v>
      </c>
      <c r="AR448" s="3">
        <f t="shared" si="344"/>
        <v>-5.0254847845338251</v>
      </c>
      <c r="AS448" s="13">
        <f t="shared" si="343"/>
        <v>17.387897319097245</v>
      </c>
      <c r="AT448" s="3">
        <f t="shared" si="345"/>
        <v>-3.5411552473809471</v>
      </c>
      <c r="AU448" s="3" cm="1">
        <f t="array" ref="AU448">$C448*EXP(poly_from_str($AO448,AU$4341))</f>
        <v>11.617728063737843</v>
      </c>
      <c r="AV448" s="13">
        <f t="shared" si="346"/>
        <v>0.40324219499964387</v>
      </c>
    </row>
    <row r="449" spans="1:48" x14ac:dyDescent="0.25">
      <c r="A449" t="s">
        <v>738</v>
      </c>
      <c r="B449" s="2" t="str">
        <f t="shared" si="285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286"/>
        <v>6490.9080000000004</v>
      </c>
      <c r="AB449" s="3">
        <f t="shared" si="287"/>
        <v>15401.91</v>
      </c>
      <c r="AC449" s="3" cm="1">
        <f t="array" ref="AC449">100000000/LvacE(AA449)</f>
        <v>15401.909199360898</v>
      </c>
      <c r="AD449" s="10">
        <f t="shared" si="288"/>
        <v>6.1864217763801998E-3</v>
      </c>
      <c r="AE449" s="10" t="b">
        <f t="shared" si="289"/>
        <v>1</v>
      </c>
      <c r="AP449"/>
      <c r="AQ449"/>
      <c r="AU449" s="3" cm="1">
        <f t="array" ref="AU449">$C449*EXP(poly_from_str(100000000/$E449,AU$4341))</f>
        <v>1.9487379858152652E-2</v>
      </c>
    </row>
    <row r="450" spans="1:48" x14ac:dyDescent="0.25">
      <c r="A450" t="s">
        <v>739</v>
      </c>
      <c r="B450" s="2" t="str">
        <f t="shared" si="285"/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286"/>
        <v>6467.2640000000001</v>
      </c>
      <c r="AB450" s="3">
        <f t="shared" si="287"/>
        <v>15458.22</v>
      </c>
      <c r="AC450" s="3" cm="1">
        <f t="array" ref="AC450">100000000/LvacE(AA450)</f>
        <v>15458.217395088332</v>
      </c>
      <c r="AD450" s="10">
        <f t="shared" si="288"/>
        <v>6.1951126005593965E-3</v>
      </c>
      <c r="AE450" s="10" t="b">
        <f t="shared" si="289"/>
        <v>1</v>
      </c>
      <c r="AJ450" t="s">
        <v>4992</v>
      </c>
      <c r="AK450" t="s">
        <v>4704</v>
      </c>
      <c r="AL450">
        <v>23091.7</v>
      </c>
      <c r="AM450">
        <v>38549.9</v>
      </c>
      <c r="AN450" s="10" cm="1">
        <f t="array" ref="AN450">Lair(100000000/($AM450-$AL450))</f>
        <v>6467.2712906156748</v>
      </c>
      <c r="AO450" s="10">
        <f>100000000/($AM450-$AL450)</f>
        <v>6469.0584932268957</v>
      </c>
      <c r="AU450" s="3" cm="1">
        <f t="array" ref="AU450">$C450*EXP(poly_from_str($AO450,AU$4341))</f>
        <v>0.13876740328340553</v>
      </c>
    </row>
    <row r="451" spans="1:48" x14ac:dyDescent="0.25">
      <c r="A451" t="s">
        <v>740</v>
      </c>
      <c r="B451" s="2" t="str">
        <f t="shared" ref="B451:B514" si="347">IF(OR(A451=A450,A451=A452),IF(B450="",1,B450+1),"")</f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348">ROUND($A451,3)+0</f>
        <v>6461.8130000000001</v>
      </c>
      <c r="AB451" s="3">
        <f t="shared" ref="AB451:AB514" si="349">ROUND($E451,2)+0</f>
        <v>15471.26</v>
      </c>
      <c r="AC451" s="3" cm="1">
        <f t="array" ref="AC451">100000000/LvacE(AA451)</f>
        <v>15471.257403990405</v>
      </c>
      <c r="AD451" s="10">
        <f t="shared" ref="AD451:AD514" si="350">0.0005/$AA451*AC451+0.005</f>
        <v>6.1971297686880143E-3</v>
      </c>
      <c r="AE451" s="10" t="b">
        <f t="shared" ref="AE451:AE514" si="351">ABS(AB451-AC451)&lt;AD451</f>
        <v>1</v>
      </c>
      <c r="AP451"/>
      <c r="AQ451"/>
      <c r="AU451" s="3" cm="1">
        <f t="array" ref="AU451">$C451*EXP(poly_from_str(100000000/$E451,AU$4341))</f>
        <v>1.9904687663645879E-2</v>
      </c>
    </row>
    <row r="452" spans="1:48" x14ac:dyDescent="0.25">
      <c r="A452" t="s">
        <v>741</v>
      </c>
      <c r="B452" s="2" t="str">
        <f t="shared" si="347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352">$G452&amp;""</f>
        <v>o</v>
      </c>
      <c r="N452" t="str">
        <f t="shared" ref="N452:N453" si="353">$H452&amp;""</f>
        <v>5/2</v>
      </c>
      <c r="O452">
        <v>34520.269999999997</v>
      </c>
      <c r="P452" t="str">
        <f t="shared" ref="P452:P453" si="354">$J452&amp;""</f>
        <v>e</v>
      </c>
      <c r="Q452" t="str">
        <f t="shared" ref="Q452:Q453" si="355">$K452&amp;""</f>
        <v>5/2</v>
      </c>
      <c r="R452">
        <v>6</v>
      </c>
      <c r="AA452" s="10">
        <f t="shared" si="348"/>
        <v>6460.6049999999996</v>
      </c>
      <c r="AB452" s="3">
        <f t="shared" si="349"/>
        <v>15474.15</v>
      </c>
      <c r="AC452" s="3" cm="1">
        <f t="array" ref="AC452">100000000/LvacE(AA452)</f>
        <v>15474.150188180827</v>
      </c>
      <c r="AD452" s="10">
        <f t="shared" si="350"/>
        <v>6.1975774860234326E-3</v>
      </c>
      <c r="AE452" s="10" t="b">
        <f t="shared" si="351"/>
        <v>1</v>
      </c>
      <c r="AJ452" t="s">
        <v>4983</v>
      </c>
      <c r="AK452" t="s">
        <v>4722</v>
      </c>
      <c r="AL452">
        <v>19046.09</v>
      </c>
      <c r="AM452">
        <v>34520.269999999997</v>
      </c>
      <c r="AN452" s="10" cm="1">
        <f t="array" ref="AN452">Lair(100000000/($AM452-$AL452))</f>
        <v>6460.592566121135</v>
      </c>
      <c r="AO452" s="10">
        <f t="shared" ref="AO452:AO453" si="356">100000000/($AM452-$AL452)</f>
        <v>6462.3779741479048</v>
      </c>
      <c r="AU452" s="3" cm="1">
        <f t="array" ref="AU452">$C452*EXP(poly_from_str($AO452,AU$4341))</f>
        <v>0.39845775271204981</v>
      </c>
    </row>
    <row r="453" spans="1:48" x14ac:dyDescent="0.25">
      <c r="A453" t="s">
        <v>742</v>
      </c>
      <c r="B453" s="2" t="str">
        <f t="shared" si="347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352"/>
        <v>e</v>
      </c>
      <c r="N453" t="str">
        <f t="shared" si="353"/>
        <v>7/2</v>
      </c>
      <c r="O453">
        <v>60166.2</v>
      </c>
      <c r="P453" t="str">
        <f t="shared" si="354"/>
        <v>o</v>
      </c>
      <c r="Q453" t="str">
        <f t="shared" si="355"/>
        <v>9/2</v>
      </c>
      <c r="R453">
        <v>6</v>
      </c>
      <c r="S453" t="s">
        <v>743</v>
      </c>
      <c r="AA453" s="10">
        <f t="shared" si="348"/>
        <v>6455.5680000000002</v>
      </c>
      <c r="AB453" s="3">
        <f t="shared" si="349"/>
        <v>15486.22</v>
      </c>
      <c r="AC453" s="3" cm="1">
        <f t="array" ref="AC453">100000000/LvacE(AA453)</f>
        <v>15486.223904636458</v>
      </c>
      <c r="AD453" s="10">
        <f t="shared" si="350"/>
        <v>6.1994470435937209E-3</v>
      </c>
      <c r="AE453" s="10" t="b">
        <f t="shared" si="351"/>
        <v>1</v>
      </c>
      <c r="AJ453" t="s">
        <v>4806</v>
      </c>
      <c r="AK453" t="s">
        <v>4726</v>
      </c>
      <c r="AL453">
        <v>44679.98</v>
      </c>
      <c r="AM453">
        <v>60166.2</v>
      </c>
      <c r="AN453" s="10" cm="1">
        <f t="array" ref="AN453">Lair(100000000/($AM453-$AL453))</f>
        <v>6455.5696405697554</v>
      </c>
      <c r="AO453" s="10">
        <f t="shared" si="356"/>
        <v>6457.3536989659224</v>
      </c>
      <c r="AP453" s="12">
        <v>298000</v>
      </c>
      <c r="AQ453" s="3">
        <v>0.124</v>
      </c>
      <c r="AR453" s="3">
        <f>LN(AU453*100000000/($AM453-$AL453)/AP453)</f>
        <v>-5.9522136198633513</v>
      </c>
      <c r="AS453" s="13">
        <f>EXP(AR$4341*$AM453+AR$4342)*$AP453/(100000000/($AM453-$AL453))</f>
        <v>4.4637141584662088E-2</v>
      </c>
      <c r="AT453" s="3">
        <f>LN(AS453/$C453)</f>
        <v>-4.900948464788967</v>
      </c>
      <c r="AU453" s="3" cm="1">
        <f t="array" ref="AU453">$C453*EXP(poly_from_str($AO453,AU$4341))</f>
        <v>0.11999085791997346</v>
      </c>
      <c r="AV453" s="13">
        <f>LN(AS453/AU453)</f>
        <v>-0.98884927245845122</v>
      </c>
    </row>
    <row r="454" spans="1:48" x14ac:dyDescent="0.25">
      <c r="A454" t="s">
        <v>744</v>
      </c>
      <c r="B454" s="2" t="str">
        <f t="shared" si="347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348"/>
        <v>6455.1319999999996</v>
      </c>
      <c r="AB454" s="3">
        <f t="shared" si="349"/>
        <v>15487.27</v>
      </c>
      <c r="AC454" s="3" cm="1">
        <f t="array" ref="AC454">100000000/LvacE(AA454)</f>
        <v>15487.269885088434</v>
      </c>
      <c r="AD454" s="10">
        <f t="shared" si="350"/>
        <v>6.1996090773270354E-3</v>
      </c>
      <c r="AE454" s="10" t="b">
        <f t="shared" si="351"/>
        <v>1</v>
      </c>
      <c r="AP454"/>
      <c r="AQ454"/>
      <c r="AU454" s="3" cm="1">
        <f t="array" ref="AU454">$C454*EXP(poly_from_str(100000000/$E454,AU$4341))</f>
        <v>2.0005110058814293E-2</v>
      </c>
    </row>
    <row r="455" spans="1:48" x14ac:dyDescent="0.25">
      <c r="A455" t="s">
        <v>745</v>
      </c>
      <c r="B455" s="2" t="str">
        <f t="shared" si="347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348"/>
        <v>6452.5029999999997</v>
      </c>
      <c r="AB455" s="3">
        <f t="shared" si="349"/>
        <v>15493.58</v>
      </c>
      <c r="AC455" s="3" cm="1">
        <f t="array" ref="AC455">100000000/LvacE(AA455)</f>
        <v>15493.579951173373</v>
      </c>
      <c r="AD455" s="10">
        <f t="shared" si="350"/>
        <v>6.2005868072570729E-3</v>
      </c>
      <c r="AE455" s="10" t="b">
        <f t="shared" si="351"/>
        <v>1</v>
      </c>
      <c r="AP455"/>
      <c r="AQ455"/>
      <c r="AU455" s="3" cm="1">
        <f t="array" ref="AU455">$C455*EXP(poly_from_str(100000000/$E455,AU$4341))</f>
        <v>4.0090234120060159E-2</v>
      </c>
    </row>
    <row r="456" spans="1:48" x14ac:dyDescent="0.25">
      <c r="A456" t="s">
        <v>746</v>
      </c>
      <c r="B456" s="2" t="str">
        <f t="shared" si="347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4644</v>
      </c>
      <c r="V456">
        <f>$O456-$L456</f>
        <v>15504.96</v>
      </c>
      <c r="W456">
        <f>$E456-V456</f>
        <v>-9.9999999983992893E-3</v>
      </c>
      <c r="AA456" s="10">
        <f t="shared" si="348"/>
        <v>6447.7730000000001</v>
      </c>
      <c r="AB456" s="3">
        <f t="shared" si="349"/>
        <v>15504.95</v>
      </c>
      <c r="AC456" s="3" cm="1">
        <f t="array" ref="AC456">100000000/LvacE(AA456)</f>
        <v>15504.945746853129</v>
      </c>
      <c r="AD456" s="10">
        <f t="shared" si="350"/>
        <v>6.2023489154203418E-3</v>
      </c>
      <c r="AE456" s="10" t="b">
        <f t="shared" si="351"/>
        <v>1</v>
      </c>
      <c r="AJ456" t="s">
        <v>4795</v>
      </c>
      <c r="AK456" t="s">
        <v>4727</v>
      </c>
      <c r="AL456">
        <v>18693.650000000001</v>
      </c>
      <c r="AM456">
        <v>34198.61</v>
      </c>
      <c r="AN456" s="10" cm="1">
        <f t="array" ref="AN456">Lair(100000000/($AM456-$AL456))</f>
        <v>6447.7670855704037</v>
      </c>
      <c r="AO456" s="10">
        <f>100000000/($AM456-$AL456)</f>
        <v>6449.5490475305969</v>
      </c>
      <c r="AU456" s="3" cm="1">
        <f t="array" ref="AU456">$C456*EXP(poly_from_str($AO456,AU$4341))</f>
        <v>0.10058942029305308</v>
      </c>
    </row>
    <row r="457" spans="1:48" x14ac:dyDescent="0.25">
      <c r="A457" t="s">
        <v>748</v>
      </c>
      <c r="B457" s="2" t="str">
        <f t="shared" si="347"/>
        <v/>
      </c>
      <c r="C457">
        <v>4</v>
      </c>
      <c r="E457">
        <v>15505.05</v>
      </c>
      <c r="R457">
        <v>6</v>
      </c>
      <c r="S457" t="s">
        <v>749</v>
      </c>
      <c r="U457" s="4" t="s">
        <v>4644</v>
      </c>
      <c r="W457">
        <f>$E457-V456</f>
        <v>9.0000000000145519E-2</v>
      </c>
      <c r="AA457" s="10">
        <f t="shared" si="348"/>
        <v>6447.7309999999998</v>
      </c>
      <c r="AB457" s="3">
        <f t="shared" si="349"/>
        <v>15505.05</v>
      </c>
      <c r="AC457" s="3" cm="1">
        <f t="array" ref="AC457">100000000/LvacE(AA457)</f>
        <v>15505.046744044159</v>
      </c>
      <c r="AD457" s="10">
        <f t="shared" si="350"/>
        <v>6.2023645794190363E-3</v>
      </c>
      <c r="AE457" s="10" t="b">
        <f t="shared" si="351"/>
        <v>1</v>
      </c>
      <c r="AP457"/>
      <c r="AQ457"/>
      <c r="AU457" s="3" cm="1">
        <f t="array" ref="AU457">$C457*EXP(poly_from_str(100000000/$E457,AU$4341))</f>
        <v>8.047385083008371E-2</v>
      </c>
    </row>
    <row r="458" spans="1:48" x14ac:dyDescent="0.25">
      <c r="A458" t="s">
        <v>750</v>
      </c>
      <c r="B458" s="2" t="str">
        <f t="shared" si="347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357">$G458&amp;""</f>
        <v>o</v>
      </c>
      <c r="N458" t="str">
        <f t="shared" ref="N458:N460" si="358">$H458&amp;""</f>
        <v>11/2</v>
      </c>
      <c r="O458">
        <v>39870.17</v>
      </c>
      <c r="P458" t="str">
        <f t="shared" ref="P458:P460" si="359">$J458&amp;""</f>
        <v>e</v>
      </c>
      <c r="Q458" t="str">
        <f t="shared" ref="Q458:Q460" si="360">$K458&amp;""</f>
        <v>9/2</v>
      </c>
      <c r="R458">
        <v>6</v>
      </c>
      <c r="S458" t="s">
        <v>751</v>
      </c>
      <c r="AA458" s="10">
        <f t="shared" si="348"/>
        <v>6444.7420000000002</v>
      </c>
      <c r="AB458" s="3">
        <f t="shared" si="349"/>
        <v>15512.24</v>
      </c>
      <c r="AC458" s="3" cm="1">
        <f t="array" ref="AC458">100000000/LvacE(AA458)</f>
        <v>15512.2377578184</v>
      </c>
      <c r="AD458" s="10">
        <f t="shared" si="350"/>
        <v>6.2034801205244836E-3</v>
      </c>
      <c r="AE458" s="10" t="b">
        <f t="shared" si="351"/>
        <v>1</v>
      </c>
      <c r="AJ458" t="s">
        <v>4987</v>
      </c>
      <c r="AK458" t="s">
        <v>4731</v>
      </c>
      <c r="AL458">
        <v>24357.98</v>
      </c>
      <c r="AM458">
        <v>39870.17</v>
      </c>
      <c r="AN458" s="10" cm="1">
        <f t="array" ref="AN458">Lair(100000000/($AM458-$AL458))</f>
        <v>6444.7618545603955</v>
      </c>
      <c r="AO458" s="10">
        <f t="shared" ref="AO458:AO460" si="361">100000000/($AM458-$AL458)</f>
        <v>6446.5430090786667</v>
      </c>
      <c r="AP458" s="12">
        <v>18900000</v>
      </c>
      <c r="AQ458" s="3">
        <v>0.53800000000000003</v>
      </c>
      <c r="AR458" s="3">
        <f t="shared" ref="AR458:AR460" si="362">LN(AU458*100000000/($AM458-$AL458)/AP458)</f>
        <v>-6.1834209869985077</v>
      </c>
      <c r="AS458" s="13">
        <f t="shared" ref="AS458:AS460" si="363">EXP(AR$4341*$AM458+AR$4342)*$AP458/(100000000/($AM458-$AL458))</f>
        <v>13.006660588161223</v>
      </c>
      <c r="AT458" s="3">
        <f t="shared" ref="AT458:AT460" si="364">LN(AS458/$C458)</f>
        <v>-3.1383208954671362</v>
      </c>
      <c r="AU458" s="3" cm="1">
        <f t="array" ref="AU458">$C458*EXP(poly_from_str($AO458,AU$4341))</f>
        <v>6.0493582649535016</v>
      </c>
      <c r="AV458" s="13">
        <f t="shared" ref="AV458:AV460" si="365">LN(AS458/AU458)</f>
        <v>0.76550938468084961</v>
      </c>
    </row>
    <row r="459" spans="1:48" x14ac:dyDescent="0.25">
      <c r="A459" t="s">
        <v>752</v>
      </c>
      <c r="B459" s="2" t="str">
        <f t="shared" si="347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357"/>
        <v>o</v>
      </c>
      <c r="N459" t="str">
        <f t="shared" si="358"/>
        <v>9/2</v>
      </c>
      <c r="O459">
        <v>15525.5</v>
      </c>
      <c r="P459" t="str">
        <f t="shared" si="359"/>
        <v>e</v>
      </c>
      <c r="Q459" t="str">
        <f t="shared" si="360"/>
        <v>11/2</v>
      </c>
      <c r="R459">
        <v>6</v>
      </c>
      <c r="S459" t="s">
        <v>6</v>
      </c>
      <c r="AA459" s="10">
        <f t="shared" si="348"/>
        <v>6439.23</v>
      </c>
      <c r="AB459" s="3">
        <f t="shared" si="349"/>
        <v>15525.52</v>
      </c>
      <c r="AC459" s="3" cm="1">
        <f t="array" ref="AC459">100000000/LvacE(AA459)</f>
        <v>15525.51617717429</v>
      </c>
      <c r="AD459" s="10">
        <f t="shared" si="350"/>
        <v>6.2055413595394401E-3</v>
      </c>
      <c r="AE459" s="10" t="b">
        <f t="shared" si="351"/>
        <v>1</v>
      </c>
      <c r="AJ459" t="s">
        <v>4757</v>
      </c>
      <c r="AK459" t="s">
        <v>4734</v>
      </c>
      <c r="AL459">
        <v>0</v>
      </c>
      <c r="AM459">
        <v>15525.5</v>
      </c>
      <c r="AN459" s="10" cm="1">
        <f t="array" ref="AN459">Lair(100000000/($AM459-$AL459))</f>
        <v>6439.2367223238007</v>
      </c>
      <c r="AO459" s="10">
        <f t="shared" si="361"/>
        <v>6441.0163923867185</v>
      </c>
      <c r="AP459" s="12">
        <v>450000</v>
      </c>
      <c r="AQ459" s="3">
        <v>0.188</v>
      </c>
      <c r="AR459" s="3">
        <f t="shared" si="362"/>
        <v>-4.2340775325524938</v>
      </c>
      <c r="AS459" s="13">
        <f t="shared" si="363"/>
        <v>1.9263715967636572</v>
      </c>
      <c r="AT459" s="3">
        <f t="shared" si="364"/>
        <v>-3.25638477360939</v>
      </c>
      <c r="AU459" s="3" cm="1">
        <f t="array" ref="AU459">$C459*EXP(poly_from_str($AO459,AU$4341))</f>
        <v>1.0125619442606717</v>
      </c>
      <c r="AV459" s="13">
        <f t="shared" si="365"/>
        <v>0.64315453417487622</v>
      </c>
    </row>
    <row r="460" spans="1:48" x14ac:dyDescent="0.25">
      <c r="A460" t="s">
        <v>753</v>
      </c>
      <c r="B460" s="2" t="str">
        <f t="shared" si="347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357"/>
        <v>o</v>
      </c>
      <c r="N460" t="str">
        <f t="shared" si="358"/>
        <v>9/2</v>
      </c>
      <c r="O460">
        <v>31254.71</v>
      </c>
      <c r="P460" t="str">
        <f t="shared" si="359"/>
        <v>e</v>
      </c>
      <c r="Q460" t="str">
        <f t="shared" si="360"/>
        <v>7/2</v>
      </c>
      <c r="R460">
        <v>6</v>
      </c>
      <c r="AA460" s="10">
        <f t="shared" si="348"/>
        <v>6429.2569999999996</v>
      </c>
      <c r="AB460" s="3">
        <f t="shared" si="349"/>
        <v>15549.6</v>
      </c>
      <c r="AC460" s="3" cm="1">
        <f t="array" ref="AC460">100000000/LvacE(AA460)</f>
        <v>15549.599018692095</v>
      </c>
      <c r="AD460" s="10">
        <f t="shared" si="350"/>
        <v>6.2092842935577239E-3</v>
      </c>
      <c r="AE460" s="10" t="b">
        <f t="shared" si="351"/>
        <v>1</v>
      </c>
      <c r="AJ460" t="s">
        <v>4767</v>
      </c>
      <c r="AK460" t="s">
        <v>4735</v>
      </c>
      <c r="AL460">
        <v>15705.13</v>
      </c>
      <c r="AM460">
        <v>31254.71</v>
      </c>
      <c r="AN460" s="10" cm="1">
        <f t="array" ref="AN460">Lair(100000000/($AM460-$AL460))</f>
        <v>6429.2648763734869</v>
      </c>
      <c r="AO460" s="10">
        <f t="shared" si="361"/>
        <v>6431.0418673687645</v>
      </c>
      <c r="AP460" s="12">
        <v>9900000</v>
      </c>
      <c r="AQ460" s="3">
        <v>0.41499999999999998</v>
      </c>
      <c r="AR460" s="3">
        <f t="shared" si="362"/>
        <v>-5.5270565419477728</v>
      </c>
      <c r="AS460" s="13">
        <f t="shared" si="363"/>
        <v>13.037166426956547</v>
      </c>
      <c r="AT460" s="3">
        <f t="shared" si="364"/>
        <v>-3.1359782403167209</v>
      </c>
      <c r="AU460" s="3" cm="1">
        <f t="array" ref="AU460">$C460*EXP(poly_from_str($AO460,AU$4341))</f>
        <v>6.1232740979754352</v>
      </c>
      <c r="AV460" s="13">
        <f t="shared" si="365"/>
        <v>0.75570729753848898</v>
      </c>
    </row>
    <row r="461" spans="1:48" x14ac:dyDescent="0.25">
      <c r="A461" t="s">
        <v>754</v>
      </c>
      <c r="B461" s="2" t="str">
        <f t="shared" si="347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348"/>
        <v>6426.6040000000003</v>
      </c>
      <c r="AB461" s="3">
        <f t="shared" si="349"/>
        <v>15556.02</v>
      </c>
      <c r="AC461" s="3" cm="1">
        <f t="array" ref="AC461">100000000/LvacE(AA461)</f>
        <v>15556.018080334232</v>
      </c>
      <c r="AD461" s="10">
        <f t="shared" si="350"/>
        <v>6.210282917722504E-3</v>
      </c>
      <c r="AE461" s="10" t="b">
        <f t="shared" si="351"/>
        <v>1</v>
      </c>
      <c r="AP461"/>
      <c r="AQ461"/>
      <c r="AU461" s="3" cm="1">
        <f t="array" ref="AU461">$C461*EXP(poly_from_str(100000000/$E461,AU$4341))</f>
        <v>2.0454233246192787E-2</v>
      </c>
    </row>
    <row r="462" spans="1:48" x14ac:dyDescent="0.25">
      <c r="A462" t="s">
        <v>755</v>
      </c>
      <c r="B462" s="2" t="str">
        <f t="shared" si="347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366">$G462&amp;""</f>
        <v>e</v>
      </c>
      <c r="N462" t="str">
        <f t="shared" ref="N462:N464" si="367">$H462&amp;""</f>
        <v>7/2</v>
      </c>
      <c r="O462">
        <v>39225.599999999999</v>
      </c>
      <c r="P462" t="str">
        <f t="shared" ref="P462:P464" si="368">$J462&amp;""</f>
        <v>o</v>
      </c>
      <c r="Q462" t="str">
        <f t="shared" ref="Q462:Q464" si="369">$K462&amp;""</f>
        <v>9/2</v>
      </c>
      <c r="R462">
        <v>6</v>
      </c>
      <c r="AA462" s="10">
        <f t="shared" si="348"/>
        <v>6419.299</v>
      </c>
      <c r="AB462" s="3">
        <f t="shared" si="349"/>
        <v>15573.72</v>
      </c>
      <c r="AC462" s="3" cm="1">
        <f t="array" ref="AC462">100000000/LvacE(AA462)</f>
        <v>15573.720298549715</v>
      </c>
      <c r="AD462" s="10">
        <f t="shared" si="350"/>
        <v>6.2130390170756743E-3</v>
      </c>
      <c r="AE462" s="10" t="b">
        <f t="shared" si="351"/>
        <v>1</v>
      </c>
      <c r="AJ462" t="s">
        <v>4759</v>
      </c>
      <c r="AK462" t="s">
        <v>4714</v>
      </c>
      <c r="AL462">
        <v>23651.88</v>
      </c>
      <c r="AM462">
        <v>39225.599999999999</v>
      </c>
      <c r="AN462" s="10" cm="1">
        <f t="array" ref="AN462">Lair(100000000/($AM462-$AL462))</f>
        <v>6419.2991356768725</v>
      </c>
      <c r="AO462" s="10">
        <f t="shared" ref="AO462:AO464" si="370">100000000/($AM462-$AL462)</f>
        <v>6421.0734493749733</v>
      </c>
      <c r="AP462" s="12">
        <v>83900</v>
      </c>
      <c r="AQ462" s="3">
        <v>5.0000000000000001E-3</v>
      </c>
      <c r="AR462" s="3"/>
      <c r="AS462" s="13">
        <f>EXP(AR$4341*$AM462+AR$4342)*$AP462/(100000000/($AM462-$AL462))</f>
        <v>6.0840572208214622E-2</v>
      </c>
      <c r="AT462" s="3"/>
      <c r="AU462" s="3" cm="1">
        <f t="array" ref="AU462">$C462*EXP(poly_from_str($AO462,AU$4341))</f>
        <v>0.1440225152497154</v>
      </c>
    </row>
    <row r="463" spans="1:48" x14ac:dyDescent="0.25">
      <c r="A463" t="s">
        <v>756</v>
      </c>
      <c r="B463" s="2" t="str">
        <f t="shared" si="347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366"/>
        <v>o</v>
      </c>
      <c r="N463" t="str">
        <f t="shared" si="367"/>
        <v>7/2</v>
      </c>
      <c r="O463">
        <v>26446.97</v>
      </c>
      <c r="P463" t="str">
        <f t="shared" si="368"/>
        <v>e</v>
      </c>
      <c r="Q463" t="str">
        <f t="shared" si="369"/>
        <v>7/2</v>
      </c>
      <c r="R463">
        <v>6</v>
      </c>
      <c r="S463" t="s">
        <v>6</v>
      </c>
      <c r="AA463" s="10">
        <f t="shared" si="348"/>
        <v>6413.45</v>
      </c>
      <c r="AB463" s="3">
        <f t="shared" si="349"/>
        <v>15587.92</v>
      </c>
      <c r="AC463" s="3" cm="1">
        <f t="array" ref="AC463">100000000/LvacE(AA463)</f>
        <v>15587.923259963271</v>
      </c>
      <c r="AD463" s="10">
        <f t="shared" si="350"/>
        <v>6.2152525754440493E-3</v>
      </c>
      <c r="AE463" s="10" t="b">
        <f t="shared" si="351"/>
        <v>1</v>
      </c>
      <c r="AJ463" t="s">
        <v>4817</v>
      </c>
      <c r="AK463" t="s">
        <v>4736</v>
      </c>
      <c r="AL463">
        <v>10859.06</v>
      </c>
      <c r="AM463">
        <v>26446.97</v>
      </c>
      <c r="AN463" s="10" cm="1">
        <f t="array" ref="AN463">Lair(100000000/($AM463-$AL463))</f>
        <v>6413.455468263699</v>
      </c>
      <c r="AO463" s="10">
        <f t="shared" si="370"/>
        <v>6415.2282121208036</v>
      </c>
      <c r="AU463" s="3" cm="1">
        <f t="array" ref="AU463">$C463*EXP(poly_from_str($AO463,AU$4341))</f>
        <v>1.6538094513406456</v>
      </c>
    </row>
    <row r="464" spans="1:48" x14ac:dyDescent="0.25">
      <c r="A464" t="s">
        <v>757</v>
      </c>
      <c r="B464" s="2" t="str">
        <f t="shared" si="347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366"/>
        <v>o</v>
      </c>
      <c r="N464" t="str">
        <f t="shared" si="367"/>
        <v>1/2</v>
      </c>
      <c r="O464">
        <v>39120.49</v>
      </c>
      <c r="P464" t="str">
        <f t="shared" si="368"/>
        <v>e</v>
      </c>
      <c r="Q464" t="str">
        <f t="shared" si="369"/>
        <v>3/2</v>
      </c>
      <c r="R464">
        <v>6</v>
      </c>
      <c r="AA464" s="10">
        <f t="shared" si="348"/>
        <v>6385.9309999999996</v>
      </c>
      <c r="AB464" s="3">
        <f t="shared" si="349"/>
        <v>15655.1</v>
      </c>
      <c r="AC464" s="3" cm="1">
        <f t="array" ref="AC464">100000000/LvacE(AA464)</f>
        <v>15655.096034960618</v>
      </c>
      <c r="AD464" s="10">
        <f t="shared" si="350"/>
        <v>6.2257489185962561E-3</v>
      </c>
      <c r="AE464" s="10" t="b">
        <f t="shared" si="351"/>
        <v>1</v>
      </c>
      <c r="AJ464" t="s">
        <v>4995</v>
      </c>
      <c r="AK464" t="s">
        <v>4733</v>
      </c>
      <c r="AL464">
        <v>23465.43</v>
      </c>
      <c r="AM464">
        <v>39120.400000000001</v>
      </c>
      <c r="AN464" s="10" cm="1">
        <f t="array" ref="AN464">Lair(100000000/($AM464-$AL464))</f>
        <v>6385.982424607324</v>
      </c>
      <c r="AO464" s="10">
        <f t="shared" si="370"/>
        <v>6387.7477887214091</v>
      </c>
      <c r="AU464" s="3" cm="1">
        <f t="array" ref="AU464">$C464*EXP(poly_from_str($AO464,AU$4341))</f>
        <v>0.31729893264981146</v>
      </c>
    </row>
    <row r="465" spans="1:48" x14ac:dyDescent="0.25">
      <c r="A465" t="s">
        <v>758</v>
      </c>
      <c r="B465" s="2" t="str">
        <f t="shared" si="347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348"/>
        <v>6382.3469999999998</v>
      </c>
      <c r="AB465" s="3">
        <f t="shared" si="349"/>
        <v>15663.89</v>
      </c>
      <c r="AC465" s="3" cm="1">
        <f t="array" ref="AC465">100000000/LvacE(AA465)</f>
        <v>15663.887068115489</v>
      </c>
      <c r="AD465" s="10">
        <f t="shared" si="350"/>
        <v>6.2271259356562322E-3</v>
      </c>
      <c r="AE465" s="10" t="b">
        <f t="shared" si="351"/>
        <v>1</v>
      </c>
      <c r="AP465"/>
      <c r="AQ465"/>
      <c r="AU465" s="3" cm="1">
        <f t="array" ref="AU465">$C465*EXP(poly_from_str(100000000/$E465,AU$4341))</f>
        <v>6.3658270984100679E-2</v>
      </c>
    </row>
    <row r="466" spans="1:48" x14ac:dyDescent="0.25">
      <c r="A466" t="s">
        <v>759</v>
      </c>
      <c r="B466" s="2" t="str">
        <f t="shared" si="347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348"/>
        <v>6361.6490000000003</v>
      </c>
      <c r="AB466" s="3">
        <f t="shared" si="349"/>
        <v>15714.85</v>
      </c>
      <c r="AC466" s="3" cm="1">
        <f t="array" ref="AC466">100000000/LvacE(AA466)</f>
        <v>15714.850046088157</v>
      </c>
      <c r="AD466" s="10">
        <f t="shared" si="350"/>
        <v>6.2351239471156112E-3</v>
      </c>
      <c r="AE466" s="10" t="b">
        <f t="shared" si="351"/>
        <v>1</v>
      </c>
      <c r="AJ466" t="s">
        <v>4826</v>
      </c>
      <c r="AK466" t="s">
        <v>4729</v>
      </c>
      <c r="AL466">
        <v>1398.34</v>
      </c>
      <c r="AM466">
        <v>17113.189999999999</v>
      </c>
      <c r="AN466" s="10" cm="1">
        <f t="array" ref="AN466">Lair(100000000/($AM466-$AL466))</f>
        <v>6361.6490308646817</v>
      </c>
      <c r="AO466" s="10">
        <f>100000000/($AM466-$AL466)</f>
        <v>6363.4078594450475</v>
      </c>
      <c r="AP466" s="12">
        <v>1380000</v>
      </c>
      <c r="AQ466" s="3">
        <v>0.70599999999999996</v>
      </c>
      <c r="AR466" s="3">
        <f>LN(AU466*100000000/($AM466-$AL466)/AP466)</f>
        <v>-4.6088118444341601</v>
      </c>
      <c r="AS466" s="13">
        <f>EXP(AR$4341*$AM466+AR$4342)*$AP466/(100000000/($AM466-$AL466))</f>
        <v>5.3079236306324118</v>
      </c>
      <c r="AT466" s="3">
        <f>LN(AS466/$C466)</f>
        <v>-2.9359694572191435</v>
      </c>
      <c r="AU466" s="3" cm="1">
        <f t="array" ref="AU466">$C466*EXP(poly_from_str($AO466,AU$4341))</f>
        <v>2.1607661824827824</v>
      </c>
      <c r="AV466" s="13">
        <f>LN(AS466/AU466)</f>
        <v>0.89873785585665256</v>
      </c>
    </row>
    <row r="467" spans="1:48" x14ac:dyDescent="0.25">
      <c r="A467" t="s">
        <v>760</v>
      </c>
      <c r="B467" s="2" t="str">
        <f t="shared" si="347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348"/>
        <v>6352.9970000000003</v>
      </c>
      <c r="AB467" s="3">
        <f t="shared" si="349"/>
        <v>15736.25</v>
      </c>
      <c r="AC467" s="3" cm="1">
        <f t="array" ref="AC467">100000000/LvacE(AA467)</f>
        <v>15736.251568273143</v>
      </c>
      <c r="AD467" s="10">
        <f t="shared" si="350"/>
        <v>6.2384903981753132E-3</v>
      </c>
      <c r="AE467" s="10" t="b">
        <f t="shared" si="351"/>
        <v>1</v>
      </c>
      <c r="AP467"/>
      <c r="AQ467"/>
      <c r="AU467" s="3" cm="1">
        <f t="array" ref="AU467">$C467*EXP(poly_from_str(100000000/$E467,AU$4341))</f>
        <v>0.15243183453899456</v>
      </c>
    </row>
    <row r="468" spans="1:48" x14ac:dyDescent="0.25">
      <c r="A468" t="s">
        <v>761</v>
      </c>
      <c r="B468" s="2" t="str">
        <f t="shared" si="347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348"/>
        <v>6333.9669999999996</v>
      </c>
      <c r="AB468" s="3">
        <f t="shared" si="349"/>
        <v>15783.53</v>
      </c>
      <c r="AC468" s="3" cm="1">
        <f t="array" ref="AC468">100000000/LvacE(AA468)</f>
        <v>15783.529756472664</v>
      </c>
      <c r="AD468" s="10">
        <f t="shared" si="350"/>
        <v>6.2459434787450474E-3</v>
      </c>
      <c r="AE468" s="10" t="b">
        <f t="shared" si="351"/>
        <v>1</v>
      </c>
      <c r="AP468"/>
      <c r="AQ468"/>
      <c r="AU468" s="3" cm="1">
        <f t="array" ref="AU468">$C468*EXP(poly_from_str(100000000/$E468,AU$4341))</f>
        <v>0.19943227304660949</v>
      </c>
    </row>
    <row r="469" spans="1:48" x14ac:dyDescent="0.25">
      <c r="A469" t="s">
        <v>762</v>
      </c>
      <c r="B469" s="2" t="str">
        <f t="shared" si="347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348"/>
        <v>6330.9480000000003</v>
      </c>
      <c r="AB469" s="3">
        <f t="shared" si="349"/>
        <v>15791.06</v>
      </c>
      <c r="AC469" s="3" cm="1">
        <f t="array" ref="AC469">100000000/LvacE(AA469)</f>
        <v>15791.056290598886</v>
      </c>
      <c r="AD469" s="10">
        <f t="shared" si="350"/>
        <v>6.247132048043902E-3</v>
      </c>
      <c r="AE469" s="10" t="b">
        <f t="shared" si="351"/>
        <v>1</v>
      </c>
      <c r="AP469"/>
      <c r="AQ469"/>
      <c r="AU469" s="3" cm="1">
        <f t="array" ref="AU469">$C469*EXP(poly_from_str(100000000/$E469,AU$4341))</f>
        <v>0.17777296752750335</v>
      </c>
    </row>
    <row r="470" spans="1:48" x14ac:dyDescent="0.25">
      <c r="A470" t="s">
        <v>763</v>
      </c>
      <c r="B470" s="2" t="str">
        <f t="shared" si="347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348"/>
        <v>6328.643</v>
      </c>
      <c r="AB470" s="3">
        <f t="shared" si="349"/>
        <v>15796.81</v>
      </c>
      <c r="AC470" s="3" cm="1">
        <f t="array" ref="AC470">100000000/LvacE(AA470)</f>
        <v>15796.807617403021</v>
      </c>
      <c r="AD470" s="10">
        <f t="shared" si="350"/>
        <v>6.2480406634884463E-3</v>
      </c>
      <c r="AE470" s="10" t="b">
        <f t="shared" si="351"/>
        <v>1</v>
      </c>
      <c r="AJ470" t="s">
        <v>4715</v>
      </c>
      <c r="AK470" t="s">
        <v>4713</v>
      </c>
      <c r="AL470">
        <v>10138.18</v>
      </c>
      <c r="AM470">
        <v>25934.98</v>
      </c>
      <c r="AN470" s="10" cm="1">
        <f t="array" ref="AN470">Lair(100000000/($AM470-$AL470))</f>
        <v>6328.6460637427135</v>
      </c>
      <c r="AO470" s="10">
        <f>100000000/($AM470-$AL470)</f>
        <v>6330.3960295756106</v>
      </c>
      <c r="AU470" s="3" cm="1">
        <f t="array" ref="AU470">$C470*EXP(poly_from_str($AO470,AU$4341))</f>
        <v>0.22269519402026813</v>
      </c>
    </row>
    <row r="471" spans="1:48" x14ac:dyDescent="0.25">
      <c r="A471" t="s">
        <v>764</v>
      </c>
      <c r="B471" s="2" t="str">
        <f t="shared" si="347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348"/>
        <v>6327.0870000000004</v>
      </c>
      <c r="AB471" s="3">
        <f t="shared" si="349"/>
        <v>15800.69</v>
      </c>
      <c r="AC471" s="3" cm="1">
        <f t="array" ref="AC471">100000000/LvacE(AA471)</f>
        <v>15800.69244406597</v>
      </c>
      <c r="AD471" s="10">
        <f t="shared" si="350"/>
        <v>6.2486545897081844E-3</v>
      </c>
      <c r="AE471" s="10" t="b">
        <f t="shared" si="351"/>
        <v>1</v>
      </c>
      <c r="AP471"/>
      <c r="AQ471"/>
      <c r="AU471" s="3" cm="1">
        <f t="array" ref="AU471">$C471*EXP(poly_from_str(100000000/$E471,AU$4341))</f>
        <v>6.6906342115537587E-2</v>
      </c>
    </row>
    <row r="472" spans="1:48" x14ac:dyDescent="0.25">
      <c r="A472" t="s">
        <v>765</v>
      </c>
      <c r="B472" s="2" t="str">
        <f t="shared" si="347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348"/>
        <v>6317.5069999999996</v>
      </c>
      <c r="AB472" s="3">
        <f t="shared" si="349"/>
        <v>15824.65</v>
      </c>
      <c r="AC472" s="3" cm="1">
        <f t="array" ref="AC472">100000000/LvacE(AA472)</f>
        <v>15824.652753293043</v>
      </c>
      <c r="AD472" s="10">
        <f t="shared" si="350"/>
        <v>6.252444417813312E-3</v>
      </c>
      <c r="AE472" s="10" t="b">
        <f t="shared" si="351"/>
        <v>1</v>
      </c>
      <c r="AP472"/>
      <c r="AQ472"/>
      <c r="AU472" s="3" cm="1">
        <f t="array" ref="AU472">$C472*EXP(poly_from_str(100000000/$E472,AU$4341))</f>
        <v>4.5010548982496741E-2</v>
      </c>
    </row>
    <row r="473" spans="1:48" x14ac:dyDescent="0.25">
      <c r="A473" t="s">
        <v>766</v>
      </c>
      <c r="B473" s="2" t="str">
        <f t="shared" si="347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348"/>
        <v>6310.3609999999999</v>
      </c>
      <c r="AB473" s="3">
        <f t="shared" si="349"/>
        <v>15842.57</v>
      </c>
      <c r="AC473" s="3" cm="1">
        <f t="array" ref="AC473">100000000/LvacE(AA473)</f>
        <v>15842.572815320897</v>
      </c>
      <c r="AD473" s="10">
        <f t="shared" si="350"/>
        <v>6.2552826070743734E-3</v>
      </c>
      <c r="AE473" s="10" t="b">
        <f t="shared" si="351"/>
        <v>1</v>
      </c>
      <c r="AJ473" t="s">
        <v>4695</v>
      </c>
      <c r="AK473" t="s">
        <v>4718</v>
      </c>
      <c r="AL473">
        <v>11761.69</v>
      </c>
      <c r="AM473">
        <v>27604.26</v>
      </c>
      <c r="AN473" s="10" cm="1">
        <f t="array" ref="AN473">Lair(100000000/($AM473-$AL473))</f>
        <v>6310.3621332402909</v>
      </c>
      <c r="AO473" s="10">
        <f>100000000/($AM473-$AL473)</f>
        <v>6312.1071896794529</v>
      </c>
      <c r="AP473" s="12">
        <v>3590000</v>
      </c>
      <c r="AQ473" s="3">
        <v>0.10199999999999999</v>
      </c>
      <c r="AR473" s="3">
        <f>LN(AU473*100000000/($AM473-$AL473)/AP473)</f>
        <v>-4.8322772903815681</v>
      </c>
      <c r="AS473" s="13">
        <f>EXP(AR$4341*$AM473+AR$4342)*$AP473/(100000000/($AM473-$AL473))</f>
        <v>6.3347041790677983</v>
      </c>
      <c r="AT473" s="3">
        <f>LN(AS473/$C473)</f>
        <v>-3.452274250144987</v>
      </c>
      <c r="AU473" s="3" cm="1">
        <f t="array" ref="AU473">$C473*EXP(poly_from_str($AO473,AU$4341))</f>
        <v>4.5319876849739975</v>
      </c>
      <c r="AV473" s="13">
        <f>LN(AS473/AU473)</f>
        <v>0.33488249059005543</v>
      </c>
    </row>
    <row r="474" spans="1:48" x14ac:dyDescent="0.25">
      <c r="A474" t="s">
        <v>767</v>
      </c>
      <c r="B474" s="2" t="str">
        <f t="shared" si="347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348"/>
        <v>6299.4309999999996</v>
      </c>
      <c r="AB474" s="3">
        <f t="shared" si="349"/>
        <v>15870.06</v>
      </c>
      <c r="AC474" s="3" cm="1">
        <f t="array" ref="AC474">100000000/LvacE(AA474)</f>
        <v>15870.060683008451</v>
      </c>
      <c r="AD474" s="10">
        <f t="shared" si="350"/>
        <v>6.2596423933374661E-3</v>
      </c>
      <c r="AE474" s="10" t="b">
        <f t="shared" si="351"/>
        <v>1</v>
      </c>
      <c r="AP474"/>
      <c r="AQ474"/>
      <c r="AU474" s="3" cm="1">
        <f t="array" ref="AU474">$C474*EXP(poly_from_str(100000000/$E474,AU$4341))</f>
        <v>4.5803545070027298E-2</v>
      </c>
    </row>
    <row r="475" spans="1:48" x14ac:dyDescent="0.25">
      <c r="A475" t="s">
        <v>768</v>
      </c>
      <c r="B475" s="2" t="str">
        <f t="shared" si="347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AA475" s="10">
        <f t="shared" si="348"/>
        <v>6297.66</v>
      </c>
      <c r="AB475" s="3">
        <f t="shared" si="349"/>
        <v>15874.52</v>
      </c>
      <c r="AC475" s="3" cm="1">
        <f t="array" ref="AC475">100000000/LvacE(AA475)</f>
        <v>15874.523555047395</v>
      </c>
      <c r="AD475" s="10">
        <f t="shared" si="350"/>
        <v>6.260350952182827E-3</v>
      </c>
      <c r="AE475" s="10" t="b">
        <f t="shared" si="351"/>
        <v>1</v>
      </c>
      <c r="AJ475" t="s">
        <v>4990</v>
      </c>
      <c r="AK475" t="s">
        <v>4733</v>
      </c>
      <c r="AL475">
        <v>23245.99</v>
      </c>
      <c r="AM475">
        <v>39120.400000000001</v>
      </c>
      <c r="AN475" s="10" cm="1">
        <f t="array" ref="AN475">Lair(100000000/($AM475-$AL475))</f>
        <v>6297.7050614163845</v>
      </c>
      <c r="AO475" s="10">
        <f>100000000/($AM475-$AL475)</f>
        <v>6299.4467195946181</v>
      </c>
      <c r="AU475" s="3" cm="1">
        <f t="array" ref="AU475">$C475*EXP(poly_from_str($AO475,AU$4341))</f>
        <v>0.11470275948493852</v>
      </c>
    </row>
    <row r="476" spans="1:48" x14ac:dyDescent="0.25">
      <c r="A476" t="s">
        <v>769</v>
      </c>
      <c r="B476" s="2" t="str">
        <f t="shared" si="347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348"/>
        <v>6289.8339999999998</v>
      </c>
      <c r="AB476" s="3">
        <f t="shared" si="349"/>
        <v>15894.27</v>
      </c>
      <c r="AC476" s="3" cm="1">
        <f t="array" ref="AC476">100000000/LvacE(AA476)</f>
        <v>15894.27495341442</v>
      </c>
      <c r="AD476" s="10">
        <f t="shared" si="350"/>
        <v>6.2634892235164255E-3</v>
      </c>
      <c r="AE476" s="10" t="b">
        <f t="shared" si="351"/>
        <v>1</v>
      </c>
      <c r="AP476"/>
      <c r="AQ476"/>
      <c r="AU476" s="3" cm="1">
        <f t="array" ref="AU476">$C476*EXP(poly_from_str(100000000/$E476,AU$4341))</f>
        <v>0.20807452316430936</v>
      </c>
    </row>
    <row r="477" spans="1:48" x14ac:dyDescent="0.25">
      <c r="A477" t="s">
        <v>770</v>
      </c>
      <c r="B477" s="2" t="str">
        <f t="shared" si="347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348"/>
        <v>6283.4690000000001</v>
      </c>
      <c r="AB477" s="3">
        <f t="shared" si="349"/>
        <v>15910.38</v>
      </c>
      <c r="AC477" s="3" cm="1">
        <f t="array" ref="AC477">100000000/LvacE(AA477)</f>
        <v>15910.375333693839</v>
      </c>
      <c r="AD477" s="10">
        <f t="shared" si="350"/>
        <v>6.2660502768211194E-3</v>
      </c>
      <c r="AE477" s="10" t="b">
        <f t="shared" si="351"/>
        <v>1</v>
      </c>
      <c r="AP477"/>
      <c r="AQ477"/>
      <c r="AU477" s="3" cm="1">
        <f t="array" ref="AU477">$C477*EXP(poly_from_str(100000000/$E477,AU$4341))</f>
        <v>2.3266636176013659E-2</v>
      </c>
    </row>
    <row r="478" spans="1:48" x14ac:dyDescent="0.25">
      <c r="A478" t="s">
        <v>771</v>
      </c>
      <c r="B478" s="2" t="str">
        <f t="shared" si="347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348"/>
        <v>6273.4830000000002</v>
      </c>
      <c r="AB478" s="3">
        <f t="shared" si="349"/>
        <v>15935.7</v>
      </c>
      <c r="AC478" s="3" cm="1">
        <f t="array" ref="AC478">100000000/LvacE(AA478)</f>
        <v>15935.700933024227</v>
      </c>
      <c r="AD478" s="10">
        <f t="shared" si="350"/>
        <v>6.2700840133801455E-3</v>
      </c>
      <c r="AE478" s="10" t="b">
        <f t="shared" si="351"/>
        <v>1</v>
      </c>
      <c r="AP478"/>
      <c r="AQ478"/>
      <c r="AU478" s="3" cm="1">
        <f t="array" ref="AU478">$C478*EXP(poly_from_str(100000000/$E478,AU$4341))</f>
        <v>4.7004071040711547E-2</v>
      </c>
    </row>
    <row r="479" spans="1:48" x14ac:dyDescent="0.25">
      <c r="A479" t="s">
        <v>772</v>
      </c>
      <c r="B479" s="2" t="str">
        <f t="shared" si="347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348"/>
        <v>6271.1710000000003</v>
      </c>
      <c r="AB479" s="3">
        <f t="shared" si="349"/>
        <v>15941.58</v>
      </c>
      <c r="AC479" s="3" cm="1">
        <f t="array" ref="AC479">100000000/LvacE(AA479)</f>
        <v>15941.57591884449</v>
      </c>
      <c r="AD479" s="10">
        <f t="shared" si="350"/>
        <v>6.2710206689344378E-3</v>
      </c>
      <c r="AE479" s="10" t="b">
        <f t="shared" si="351"/>
        <v>1</v>
      </c>
      <c r="AP479"/>
      <c r="AQ479"/>
      <c r="AU479" s="3" cm="1">
        <f t="array" ref="AU479">$C479*EXP(poly_from_str(100000000/$E479,AU$4341))</f>
        <v>0.14134441465663736</v>
      </c>
    </row>
    <row r="480" spans="1:48" x14ac:dyDescent="0.25">
      <c r="A480" t="s">
        <v>773</v>
      </c>
      <c r="B480" s="2" t="str">
        <f t="shared" si="347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348"/>
        <v>6259.9960000000001</v>
      </c>
      <c r="AB480" s="3">
        <f t="shared" si="349"/>
        <v>15970.03</v>
      </c>
      <c r="AC480" s="3" cm="1">
        <f t="array" ref="AC480">100000000/LvacE(AA480)</f>
        <v>15970.033709666059</v>
      </c>
      <c r="AD480" s="10">
        <f t="shared" si="350"/>
        <v>6.2755626129526332E-3</v>
      </c>
      <c r="AE480" s="10" t="b">
        <f t="shared" si="351"/>
        <v>1</v>
      </c>
      <c r="AP480"/>
      <c r="AQ480"/>
      <c r="AU480" s="3" cm="1">
        <f t="array" ref="AU480">$C480*EXP(poly_from_str(100000000/$E480,AU$4341))</f>
        <v>9.5316235787715933E-2</v>
      </c>
    </row>
    <row r="481" spans="1:48" x14ac:dyDescent="0.25">
      <c r="A481" t="s">
        <v>774</v>
      </c>
      <c r="B481" s="2" t="str">
        <f t="shared" si="347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348"/>
        <v>6258.8370000000004</v>
      </c>
      <c r="AB481" s="3">
        <f t="shared" si="349"/>
        <v>15972.99</v>
      </c>
      <c r="AC481" s="3" cm="1">
        <f t="array" ref="AC481">100000000/LvacE(AA481)</f>
        <v>15972.990987158815</v>
      </c>
      <c r="AD481" s="10">
        <f t="shared" si="350"/>
        <v>6.2760350674701077E-3</v>
      </c>
      <c r="AE481" s="10" t="b">
        <f t="shared" si="351"/>
        <v>1</v>
      </c>
      <c r="AP481"/>
      <c r="AQ481"/>
      <c r="AU481" s="3" cm="1">
        <f t="array" ref="AU481">$C481*EXP(poly_from_str(100000000/$E481,AU$4341))</f>
        <v>0.21471915135618289</v>
      </c>
    </row>
    <row r="482" spans="1:48" x14ac:dyDescent="0.25">
      <c r="A482" t="s">
        <v>775</v>
      </c>
      <c r="B482" s="2" t="str">
        <f t="shared" si="347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348"/>
        <v>6257.25</v>
      </c>
      <c r="AB482" s="3">
        <f t="shared" si="349"/>
        <v>15977.04</v>
      </c>
      <c r="AC482" s="3" cm="1">
        <f t="array" ref="AC482">100000000/LvacE(AA482)</f>
        <v>15977.042116554738</v>
      </c>
      <c r="AD482" s="10">
        <f t="shared" si="350"/>
        <v>6.2766824177198244E-3</v>
      </c>
      <c r="AE482" s="10" t="b">
        <f t="shared" si="351"/>
        <v>1</v>
      </c>
      <c r="AP482"/>
      <c r="AQ482"/>
      <c r="AU482" s="3" cm="1">
        <f t="array" ref="AU482">$C482*EXP(poly_from_str(100000000/$E482,AU$4341))</f>
        <v>4.7793919250334813E-2</v>
      </c>
    </row>
    <row r="483" spans="1:48" x14ac:dyDescent="0.25">
      <c r="A483" t="s">
        <v>776</v>
      </c>
      <c r="B483" s="2" t="str">
        <f t="shared" si="347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348"/>
        <v>6255.51</v>
      </c>
      <c r="AB483" s="3">
        <f t="shared" si="349"/>
        <v>15981.49</v>
      </c>
      <c r="AC483" s="3" cm="1">
        <f t="array" ref="AC483">100000000/LvacE(AA483)</f>
        <v>15981.486170808957</v>
      </c>
      <c r="AD483" s="10">
        <f t="shared" si="350"/>
        <v>6.2773927442214116E-3</v>
      </c>
      <c r="AE483" s="10" t="b">
        <f t="shared" si="351"/>
        <v>1</v>
      </c>
      <c r="AP483"/>
      <c r="AQ483"/>
      <c r="AU483" s="3" cm="1">
        <f t="array" ref="AU483">$C483*EXP(poly_from_str(100000000/$E483,AU$4341))</f>
        <v>0.21546236521932427</v>
      </c>
    </row>
    <row r="484" spans="1:48" x14ac:dyDescent="0.25">
      <c r="A484" t="s">
        <v>777</v>
      </c>
      <c r="B484" s="2" t="str">
        <f t="shared" si="347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348"/>
        <v>6250.1629999999996</v>
      </c>
      <c r="AB484" s="3">
        <f t="shared" si="349"/>
        <v>15995.16</v>
      </c>
      <c r="AC484" s="3" cm="1">
        <f t="array" ref="AC484">100000000/LvacE(AA484)</f>
        <v>15995.158183260746</v>
      </c>
      <c r="AD484" s="10">
        <f t="shared" si="350"/>
        <v>6.2795792832331535E-3</v>
      </c>
      <c r="AE484" s="10" t="b">
        <f t="shared" si="351"/>
        <v>1</v>
      </c>
      <c r="AP484"/>
      <c r="AQ484"/>
      <c r="AU484" s="3" cm="1">
        <f t="array" ref="AU484">$C484*EXP(poly_from_str(100000000/$E484,AU$4341))</f>
        <v>4.8148516716665979E-2</v>
      </c>
    </row>
    <row r="485" spans="1:48" x14ac:dyDescent="0.25">
      <c r="A485" t="s">
        <v>778</v>
      </c>
      <c r="B485" s="2" t="str">
        <f t="shared" si="347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348"/>
        <v>6247.8540000000003</v>
      </c>
      <c r="AB485" s="3">
        <f t="shared" si="349"/>
        <v>16001.07</v>
      </c>
      <c r="AC485" s="3" cm="1">
        <f t="array" ref="AC485">100000000/LvacE(AA485)</f>
        <v>16001.069415710523</v>
      </c>
      <c r="AD485" s="10">
        <f t="shared" si="350"/>
        <v>6.2805252344013259E-3</v>
      </c>
      <c r="AE485" s="10" t="b">
        <f t="shared" si="351"/>
        <v>1</v>
      </c>
      <c r="AP485"/>
      <c r="AQ485"/>
      <c r="AU485" s="3" cm="1">
        <f t="array" ref="AU485">$C485*EXP(poly_from_str(100000000/$E485,AU$4341))</f>
        <v>4.826529006258843E-2</v>
      </c>
    </row>
    <row r="486" spans="1:48" x14ac:dyDescent="0.25">
      <c r="A486" t="s">
        <v>779</v>
      </c>
      <c r="B486" s="2" t="str">
        <f t="shared" si="347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348"/>
        <v>6245.2259999999997</v>
      </c>
      <c r="AB486" s="3">
        <f t="shared" si="349"/>
        <v>16007.8</v>
      </c>
      <c r="AC486" s="3" cm="1">
        <f t="array" ref="AC486">100000000/LvacE(AA486)</f>
        <v>16007.802633245183</v>
      </c>
      <c r="AD486" s="10">
        <f t="shared" si="350"/>
        <v>6.281603150410024E-3</v>
      </c>
      <c r="AE486" s="10" t="b">
        <f t="shared" si="351"/>
        <v>1</v>
      </c>
      <c r="AP486"/>
      <c r="AQ486"/>
      <c r="AU486" s="3" cm="1">
        <f t="array" ref="AU486">$C486*EXP(poly_from_str(100000000/$E486,AU$4341))</f>
        <v>2.4199469294485302E-2</v>
      </c>
    </row>
    <row r="487" spans="1:48" x14ac:dyDescent="0.25">
      <c r="A487" t="s">
        <v>780</v>
      </c>
      <c r="B487" s="2" t="str">
        <f t="shared" si="347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348"/>
        <v>6241.6559999999999</v>
      </c>
      <c r="AB487" s="3">
        <f t="shared" si="349"/>
        <v>16016.96</v>
      </c>
      <c r="AC487" s="3" cm="1">
        <f t="array" ref="AC487">100000000/LvacE(AA487)</f>
        <v>16016.95843832727</v>
      </c>
      <c r="AD487" s="10">
        <f t="shared" si="350"/>
        <v>6.2830696243374572E-3</v>
      </c>
      <c r="AE487" s="10" t="b">
        <f t="shared" si="351"/>
        <v>1</v>
      </c>
      <c r="AP487"/>
      <c r="AQ487"/>
      <c r="AU487" s="3" cm="1">
        <f t="array" ref="AU487">$C487*EXP(poly_from_str(100000000/$E487,AU$4341))</f>
        <v>0.19432799736847511</v>
      </c>
    </row>
    <row r="488" spans="1:48" x14ac:dyDescent="0.25">
      <c r="A488" t="s">
        <v>781</v>
      </c>
      <c r="B488" s="2" t="str">
        <f t="shared" si="347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348"/>
        <v>6240.62</v>
      </c>
      <c r="AB488" s="3">
        <f t="shared" si="349"/>
        <v>16019.62</v>
      </c>
      <c r="AC488" s="3" cm="1">
        <f t="array" ref="AC488">100000000/LvacE(AA488)</f>
        <v>16019.617378062179</v>
      </c>
      <c r="AD488" s="10">
        <f t="shared" si="350"/>
        <v>6.2834956605323008E-3</v>
      </c>
      <c r="AE488" s="10" t="b">
        <f t="shared" si="351"/>
        <v>1</v>
      </c>
      <c r="AJ488" t="s">
        <v>4933</v>
      </c>
      <c r="AK488" t="s">
        <v>4732</v>
      </c>
      <c r="AL488">
        <v>84410.63</v>
      </c>
      <c r="AM488">
        <v>100430.29</v>
      </c>
      <c r="AN488" s="10" cm="1">
        <f t="array" ref="AN488">Lair(100000000/($AM488-$AL488))</f>
        <v>6240.6034074019653</v>
      </c>
      <c r="AO488" s="10">
        <f>100000000/($AM488-$AL488)</f>
        <v>6242.3297373352534</v>
      </c>
      <c r="AP488" s="15">
        <v>197000</v>
      </c>
      <c r="AQ488" s="3">
        <v>9.2999999999999999E-2</v>
      </c>
      <c r="AR488" s="14"/>
      <c r="AS488" s="13">
        <f>EXP(AR$4341*$AM488+AR$4342)*$AP488/(100000000/($AM488-$AL488))</f>
        <v>1.4871375326066187E-3</v>
      </c>
      <c r="AT488" s="14"/>
      <c r="AU488" s="3" cm="1">
        <f t="array" ref="AU488">$C488*EXP(poly_from_str($AO488,AU$4341))</f>
        <v>2.4318106664970265E-2</v>
      </c>
    </row>
    <row r="489" spans="1:48" x14ac:dyDescent="0.25">
      <c r="A489" t="s">
        <v>782</v>
      </c>
      <c r="B489" s="2" t="str">
        <f t="shared" si="347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348"/>
        <v>6238.9250000000002</v>
      </c>
      <c r="AB489" s="3">
        <f t="shared" si="349"/>
        <v>16023.97</v>
      </c>
      <c r="AC489" s="3" cm="1">
        <f t="array" ref="AC489">100000000/LvacE(AA489)</f>
        <v>16023.969574642946</v>
      </c>
      <c r="AD489" s="10">
        <f t="shared" si="350"/>
        <v>6.2841931562443009E-3</v>
      </c>
      <c r="AE489" s="10" t="b">
        <f t="shared" si="351"/>
        <v>1</v>
      </c>
      <c r="AP489"/>
      <c r="AQ489"/>
      <c r="AU489" s="3" cm="1">
        <f t="array" ref="AU489">$C489*EXP(poly_from_str(100000000/$E489,AU$4341))</f>
        <v>7.30844942498627E-2</v>
      </c>
    </row>
    <row r="490" spans="1:48" x14ac:dyDescent="0.25">
      <c r="A490" t="s">
        <v>783</v>
      </c>
      <c r="B490" s="2" t="str">
        <f t="shared" si="347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371">$G490&amp;""</f>
        <v>o</v>
      </c>
      <c r="N490" t="str">
        <f t="shared" ref="N490:N491" si="372">$H490&amp;""</f>
        <v>13/2</v>
      </c>
      <c r="O490">
        <v>18921.240000000002</v>
      </c>
      <c r="P490" t="str">
        <f t="shared" ref="P490:P491" si="373">$J490&amp;""</f>
        <v>e</v>
      </c>
      <c r="Q490" t="str">
        <f t="shared" ref="Q490:Q491" si="374">$K490&amp;""</f>
        <v>15/2</v>
      </c>
      <c r="R490">
        <v>6</v>
      </c>
      <c r="S490" t="s">
        <v>6</v>
      </c>
      <c r="AA490" s="10">
        <f t="shared" si="348"/>
        <v>6237.3190000000004</v>
      </c>
      <c r="AB490" s="3">
        <f t="shared" si="349"/>
        <v>16028.1</v>
      </c>
      <c r="AC490" s="3" cm="1">
        <f t="array" ref="AC490">100000000/LvacE(AA490)</f>
        <v>16028.095431167298</v>
      </c>
      <c r="AD490" s="10">
        <f t="shared" si="350"/>
        <v>6.2848545529872128E-3</v>
      </c>
      <c r="AE490" s="10" t="b">
        <f t="shared" si="351"/>
        <v>1</v>
      </c>
      <c r="AJ490" t="s">
        <v>4977</v>
      </c>
      <c r="AK490" t="s">
        <v>4741</v>
      </c>
      <c r="AL490">
        <v>2893.14</v>
      </c>
      <c r="AM490">
        <v>18921.240000000002</v>
      </c>
      <c r="AN490" s="10" cm="1">
        <f t="array" ref="AN490">Lair(100000000/($AM490-$AL490))</f>
        <v>6237.3172333491693</v>
      </c>
      <c r="AO490" s="10">
        <f t="shared" ref="AO490:AO491" si="375">100000000/($AM490-$AL490)</f>
        <v>6239.0426812909818</v>
      </c>
      <c r="AP490" s="12">
        <v>1210000</v>
      </c>
      <c r="AQ490" s="3">
        <v>0.8</v>
      </c>
      <c r="AR490" s="3">
        <f>LN(AU490*100000000/($AM490-$AL490)/AP490)</f>
        <v>-4.598562571372165</v>
      </c>
      <c r="AS490" s="13">
        <f>EXP(AR$4341*$AM490+AR$4342)*$AP490/(100000000/($AM490-$AL490))</f>
        <v>4.1445184331353744</v>
      </c>
      <c r="AT490" s="3">
        <f>LN(AS490/$C490)</f>
        <v>-2.9602400330205332</v>
      </c>
      <c r="AU490" s="3" cm="1">
        <f t="array" ref="AU490">$C490*EXP(poly_from_str($AO490,AU$4341))</f>
        <v>1.9522573395092389</v>
      </c>
      <c r="AV490" s="13">
        <f>LN(AS490/AU490)</f>
        <v>0.75280028858677595</v>
      </c>
    </row>
    <row r="491" spans="1:48" x14ac:dyDescent="0.25">
      <c r="A491" t="s">
        <v>784</v>
      </c>
      <c r="B491" s="2" t="str">
        <f t="shared" si="347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371"/>
        <v>o</v>
      </c>
      <c r="N491" t="str">
        <f t="shared" si="372"/>
        <v>3/2</v>
      </c>
      <c r="O491">
        <v>39120.49</v>
      </c>
      <c r="P491" t="str">
        <f t="shared" si="373"/>
        <v>e</v>
      </c>
      <c r="Q491" t="str">
        <f t="shared" si="374"/>
        <v>3/2</v>
      </c>
      <c r="R491">
        <v>6</v>
      </c>
      <c r="AA491" s="10">
        <f t="shared" si="348"/>
        <v>6237.0519999999997</v>
      </c>
      <c r="AB491" s="3">
        <f t="shared" si="349"/>
        <v>16028.78</v>
      </c>
      <c r="AC491" s="3" cm="1">
        <f t="array" ref="AC491">100000000/LvacE(AA491)</f>
        <v>16028.781567220674</v>
      </c>
      <c r="AD491" s="10">
        <f t="shared" si="350"/>
        <v>6.2849645607588869E-3</v>
      </c>
      <c r="AE491" s="10" t="b">
        <f t="shared" si="351"/>
        <v>1</v>
      </c>
      <c r="AJ491" t="s">
        <v>4992</v>
      </c>
      <c r="AK491" t="s">
        <v>4733</v>
      </c>
      <c r="AL491">
        <v>23091.7</v>
      </c>
      <c r="AM491">
        <v>39120.400000000001</v>
      </c>
      <c r="AN491" s="10" cm="1">
        <f t="array" ref="AN491">Lair(100000000/($AM491-$AL491))</f>
        <v>6237.0837508351451</v>
      </c>
      <c r="AO491" s="10">
        <f t="shared" si="375"/>
        <v>6238.8091361120987</v>
      </c>
      <c r="AU491" s="3" cm="1">
        <f t="array" ref="AU491">$C491*EXP(poly_from_str($AO491,AU$4341))</f>
        <v>0.97637155733304293</v>
      </c>
    </row>
    <row r="492" spans="1:48" x14ac:dyDescent="0.25">
      <c r="A492" t="s">
        <v>785</v>
      </c>
      <c r="B492" s="2" t="str">
        <f t="shared" si="347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348"/>
        <v>6234.107</v>
      </c>
      <c r="AB492" s="3">
        <f t="shared" si="349"/>
        <v>16036.35</v>
      </c>
      <c r="AC492" s="3" cm="1">
        <f t="array" ref="AC492">100000000/LvacE(AA492)</f>
        <v>16036.353521431934</v>
      </c>
      <c r="AD492" s="10">
        <f t="shared" si="350"/>
        <v>6.2861788802656051E-3</v>
      </c>
      <c r="AE492" s="10" t="b">
        <f t="shared" si="351"/>
        <v>1</v>
      </c>
      <c r="AP492"/>
      <c r="AQ492"/>
      <c r="AU492" s="3" cm="1">
        <f t="array" ref="AU492">$C492*EXP(poly_from_str(100000000/$E492,AU$4341))</f>
        <v>0.12243481316171642</v>
      </c>
    </row>
    <row r="493" spans="1:48" x14ac:dyDescent="0.25">
      <c r="A493" t="s">
        <v>786</v>
      </c>
      <c r="B493" s="2" t="str">
        <f t="shared" si="347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348"/>
        <v>6232.2169999999996</v>
      </c>
      <c r="AB493" s="3">
        <f t="shared" si="349"/>
        <v>16041.22</v>
      </c>
      <c r="AC493" s="3" cm="1">
        <f t="array" ref="AC493">100000000/LvacE(AA493)</f>
        <v>16041.216711887644</v>
      </c>
      <c r="AD493" s="10">
        <f t="shared" si="350"/>
        <v>6.2869590959274725E-3</v>
      </c>
      <c r="AE493" s="10" t="b">
        <f t="shared" si="351"/>
        <v>1</v>
      </c>
      <c r="AP493"/>
      <c r="AQ493"/>
      <c r="AU493" s="3" cm="1">
        <f t="array" ref="AU493">$C493*EXP(poly_from_str(100000000/$E493,AU$4341))</f>
        <v>9.8146620064312656E-2</v>
      </c>
    </row>
    <row r="494" spans="1:48" x14ac:dyDescent="0.25">
      <c r="A494" t="s">
        <v>787</v>
      </c>
      <c r="B494" s="2" t="str">
        <f t="shared" si="347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348"/>
        <v>6231.0309999999999</v>
      </c>
      <c r="AB494" s="3">
        <f t="shared" si="349"/>
        <v>16044.27</v>
      </c>
      <c r="AC494" s="3" cm="1">
        <f t="array" ref="AC494">100000000/LvacE(AA494)</f>
        <v>16044.269934712294</v>
      </c>
      <c r="AD494" s="10">
        <f t="shared" si="350"/>
        <v>6.2874490541543039E-3</v>
      </c>
      <c r="AE494" s="10" t="b">
        <f t="shared" si="351"/>
        <v>1</v>
      </c>
      <c r="AP494"/>
      <c r="AQ494"/>
      <c r="AU494" s="3" cm="1">
        <f t="array" ref="AU494">$C494*EXP(poly_from_str(100000000/$E494,AU$4341))</f>
        <v>0.12283936957464645</v>
      </c>
    </row>
    <row r="495" spans="1:48" x14ac:dyDescent="0.25">
      <c r="A495" t="s">
        <v>788</v>
      </c>
      <c r="B495" s="2" t="str">
        <f t="shared" si="347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348"/>
        <v>6228.8530000000001</v>
      </c>
      <c r="AB495" s="3">
        <f t="shared" si="349"/>
        <v>16049.88</v>
      </c>
      <c r="AC495" s="3" cm="1">
        <f t="array" ref="AC495">100000000/LvacE(AA495)</f>
        <v>16049.879977436043</v>
      </c>
      <c r="AD495" s="10">
        <f t="shared" si="350"/>
        <v>6.2883495546801347E-3</v>
      </c>
      <c r="AE495" s="10" t="b">
        <f t="shared" si="351"/>
        <v>1</v>
      </c>
      <c r="AP495"/>
      <c r="AQ495"/>
      <c r="AU495" s="3" cm="1">
        <f t="array" ref="AU495">$C495*EXP(poly_from_str(100000000/$E495,AU$4341))</f>
        <v>9.850196999642151E-2</v>
      </c>
    </row>
    <row r="496" spans="1:48" x14ac:dyDescent="0.25">
      <c r="A496" t="s">
        <v>789</v>
      </c>
      <c r="B496" s="2" t="str">
        <f t="shared" si="347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348"/>
        <v>6225.2120000000004</v>
      </c>
      <c r="AB496" s="3">
        <f t="shared" si="349"/>
        <v>16059.27</v>
      </c>
      <c r="AC496" s="3" cm="1">
        <f t="array" ref="AC496">100000000/LvacE(AA496)</f>
        <v>16059.267148517629</v>
      </c>
      <c r="AD496" s="10">
        <f t="shared" si="350"/>
        <v>6.2898570481228298E-3</v>
      </c>
      <c r="AE496" s="10" t="b">
        <f t="shared" si="351"/>
        <v>1</v>
      </c>
      <c r="AP496"/>
      <c r="AQ496"/>
      <c r="AU496" s="3" cm="1">
        <f t="array" ref="AU496">$C496*EXP(poly_from_str(100000000/$E496,AU$4341))</f>
        <v>0.12361252490858704</v>
      </c>
    </row>
    <row r="497" spans="1:48" x14ac:dyDescent="0.25">
      <c r="A497" t="s">
        <v>790</v>
      </c>
      <c r="B497" s="2" t="str">
        <f t="shared" si="347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348"/>
        <v>6224.0290000000005</v>
      </c>
      <c r="AB497" s="3">
        <f t="shared" si="349"/>
        <v>16062.32</v>
      </c>
      <c r="AC497" s="3" cm="1">
        <f t="array" ref="AC497">100000000/LvacE(AA497)</f>
        <v>16062.319505108142</v>
      </c>
      <c r="AD497" s="10">
        <f t="shared" si="350"/>
        <v>6.2903474184574128E-3</v>
      </c>
      <c r="AE497" s="10" t="b">
        <f t="shared" si="351"/>
        <v>1</v>
      </c>
      <c r="AJ497" t="s">
        <v>4812</v>
      </c>
      <c r="AK497" t="s">
        <v>4738</v>
      </c>
      <c r="AL497">
        <v>10032.92</v>
      </c>
      <c r="AM497">
        <v>26095.23</v>
      </c>
      <c r="AN497" s="10" cm="1">
        <f t="array" ref="AN497">Lair(100000000/($AM497-$AL497))</f>
        <v>6224.0326944166836</v>
      </c>
      <c r="AO497" s="10">
        <f>100000000/($AM497-$AL497)</f>
        <v>6225.7545770191209</v>
      </c>
      <c r="AP497" s="12">
        <v>62300</v>
      </c>
      <c r="AQ497" s="3">
        <v>6.0000000000000001E-3</v>
      </c>
      <c r="AR497" s="3"/>
      <c r="AS497" s="13">
        <f>EXP(AR$4341*$AM497+AR$4342)*$AP497/(100000000/($AM497-$AL497))</f>
        <v>0.12482029524323371</v>
      </c>
      <c r="AT497" s="3"/>
      <c r="AU497" s="3" cm="1">
        <f t="array" ref="AU497">$C497*EXP(poly_from_str($AO497,AU$4341))</f>
        <v>9.9016264727035369E-2</v>
      </c>
    </row>
    <row r="498" spans="1:48" x14ac:dyDescent="0.25">
      <c r="A498" t="s">
        <v>791</v>
      </c>
      <c r="B498" s="2" t="str">
        <f t="shared" si="347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348"/>
        <v>6222.8410000000003</v>
      </c>
      <c r="AB498" s="3">
        <f t="shared" si="349"/>
        <v>16065.39</v>
      </c>
      <c r="AC498" s="3" cm="1">
        <f t="array" ref="AC498">100000000/LvacE(AA498)</f>
        <v>16065.385930510309</v>
      </c>
      <c r="AD498" s="10">
        <f t="shared" si="350"/>
        <v>6.2908401428310888E-3</v>
      </c>
      <c r="AE498" s="10" t="b">
        <f t="shared" si="351"/>
        <v>1</v>
      </c>
      <c r="AP498"/>
      <c r="AQ498"/>
      <c r="AU498" s="3" cm="1">
        <f t="array" ref="AU498">$C498*EXP(poly_from_str(100000000/$E498,AU$4341))</f>
        <v>2.4786119437942691E-2</v>
      </c>
    </row>
    <row r="499" spans="1:48" x14ac:dyDescent="0.25">
      <c r="A499" t="s">
        <v>792</v>
      </c>
      <c r="B499" s="2" t="str">
        <f t="shared" si="347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AA499" s="10">
        <f t="shared" si="348"/>
        <v>6212.6660000000002</v>
      </c>
      <c r="AB499" s="3">
        <f t="shared" si="349"/>
        <v>16091.7</v>
      </c>
      <c r="AC499" s="3" cm="1">
        <f t="array" ref="AC499">100000000/LvacE(AA499)</f>
        <v>16091.697331445805</v>
      </c>
      <c r="AD499" s="10">
        <f t="shared" si="350"/>
        <v>6.2950718203300966E-3</v>
      </c>
      <c r="AE499" s="10" t="b">
        <f t="shared" si="351"/>
        <v>1</v>
      </c>
      <c r="AJ499" t="s">
        <v>4983</v>
      </c>
      <c r="AK499" t="s">
        <v>4740</v>
      </c>
      <c r="AL499">
        <v>19046.09</v>
      </c>
      <c r="AM499">
        <v>35137.82</v>
      </c>
      <c r="AN499" s="10" cm="1">
        <f t="array" ref="AN499">Lair(100000000/($AM499-$AL499))</f>
        <v>6212.6533984232046</v>
      </c>
      <c r="AO499" s="10">
        <f>100000000/($AM499-$AL499)</f>
        <v>6214.3722272247924</v>
      </c>
      <c r="AU499" s="3" cm="1">
        <f t="array" ref="AU499">$C499*EXP(poly_from_str($AO499,AU$4341))</f>
        <v>0.7519022904659074</v>
      </c>
    </row>
    <row r="500" spans="1:48" x14ac:dyDescent="0.25">
      <c r="A500" t="s">
        <v>793</v>
      </c>
      <c r="B500" s="2" t="str">
        <f t="shared" si="347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348"/>
        <v>6207.51</v>
      </c>
      <c r="AB500" s="3">
        <f t="shared" si="349"/>
        <v>16105.06</v>
      </c>
      <c r="AC500" s="3" cm="1">
        <f t="array" ref="AC500">100000000/LvacE(AA500)</f>
        <v>16105.063093525136</v>
      </c>
      <c r="AD500" s="10">
        <f t="shared" si="350"/>
        <v>6.2972240957747255E-3</v>
      </c>
      <c r="AE500" s="10" t="b">
        <f t="shared" si="351"/>
        <v>1</v>
      </c>
      <c r="AP500"/>
      <c r="AQ500"/>
      <c r="AU500" s="3" cm="1">
        <f t="array" ref="AU500">$C500*EXP(poly_from_str(100000000/$E500,AU$4341))</f>
        <v>2.5205918511035801E-2</v>
      </c>
    </row>
    <row r="501" spans="1:48" x14ac:dyDescent="0.25">
      <c r="A501" t="s">
        <v>794</v>
      </c>
      <c r="B501" s="2" t="str">
        <f t="shared" si="347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348"/>
        <v>6207.14</v>
      </c>
      <c r="AB501" s="3">
        <f t="shared" si="349"/>
        <v>16106.02</v>
      </c>
      <c r="AC501" s="3" cm="1">
        <f t="array" ref="AC501">100000000/LvacE(AA501)</f>
        <v>16106.02308859283</v>
      </c>
      <c r="AD501" s="10">
        <f t="shared" si="350"/>
        <v>6.2973787516144982E-3</v>
      </c>
      <c r="AE501" s="10" t="b">
        <f t="shared" si="351"/>
        <v>1</v>
      </c>
      <c r="AP501"/>
      <c r="AQ501"/>
      <c r="AU501" s="3" cm="1">
        <f t="array" ref="AU501">$C501*EXP(poly_from_str(100000000/$E501,AU$4341))</f>
        <v>0.22694614746028799</v>
      </c>
    </row>
    <row r="502" spans="1:48" x14ac:dyDescent="0.25">
      <c r="A502" t="s">
        <v>795</v>
      </c>
      <c r="B502" s="2" t="str">
        <f t="shared" si="347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348"/>
        <v>6199.0860000000002</v>
      </c>
      <c r="AB502" s="3">
        <f t="shared" si="349"/>
        <v>16126.95</v>
      </c>
      <c r="AC502" s="3" cm="1">
        <f t="array" ref="AC502">100000000/LvacE(AA502)</f>
        <v>16126.948242539955</v>
      </c>
      <c r="AD502" s="10">
        <f t="shared" si="350"/>
        <v>6.3007520981754371E-3</v>
      </c>
      <c r="AE502" s="10" t="b">
        <f t="shared" si="351"/>
        <v>1</v>
      </c>
      <c r="AP502"/>
      <c r="AQ502"/>
      <c r="AU502" s="3" cm="1">
        <f t="array" ref="AU502">$C502*EXP(poly_from_str(100000000/$E502,AU$4341))</f>
        <v>2.5443148629256614E-2</v>
      </c>
    </row>
    <row r="503" spans="1:48" x14ac:dyDescent="0.25">
      <c r="A503" t="s">
        <v>796</v>
      </c>
      <c r="B503" s="2" t="str">
        <f t="shared" si="347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348"/>
        <v>6198.2079999999996</v>
      </c>
      <c r="AB503" s="3">
        <f t="shared" si="349"/>
        <v>16129.23</v>
      </c>
      <c r="AC503" s="3" cm="1">
        <f t="array" ref="AC503">100000000/LvacE(AA503)</f>
        <v>16129.232667722445</v>
      </c>
      <c r="AD503" s="10">
        <f t="shared" si="350"/>
        <v>6.3011206358129998E-3</v>
      </c>
      <c r="AE503" s="10" t="b">
        <f t="shared" si="351"/>
        <v>1</v>
      </c>
      <c r="AP503"/>
      <c r="AQ503"/>
      <c r="AU503" s="3" cm="1">
        <f t="array" ref="AU503">$C503*EXP(poly_from_str(100000000/$E503,AU$4341))</f>
        <v>0.10187235380122128</v>
      </c>
    </row>
    <row r="504" spans="1:48" x14ac:dyDescent="0.25">
      <c r="A504" t="s">
        <v>797</v>
      </c>
      <c r="B504" s="2" t="str">
        <f t="shared" si="347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348"/>
        <v>6197.14</v>
      </c>
      <c r="AB504" s="3">
        <f t="shared" si="349"/>
        <v>16132.01</v>
      </c>
      <c r="AC504" s="3" cm="1">
        <f t="array" ref="AC504">100000000/LvacE(AA504)</f>
        <v>16132.012317164528</v>
      </c>
      <c r="AD504" s="10">
        <f t="shared" si="350"/>
        <v>6.3015691365020422E-3</v>
      </c>
      <c r="AE504" s="10" t="b">
        <f t="shared" si="351"/>
        <v>1</v>
      </c>
      <c r="AP504"/>
      <c r="AQ504"/>
      <c r="AU504" s="3" cm="1">
        <f t="array" ref="AU504">$C504*EXP(poly_from_str(100000000/$E504,AU$4341))</f>
        <v>0.12749278319163093</v>
      </c>
    </row>
    <row r="505" spans="1:48" x14ac:dyDescent="0.25">
      <c r="A505" t="s">
        <v>798</v>
      </c>
      <c r="B505" s="2" t="str">
        <f t="shared" si="347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376">$G505&amp;""</f>
        <v>o</v>
      </c>
      <c r="N505" t="str">
        <f t="shared" ref="N505:N506" si="377">$H505&amp;""</f>
        <v>9/2</v>
      </c>
      <c r="O505">
        <v>16135.97</v>
      </c>
      <c r="P505" t="str">
        <f t="shared" ref="P505:P506" si="378">$J505&amp;""</f>
        <v>e</v>
      </c>
      <c r="Q505" t="str">
        <f t="shared" ref="Q505:Q506" si="379">$K505&amp;""</f>
        <v>7/2</v>
      </c>
      <c r="R505">
        <v>6</v>
      </c>
      <c r="S505" t="s">
        <v>6</v>
      </c>
      <c r="AA505" s="10">
        <f t="shared" si="348"/>
        <v>6195.6279999999997</v>
      </c>
      <c r="AB505" s="3">
        <f t="shared" si="349"/>
        <v>16135.95</v>
      </c>
      <c r="AC505" s="3" cm="1">
        <f t="array" ref="AC505">100000000/LvacE(AA505)</f>
        <v>16135.949189905648</v>
      </c>
      <c r="AD505" s="10">
        <f t="shared" si="350"/>
        <v>6.302204489190253E-3</v>
      </c>
      <c r="AE505" s="10" t="b">
        <f t="shared" si="351"/>
        <v>1</v>
      </c>
      <c r="AJ505" t="s">
        <v>4757</v>
      </c>
      <c r="AK505" t="s">
        <v>4743</v>
      </c>
      <c r="AL505">
        <v>0</v>
      </c>
      <c r="AM505">
        <v>16135.97</v>
      </c>
      <c r="AN505" s="10" cm="1">
        <f t="array" ref="AN505">Lair(100000000/($AM505-$AL505))</f>
        <v>6195.620020633246</v>
      </c>
      <c r="AO505" s="10">
        <f t="shared" ref="AO505:AO506" si="380">100000000/($AM505-$AL505)</f>
        <v>6197.3342786333887</v>
      </c>
      <c r="AP505" s="12">
        <v>15700000</v>
      </c>
      <c r="AQ505" s="3">
        <v>0.36899999999999999</v>
      </c>
      <c r="AR505" s="3">
        <f>LN(AU505*100000000/($AM505-$AL505)/AP505)</f>
        <v>-3.9038226824209046</v>
      </c>
      <c r="AS505" s="13">
        <f>EXP(AR$4341*$AM505+AR$4342)*$AP505/(100000000/($AM505-$AL505))</f>
        <v>66.723682703178426</v>
      </c>
      <c r="AT505" s="3">
        <f>LN(AS505/$C505)</f>
        <v>-3.400342506624292</v>
      </c>
      <c r="AU505" s="3" cm="1">
        <f t="array" ref="AU505">$C505*EXP(poly_from_str($AO505,AU$4341))</f>
        <v>51.084139344404683</v>
      </c>
      <c r="AV505" s="13">
        <f>LN(AS505/AU505)</f>
        <v>0.26708588853703169</v>
      </c>
    </row>
    <row r="506" spans="1:48" x14ac:dyDescent="0.25">
      <c r="A506" t="s">
        <v>799</v>
      </c>
      <c r="B506" s="2" t="str">
        <f t="shared" si="347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376"/>
        <v>o</v>
      </c>
      <c r="N506" t="str">
        <f t="shared" si="377"/>
        <v>7/2</v>
      </c>
      <c r="O506">
        <v>41023.980000000003</v>
      </c>
      <c r="P506" t="str">
        <f t="shared" si="378"/>
        <v>e</v>
      </c>
      <c r="Q506" t="str">
        <f t="shared" si="379"/>
        <v>7/2</v>
      </c>
      <c r="R506">
        <v>6</v>
      </c>
      <c r="AA506" s="10">
        <f t="shared" si="348"/>
        <v>6195.0529999999999</v>
      </c>
      <c r="AB506" s="3">
        <f t="shared" si="349"/>
        <v>16137.45</v>
      </c>
      <c r="AC506" s="3" cm="1">
        <f t="array" ref="AC506">100000000/LvacE(AA506)</f>
        <v>16137.446851556444</v>
      </c>
      <c r="AD506" s="10">
        <f t="shared" si="350"/>
        <v>6.3024462302062991E-3</v>
      </c>
      <c r="AE506" s="10" t="b">
        <f t="shared" si="351"/>
        <v>1</v>
      </c>
      <c r="AJ506" t="s">
        <v>4989</v>
      </c>
      <c r="AK506" t="s">
        <v>4711</v>
      </c>
      <c r="AL506">
        <v>24886.51</v>
      </c>
      <c r="AM506">
        <v>41023.980000000003</v>
      </c>
      <c r="AN506" s="10" cm="1">
        <f t="array" ref="AN506">Lair(100000000/($AM506-$AL506))</f>
        <v>6195.0441244312105</v>
      </c>
      <c r="AO506" s="10">
        <f t="shared" si="380"/>
        <v>6196.7582279006538</v>
      </c>
      <c r="AU506" s="3" cm="1">
        <f t="array" ref="AU506">$C506*EXP(poly_from_str($AO506,AU$4341))</f>
        <v>2.5558586386362019</v>
      </c>
    </row>
    <row r="507" spans="1:48" x14ac:dyDescent="0.25">
      <c r="A507" t="s">
        <v>800</v>
      </c>
      <c r="B507" s="2" t="str">
        <f t="shared" si="347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348"/>
        <v>6193.0559999999996</v>
      </c>
      <c r="AB507" s="3">
        <f t="shared" si="349"/>
        <v>16142.65</v>
      </c>
      <c r="AC507" s="3" cm="1">
        <f t="array" ref="AC507">100000000/LvacE(AA507)</f>
        <v>16142.650455737166</v>
      </c>
      <c r="AD507" s="10">
        <f t="shared" si="350"/>
        <v>6.3032863303462113E-3</v>
      </c>
      <c r="AE507" s="10" t="b">
        <f t="shared" si="351"/>
        <v>1</v>
      </c>
      <c r="AP507"/>
      <c r="AQ507"/>
      <c r="AU507" s="3" cm="1">
        <f t="array" ref="AU507">$C507*EXP(poly_from_str(100000000/$E507,AU$4341))</f>
        <v>0.10246308048482547</v>
      </c>
    </row>
    <row r="508" spans="1:48" x14ac:dyDescent="0.25">
      <c r="A508" t="s">
        <v>801</v>
      </c>
      <c r="B508" s="2" t="str">
        <f t="shared" si="347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348"/>
        <v>6188.2979999999998</v>
      </c>
      <c r="AB508" s="3">
        <f t="shared" si="349"/>
        <v>16155.06</v>
      </c>
      <c r="AC508" s="3" cm="1">
        <f t="array" ref="AC508">100000000/LvacE(AA508)</f>
        <v>16155.061960197518</v>
      </c>
      <c r="AD508" s="10">
        <f t="shared" si="350"/>
        <v>6.3052912093274696E-3</v>
      </c>
      <c r="AE508" s="10" t="b">
        <f t="shared" si="351"/>
        <v>1</v>
      </c>
      <c r="AJ508" t="s">
        <v>4827</v>
      </c>
      <c r="AK508" t="s">
        <v>4768</v>
      </c>
      <c r="AL508">
        <v>20856.86</v>
      </c>
      <c r="AM508">
        <v>37011.919999999998</v>
      </c>
      <c r="AN508" s="10" cm="1">
        <f t="array" ref="AN508">Lair(100000000/($AM508-$AL508))</f>
        <v>6188.2987618423986</v>
      </c>
      <c r="AO508" s="10">
        <f>100000000/($AM508-$AL508)</f>
        <v>6190.011055359746</v>
      </c>
      <c r="AP508" s="12">
        <v>120000</v>
      </c>
      <c r="AQ508" s="3">
        <v>2.3E-2</v>
      </c>
      <c r="AR508" s="3"/>
      <c r="AS508" s="13">
        <f>EXP(AR$4341*$AM508+AR$4342)*$AP508/(100000000/($AM508-$AL508))</f>
        <v>0.10658054050240283</v>
      </c>
      <c r="AT508" s="3"/>
      <c r="AU508" s="3" cm="1">
        <f t="array" ref="AU508">$C508*EXP(poly_from_str($AO508,AU$4341))</f>
        <v>0.23178322830077006</v>
      </c>
    </row>
    <row r="509" spans="1:48" x14ac:dyDescent="0.25">
      <c r="A509" t="s">
        <v>802</v>
      </c>
      <c r="B509" s="2" t="str">
        <f t="shared" si="347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348"/>
        <v>6179.5</v>
      </c>
      <c r="AB509" s="3">
        <f t="shared" si="349"/>
        <v>16178.06</v>
      </c>
      <c r="AC509" s="3" cm="1">
        <f t="array" ref="AC509">100000000/LvacE(AA509)</f>
        <v>16178.062371684486</v>
      </c>
      <c r="AD509" s="10">
        <f t="shared" si="350"/>
        <v>6.309010629637065E-3</v>
      </c>
      <c r="AE509" s="10" t="b">
        <f t="shared" si="351"/>
        <v>1</v>
      </c>
      <c r="AP509"/>
      <c r="AQ509"/>
      <c r="AU509" s="3" cm="1">
        <f t="array" ref="AU509">$C509*EXP(poly_from_str(100000000/$E509,AU$4341))</f>
        <v>2.6012776604560875E-2</v>
      </c>
    </row>
    <row r="510" spans="1:48" x14ac:dyDescent="0.25">
      <c r="A510" t="s">
        <v>803</v>
      </c>
      <c r="B510" s="2" t="str">
        <f t="shared" si="347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348"/>
        <v>6178.4</v>
      </c>
      <c r="AB510" s="3">
        <f t="shared" si="349"/>
        <v>16180.94</v>
      </c>
      <c r="AC510" s="3" cm="1">
        <f t="array" ref="AC510">100000000/LvacE(AA510)</f>
        <v>16180.942683603784</v>
      </c>
      <c r="AD510" s="10">
        <f t="shared" si="350"/>
        <v>6.3094767806878629E-3</v>
      </c>
      <c r="AE510" s="10" t="b">
        <f t="shared" si="351"/>
        <v>1</v>
      </c>
      <c r="AP510"/>
      <c r="AQ510"/>
      <c r="AU510" s="3" cm="1">
        <f t="array" ref="AU510">$C510*EXP(poly_from_str(100000000/$E510,AU$4341))</f>
        <v>7.8136613059494792E-2</v>
      </c>
    </row>
    <row r="511" spans="1:48" x14ac:dyDescent="0.25">
      <c r="A511" t="s">
        <v>804</v>
      </c>
      <c r="B511" s="2" t="str">
        <f t="shared" si="347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348"/>
        <v>6175.2529999999997</v>
      </c>
      <c r="AB511" s="3">
        <f t="shared" si="349"/>
        <v>16189.19</v>
      </c>
      <c r="AC511" s="3" cm="1">
        <f t="array" ref="AC511">100000000/LvacE(AA511)</f>
        <v>16189.188661317803</v>
      </c>
      <c r="AD511" s="10">
        <f t="shared" si="350"/>
        <v>6.3108117725150532E-3</v>
      </c>
      <c r="AE511" s="10" t="b">
        <f t="shared" si="351"/>
        <v>1</v>
      </c>
      <c r="AP511"/>
      <c r="AQ511"/>
      <c r="AU511" s="3" cm="1">
        <f t="array" ref="AU511">$C511*EXP(poly_from_str(100000000/$E511,AU$4341))</f>
        <v>2.6139779758990497E-2</v>
      </c>
    </row>
    <row r="512" spans="1:48" x14ac:dyDescent="0.25">
      <c r="A512" t="s">
        <v>805</v>
      </c>
      <c r="B512" s="2" t="str">
        <f t="shared" si="347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348"/>
        <v>6171.5609999999997</v>
      </c>
      <c r="AB512" s="3">
        <f t="shared" si="349"/>
        <v>16198.87</v>
      </c>
      <c r="AC512" s="3" cm="1">
        <f t="array" ref="AC512">100000000/LvacE(AA512)</f>
        <v>16198.873404212449</v>
      </c>
      <c r="AD512" s="10">
        <f t="shared" si="350"/>
        <v>6.3123805633787345E-3</v>
      </c>
      <c r="AE512" s="10" t="b">
        <f t="shared" si="351"/>
        <v>1</v>
      </c>
      <c r="AP512"/>
      <c r="AQ512"/>
      <c r="AU512" s="3" cm="1">
        <f t="array" ref="AU512">$C512*EXP(poly_from_str(100000000/$E512,AU$4341))</f>
        <v>2.6251106474490183E-2</v>
      </c>
    </row>
    <row r="513" spans="1:48" x14ac:dyDescent="0.25">
      <c r="A513" t="s">
        <v>807</v>
      </c>
      <c r="B513" s="2" t="str">
        <f t="shared" si="347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348"/>
        <v>6162.8059999999996</v>
      </c>
      <c r="AB513" s="3">
        <f t="shared" si="349"/>
        <v>16221.89</v>
      </c>
      <c r="AC513" s="3" cm="1">
        <f t="array" ref="AC513">100000000/LvacE(AA513)</f>
        <v>16221.885639247657</v>
      </c>
      <c r="AD513" s="10">
        <f t="shared" si="350"/>
        <v>6.3161119820458128E-3</v>
      </c>
      <c r="AE513" s="10" t="b">
        <f t="shared" si="351"/>
        <v>1</v>
      </c>
      <c r="AP513"/>
      <c r="AQ513"/>
      <c r="AU513" s="3" cm="1">
        <f t="array" ref="AU513">$C513*EXP(poly_from_str(100000000/$E513,AU$4341))</f>
        <v>7.9557366188533402E-2</v>
      </c>
    </row>
    <row r="514" spans="1:48" x14ac:dyDescent="0.25">
      <c r="A514" t="s">
        <v>809</v>
      </c>
      <c r="B514" s="2" t="str">
        <f t="shared" si="347"/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381">$G514&amp;""</f>
        <v>o</v>
      </c>
      <c r="N514" t="str">
        <f t="shared" ref="N514:N515" si="382">$H514&amp;""</f>
        <v>11/2</v>
      </c>
      <c r="O514">
        <v>28720.71</v>
      </c>
      <c r="P514" t="str">
        <f t="shared" ref="P514:P515" si="383">$J514&amp;""</f>
        <v>e</v>
      </c>
      <c r="Q514" t="str">
        <f t="shared" ref="Q514:Q515" si="384">$K514&amp;""</f>
        <v>9/2</v>
      </c>
      <c r="R514">
        <v>7</v>
      </c>
      <c r="AA514" s="10">
        <f t="shared" si="348"/>
        <v>6161.2240000000002</v>
      </c>
      <c r="AB514" s="3">
        <f t="shared" si="349"/>
        <v>16226.05</v>
      </c>
      <c r="AC514" s="3" cm="1">
        <f t="array" ref="AC514">100000000/LvacE(AA514)</f>
        <v>16226.050851600674</v>
      </c>
      <c r="AD514" s="10">
        <f t="shared" si="350"/>
        <v>6.3167879346377178E-3</v>
      </c>
      <c r="AE514" s="10" t="b">
        <f t="shared" si="351"/>
        <v>1</v>
      </c>
      <c r="AJ514" t="s">
        <v>4760</v>
      </c>
      <c r="AK514" t="s">
        <v>4708</v>
      </c>
      <c r="AL514">
        <v>12494.63</v>
      </c>
      <c r="AM514">
        <v>28720.71</v>
      </c>
      <c r="AN514" s="10" cm="1">
        <f t="array" ref="AN514">Lair(100000000/($AM514-$AL514))</f>
        <v>6161.2129427096042</v>
      </c>
      <c r="AO514" s="10">
        <f t="shared" ref="AO514:AO515" si="385">100000000/($AM514-$AL514)</f>
        <v>6162.9179690966639</v>
      </c>
      <c r="AP514" s="12">
        <v>13200000</v>
      </c>
      <c r="AQ514" s="3">
        <v>0.56200000000000006</v>
      </c>
      <c r="AR514" s="3">
        <f t="shared" ref="AR514:AR515" si="386">LN(AU514*100000000/($AM514-$AL514)/AP514)</f>
        <v>-3.9842339872948713</v>
      </c>
      <c r="AS514" s="13">
        <f t="shared" ref="AS514:AS515" si="387">EXP(AR$4341*$AM514+AR$4342)*$AP514/(100000000/($AM514-$AL514))</f>
        <v>21.938454100521447</v>
      </c>
      <c r="AT514" s="3">
        <f t="shared" ref="AT514:AT515" si="388">LN(AS514/$C514)</f>
        <v>-4.2249793950482948</v>
      </c>
      <c r="AU514" s="3" cm="1">
        <f t="array" ref="AU514">$C514*EXP(poly_from_str($AO514,AU$4341))</f>
        <v>39.852604456936326</v>
      </c>
      <c r="AV514" s="13">
        <f t="shared" ref="AV514:AV515" si="389">LN(AS514/AU514)</f>
        <v>-0.59694676756889542</v>
      </c>
    </row>
    <row r="515" spans="1:48" x14ac:dyDescent="0.25">
      <c r="A515" t="s">
        <v>811</v>
      </c>
      <c r="B515" s="2" t="str">
        <f t="shared" ref="B515:B578" si="390">IF(OR(A515=A514,A515=A516),IF(B514="",1,B514+1),"")</f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381"/>
        <v>o</v>
      </c>
      <c r="N515" t="str">
        <f t="shared" si="382"/>
        <v>11/2</v>
      </c>
      <c r="O515">
        <v>17627</v>
      </c>
      <c r="P515" t="str">
        <f t="shared" si="383"/>
        <v>e</v>
      </c>
      <c r="Q515" t="str">
        <f t="shared" si="384"/>
        <v>9/2</v>
      </c>
      <c r="R515">
        <v>7</v>
      </c>
      <c r="AA515" s="10">
        <f t="shared" ref="AA515:AA578" si="391">ROUND($A515,3)+0</f>
        <v>6160.2439999999997</v>
      </c>
      <c r="AB515" s="3">
        <f t="shared" ref="AB515:AB578" si="392">ROUND($E515,2)+0</f>
        <v>16228.63</v>
      </c>
      <c r="AC515" s="3" cm="1">
        <f t="array" ref="AC515">100000000/LvacE(AA515)</f>
        <v>16228.632144722789</v>
      </c>
      <c r="AD515" s="10">
        <f t="shared" ref="AD515:AD578" si="393">0.0005/$AA515*AC515+0.005</f>
        <v>6.3172069275764719E-3</v>
      </c>
      <c r="AE515" s="10" t="b">
        <f t="shared" ref="AE515:AE578" si="394">ABS(AB515-AC515)&lt;AD515</f>
        <v>1</v>
      </c>
      <c r="AJ515" t="s">
        <v>4826</v>
      </c>
      <c r="AK515" t="s">
        <v>4820</v>
      </c>
      <c r="AL515">
        <v>1398.34</v>
      </c>
      <c r="AM515">
        <v>17627</v>
      </c>
      <c r="AN515" s="10" cm="1">
        <f t="array" ref="AN515">Lair(100000000/($AM515-$AL515))</f>
        <v>6160.2334370832659</v>
      </c>
      <c r="AO515" s="10">
        <f t="shared" si="385"/>
        <v>6161.9382006893975</v>
      </c>
      <c r="AP515" s="12">
        <v>18300000</v>
      </c>
      <c r="AQ515" s="3">
        <v>0.36399999999999999</v>
      </c>
      <c r="AR515" s="3">
        <f t="shared" si="386"/>
        <v>-3.105960036590572</v>
      </c>
      <c r="AS515" s="13">
        <f t="shared" si="387"/>
        <v>69.939543425904773</v>
      </c>
      <c r="AT515" s="3">
        <f t="shared" si="388"/>
        <v>-4.2695619878848898</v>
      </c>
      <c r="AU515" s="3" cm="1">
        <f t="array" ref="AU515">$C515*EXP(poly_from_str($AO515,AU$4341))</f>
        <v>132.99412192788918</v>
      </c>
      <c r="AV515" s="13">
        <f t="shared" si="389"/>
        <v>-0.64267372768282416</v>
      </c>
    </row>
    <row r="516" spans="1:48" x14ac:dyDescent="0.25">
      <c r="A516" t="s">
        <v>813</v>
      </c>
      <c r="B516" s="2" t="str">
        <f t="shared" si="390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391"/>
        <v>6151.14</v>
      </c>
      <c r="AB516" s="3">
        <f t="shared" si="392"/>
        <v>16252.65</v>
      </c>
      <c r="AC516" s="3" cm="1">
        <f t="array" ref="AC516">100000000/LvacE(AA516)</f>
        <v>16252.651142117269</v>
      </c>
      <c r="AD516" s="10">
        <f t="shared" si="393"/>
        <v>6.3211088629194969E-3</v>
      </c>
      <c r="AE516" s="10" t="b">
        <f t="shared" si="394"/>
        <v>1</v>
      </c>
      <c r="AP516"/>
      <c r="AQ516"/>
      <c r="AU516" s="3" cm="1">
        <f t="array" ref="AU516">$C516*EXP(poly_from_str(100000000/$E516,AU$4341))</f>
        <v>0.13442252210386402</v>
      </c>
    </row>
    <row r="517" spans="1:48" x14ac:dyDescent="0.25">
      <c r="A517" t="s">
        <v>815</v>
      </c>
      <c r="B517" s="2" t="str">
        <f t="shared" si="390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391"/>
        <v>6140.9930000000004</v>
      </c>
      <c r="AB517" s="3">
        <f t="shared" si="392"/>
        <v>16279.51</v>
      </c>
      <c r="AC517" s="3" cm="1">
        <f t="array" ref="AC517">100000000/LvacE(AA517)</f>
        <v>16279.505797313604</v>
      </c>
      <c r="AD517" s="10">
        <f t="shared" si="393"/>
        <v>6.3254782896930194E-3</v>
      </c>
      <c r="AE517" s="10" t="b">
        <f t="shared" si="394"/>
        <v>1</v>
      </c>
      <c r="AJ517" t="s">
        <v>4817</v>
      </c>
      <c r="AK517" t="s">
        <v>4723</v>
      </c>
      <c r="AL517">
        <v>10859.06</v>
      </c>
      <c r="AM517">
        <v>27138.55</v>
      </c>
      <c r="AN517" s="10" cm="1">
        <f t="array" ref="AN517">Lair(100000000/($AM517-$AL517))</f>
        <v>6140.9989697873389</v>
      </c>
      <c r="AO517" s="10">
        <f>100000000/($AM517-$AL517)</f>
        <v>6142.6985734811105</v>
      </c>
      <c r="AU517" s="3" cm="1">
        <f t="array" ref="AU517">$C517*EXP(poly_from_str($AO517,AU$4341))</f>
        <v>0.19047125477317539</v>
      </c>
    </row>
    <row r="518" spans="1:48" x14ac:dyDescent="0.25">
      <c r="A518" t="s">
        <v>817</v>
      </c>
      <c r="B518" s="2" t="str">
        <f t="shared" si="390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391"/>
        <v>6138.3729999999996</v>
      </c>
      <c r="AB518" s="3">
        <f t="shared" si="392"/>
        <v>16286.45</v>
      </c>
      <c r="AC518" s="3" cm="1">
        <f t="array" ref="AC518">100000000/LvacE(AA518)</f>
        <v>16286.454208909474</v>
      </c>
      <c r="AD518" s="10">
        <f t="shared" si="393"/>
        <v>6.3266100161157909E-3</v>
      </c>
      <c r="AE518" s="10" t="b">
        <f t="shared" si="394"/>
        <v>1</v>
      </c>
      <c r="AP518"/>
      <c r="AQ518"/>
      <c r="AU518" s="3" cm="1">
        <f t="array" ref="AU518">$C518*EXP(poly_from_str(100000000/$E518,AU$4341))</f>
        <v>0.1364784214347585</v>
      </c>
    </row>
    <row r="519" spans="1:48" x14ac:dyDescent="0.25">
      <c r="A519" t="s">
        <v>819</v>
      </c>
      <c r="B519" s="2" t="str">
        <f t="shared" si="390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391"/>
        <v>6137.4740000000002</v>
      </c>
      <c r="AB519" s="3">
        <f t="shared" si="392"/>
        <v>16288.84</v>
      </c>
      <c r="AC519" s="3" cm="1">
        <f t="array" ref="AC519">100000000/LvacE(AA519)</f>
        <v>16288.839782786901</v>
      </c>
      <c r="AD519" s="10">
        <f t="shared" si="393"/>
        <v>6.3269986791623803E-3</v>
      </c>
      <c r="AE519" s="10" t="b">
        <f t="shared" si="394"/>
        <v>1</v>
      </c>
      <c r="AJ519" t="s">
        <v>4759</v>
      </c>
      <c r="AK519" t="s">
        <v>4752</v>
      </c>
      <c r="AL519">
        <v>23651.88</v>
      </c>
      <c r="AM519">
        <v>39940.720000000001</v>
      </c>
      <c r="AN519" s="10" cm="1">
        <f t="array" ref="AN519">Lair(100000000/($AM519-$AL519))</f>
        <v>6137.4739287618331</v>
      </c>
      <c r="AO519" s="10">
        <f>100000000/($AM519-$AL519)</f>
        <v>6139.1725868754311</v>
      </c>
      <c r="AP519" s="12">
        <v>174000</v>
      </c>
      <c r="AQ519" s="3">
        <v>5.0000000000000001E-3</v>
      </c>
      <c r="AR519" s="3"/>
      <c r="AS519" s="13">
        <f>EXP(AR$4341*$AM519+AR$4342)*$AP519/(100000000/($AM519-$AL519))</f>
        <v>0.12507511186142883</v>
      </c>
      <c r="AT519" s="3"/>
      <c r="AU519" s="3" cm="1">
        <f t="array" ref="AU519">$C519*EXP(poly_from_str($AO519,AU$4341))</f>
        <v>5.465029289392602E-2</v>
      </c>
    </row>
    <row r="520" spans="1:48" x14ac:dyDescent="0.25">
      <c r="A520" t="s">
        <v>821</v>
      </c>
      <c r="B520" s="2" t="str">
        <f t="shared" si="390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391"/>
        <v>6130.8959999999997</v>
      </c>
      <c r="AB520" s="3">
        <f t="shared" si="392"/>
        <v>16306.32</v>
      </c>
      <c r="AC520" s="3" cm="1">
        <f t="array" ref="AC520">100000000/LvacE(AA520)</f>
        <v>16306.31635946286</v>
      </c>
      <c r="AD520" s="10">
        <f t="shared" si="393"/>
        <v>6.3298477383618035E-3</v>
      </c>
      <c r="AE520" s="10" t="b">
        <f t="shared" si="394"/>
        <v>1</v>
      </c>
      <c r="AP520"/>
      <c r="AQ520"/>
      <c r="AU520" s="3" cm="1">
        <f t="array" ref="AU520">$C520*EXP(poly_from_str(100000000/$E520,AU$4341))</f>
        <v>2.7542195163209892E-2</v>
      </c>
    </row>
    <row r="521" spans="1:48" x14ac:dyDescent="0.25">
      <c r="A521" t="s">
        <v>823</v>
      </c>
      <c r="B521" s="2" t="str">
        <f t="shared" si="390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395">$G521&amp;""</f>
        <v>o</v>
      </c>
      <c r="N521" t="str">
        <f t="shared" ref="N521:N522" si="396">$H521&amp;""</f>
        <v>5/2</v>
      </c>
      <c r="O521">
        <v>26446.97</v>
      </c>
      <c r="P521" t="str">
        <f t="shared" ref="P521:P522" si="397">$J521&amp;""</f>
        <v>e</v>
      </c>
      <c r="Q521" t="str">
        <f t="shared" ref="Q521:Q522" si="398">$K521&amp;""</f>
        <v>7/2</v>
      </c>
      <c r="R521">
        <v>7</v>
      </c>
      <c r="AA521" s="10">
        <f t="shared" si="391"/>
        <v>6129.97</v>
      </c>
      <c r="AB521" s="3">
        <f t="shared" si="392"/>
        <v>16308.78</v>
      </c>
      <c r="AC521" s="3" cm="1">
        <f t="array" ref="AC521">100000000/LvacE(AA521)</f>
        <v>16308.779588488635</v>
      </c>
      <c r="AD521" s="10">
        <f t="shared" si="393"/>
        <v>6.3302495435123363E-3</v>
      </c>
      <c r="AE521" s="10" t="b">
        <f t="shared" si="394"/>
        <v>1</v>
      </c>
      <c r="AJ521" t="s">
        <v>4715</v>
      </c>
      <c r="AK521" t="s">
        <v>4736</v>
      </c>
      <c r="AL521">
        <v>10138.18</v>
      </c>
      <c r="AM521">
        <v>26446.97</v>
      </c>
      <c r="AN521" s="10" cm="1">
        <f t="array" ref="AN521">Lair(100000000/($AM521-$AL521))</f>
        <v>6129.9660971538287</v>
      </c>
      <c r="AO521" s="10">
        <f t="shared" ref="AO521:AO522" si="399">100000000/($AM521-$AL521)</f>
        <v>6131.6627413805681</v>
      </c>
      <c r="AU521" s="3" cm="1">
        <f t="array" ref="AU521">$C521*EXP(poly_from_str($AO521,AU$4341))</f>
        <v>0.24815779429421472</v>
      </c>
    </row>
    <row r="522" spans="1:48" x14ac:dyDescent="0.25">
      <c r="A522" t="s">
        <v>825</v>
      </c>
      <c r="B522" s="2" t="str">
        <f t="shared" si="390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395"/>
        <v>o</v>
      </c>
      <c r="N522" t="str">
        <f t="shared" si="396"/>
        <v>3/2</v>
      </c>
      <c r="O522">
        <v>37197.64</v>
      </c>
      <c r="P522" t="str">
        <f t="shared" si="397"/>
        <v>e</v>
      </c>
      <c r="Q522" t="str">
        <f t="shared" si="398"/>
        <v>3/2</v>
      </c>
      <c r="R522">
        <v>7</v>
      </c>
      <c r="AA522" s="10">
        <f t="shared" si="391"/>
        <v>6117.9679999999998</v>
      </c>
      <c r="AB522" s="3">
        <f t="shared" si="392"/>
        <v>16340.77</v>
      </c>
      <c r="AC522" s="3" cm="1">
        <f t="array" ref="AC522">100000000/LvacE(AA522)</f>
        <v>16340.773266164997</v>
      </c>
      <c r="AD522" s="10">
        <f t="shared" si="393"/>
        <v>6.3354739078534733E-3</v>
      </c>
      <c r="AE522" s="10" t="b">
        <f t="shared" si="394"/>
        <v>1</v>
      </c>
      <c r="AJ522" t="s">
        <v>4827</v>
      </c>
      <c r="AK522" t="s">
        <v>4787</v>
      </c>
      <c r="AL522">
        <v>20856.86</v>
      </c>
      <c r="AM522">
        <v>37197.64</v>
      </c>
      <c r="AN522" s="10" cm="1">
        <f t="array" ref="AN522">Lair(100000000/($AM522-$AL522))</f>
        <v>6117.9654893053585</v>
      </c>
      <c r="AO522" s="10">
        <f t="shared" si="399"/>
        <v>6119.6589146907309</v>
      </c>
      <c r="AP522" s="12">
        <v>1160000</v>
      </c>
      <c r="AQ522" s="3">
        <v>0.13800000000000001</v>
      </c>
      <c r="AR522" s="3">
        <f>LN(AU522*100000000/($AM522-$AL522)/AP522)</f>
        <v>-4.4389710173883801</v>
      </c>
      <c r="AS522" s="13">
        <f>EXP(AR$4341*$AM522+AR$4342)*$AP522/(100000000/($AM522-$AL522))</f>
        <v>1.0276987063820535</v>
      </c>
      <c r="AT522" s="3">
        <f>LN(AS522/$C522)</f>
        <v>-4.3547045977763394</v>
      </c>
      <c r="AU522" s="3" cm="1">
        <f t="array" ref="AU522">$C522*EXP(poly_from_str($AO522,AU$4341))</f>
        <v>2.2382580445143194</v>
      </c>
      <c r="AV522" s="13">
        <f>LN(AS522/AU522)</f>
        <v>-0.77837586773706047</v>
      </c>
    </row>
    <row r="523" spans="1:48" x14ac:dyDescent="0.25">
      <c r="A523" t="s">
        <v>827</v>
      </c>
      <c r="B523" s="2" t="str">
        <f t="shared" si="390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391"/>
        <v>6099.8370000000004</v>
      </c>
      <c r="AB523" s="3">
        <f t="shared" si="392"/>
        <v>16389.34</v>
      </c>
      <c r="AC523" s="3" cm="1">
        <f t="array" ref="AC523">100000000/LvacE(AA523)</f>
        <v>16389.343745703973</v>
      </c>
      <c r="AD523" s="10">
        <f t="shared" si="393"/>
        <v>6.3434247296857253E-3</v>
      </c>
      <c r="AE523" s="10" t="b">
        <f t="shared" si="394"/>
        <v>1</v>
      </c>
      <c r="AP523"/>
      <c r="AQ523"/>
      <c r="AU523" s="3" cm="1">
        <f t="array" ref="AU523">$C523*EXP(poly_from_str(100000000/$E523,AU$4341))</f>
        <v>0</v>
      </c>
    </row>
    <row r="524" spans="1:48" x14ac:dyDescent="0.25">
      <c r="A524" t="s">
        <v>829</v>
      </c>
      <c r="B524" s="2" t="str">
        <f t="shared" si="390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391"/>
        <v>6099.7669999999998</v>
      </c>
      <c r="AB524" s="3">
        <f t="shared" si="392"/>
        <v>16389.53</v>
      </c>
      <c r="AC524" s="3" cm="1">
        <f t="array" ref="AC524">100000000/LvacE(AA524)</f>
        <v>16389.531825701833</v>
      </c>
      <c r="AD524" s="10">
        <f t="shared" si="393"/>
        <v>6.3434555636061049E-3</v>
      </c>
      <c r="AE524" s="10" t="b">
        <f t="shared" si="394"/>
        <v>1</v>
      </c>
      <c r="AP524"/>
      <c r="AQ524"/>
      <c r="AU524" s="3" cm="1">
        <f t="array" ref="AU524">$C524*EXP(poly_from_str(100000000/$E524,AU$4341))</f>
        <v>0</v>
      </c>
    </row>
    <row r="525" spans="1:48" x14ac:dyDescent="0.25">
      <c r="A525" t="s">
        <v>831</v>
      </c>
      <c r="B525" s="2" t="str">
        <f t="shared" si="390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391"/>
        <v>6099.6639999999998</v>
      </c>
      <c r="AB525" s="3">
        <f t="shared" si="392"/>
        <v>16389.810000000001</v>
      </c>
      <c r="AC525" s="3" cm="1">
        <f t="array" ref="AC525">100000000/LvacE(AA525)</f>
        <v>16389.808579833429</v>
      </c>
      <c r="AD525" s="10">
        <f t="shared" si="393"/>
        <v>6.3435009354477091E-3</v>
      </c>
      <c r="AE525" s="10" t="b">
        <f t="shared" si="394"/>
        <v>1</v>
      </c>
      <c r="AP525"/>
      <c r="AQ525"/>
      <c r="AU525" s="3" cm="1">
        <f t="array" ref="AU525">$C525*EXP(poly_from_str(100000000/$E525,AU$4341))</f>
        <v>0</v>
      </c>
    </row>
    <row r="526" spans="1:48" x14ac:dyDescent="0.25">
      <c r="A526" t="s">
        <v>833</v>
      </c>
      <c r="B526" s="2" t="str">
        <f t="shared" si="390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391"/>
        <v>6099.5439999999999</v>
      </c>
      <c r="AB526" s="3">
        <f t="shared" si="392"/>
        <v>16390.13</v>
      </c>
      <c r="AC526" s="3" cm="1">
        <f t="array" ref="AC526">100000000/LvacE(AA526)</f>
        <v>16390.131023619397</v>
      </c>
      <c r="AD526" s="10">
        <f t="shared" si="393"/>
        <v>6.3435537987445783E-3</v>
      </c>
      <c r="AE526" s="10" t="b">
        <f t="shared" si="394"/>
        <v>1</v>
      </c>
      <c r="AP526"/>
      <c r="AQ526"/>
      <c r="AU526" s="3" cm="1">
        <f t="array" ref="AU526">$C526*EXP(poly_from_str(100000000/$E526,AU$4341))</f>
        <v>0</v>
      </c>
    </row>
    <row r="527" spans="1:48" x14ac:dyDescent="0.25">
      <c r="A527" t="s">
        <v>835</v>
      </c>
      <c r="B527" s="2" t="str">
        <f t="shared" si="390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391"/>
        <v>6099.3959999999997</v>
      </c>
      <c r="AB527" s="3">
        <f t="shared" si="392"/>
        <v>16390.53</v>
      </c>
      <c r="AC527" s="3" cm="1">
        <f t="array" ref="AC527">100000000/LvacE(AA527)</f>
        <v>16390.528721762126</v>
      </c>
      <c r="AD527" s="10">
        <f t="shared" si="393"/>
        <v>6.3436190011078256E-3</v>
      </c>
      <c r="AE527" s="10" t="b">
        <f t="shared" si="394"/>
        <v>1</v>
      </c>
      <c r="AJ527" t="s">
        <v>4760</v>
      </c>
      <c r="AK527" t="s">
        <v>4742</v>
      </c>
      <c r="AL527">
        <v>12494.63</v>
      </c>
      <c r="AM527">
        <v>28885.14</v>
      </c>
      <c r="AN527" s="10" cm="1">
        <f t="array" ref="AN527">Lair(100000000/($AM527-$AL527))</f>
        <v>6099.402977317859</v>
      </c>
      <c r="AO527" s="10">
        <f>100000000/($AM527-$AL527)</f>
        <v>6101.0914242448825</v>
      </c>
      <c r="AP527" s="12">
        <v>6880000</v>
      </c>
      <c r="AQ527" s="3">
        <v>0.54</v>
      </c>
      <c r="AR527" s="3">
        <f>LN(AU527*100000000/($AM527-$AL527)/AP527)</f>
        <v>-6.1992923518697394</v>
      </c>
      <c r="AS527" s="13">
        <f>EXP(AR$4341*$AM527+AR$4342)*$AP527/(100000000/($AM527-$AL527))</f>
        <v>11.408806533975893</v>
      </c>
      <c r="AT527" s="3">
        <f>LN(AS527/$C527)</f>
        <v>-1.9476410745199402</v>
      </c>
      <c r="AU527" s="3" cm="1">
        <f t="array" ref="AU527">$C527*EXP(poly_from_str($AO527,AU$4341))</f>
        <v>2.290142177482231</v>
      </c>
      <c r="AV527" s="13">
        <f>LN(AS527/AU527)</f>
        <v>1.6057716582782817</v>
      </c>
    </row>
    <row r="528" spans="1:48" x14ac:dyDescent="0.25">
      <c r="A528" t="s">
        <v>837</v>
      </c>
      <c r="B528" s="2" t="str">
        <f t="shared" si="390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391"/>
        <v>6092.5450000000001</v>
      </c>
      <c r="AB528" s="3">
        <f t="shared" si="392"/>
        <v>16408.96</v>
      </c>
      <c r="AC528" s="3" cm="1">
        <f t="array" ref="AC528">100000000/LvacE(AA528)</f>
        <v>16408.959532147735</v>
      </c>
      <c r="AD528" s="10">
        <f t="shared" si="393"/>
        <v>6.3466424566538072E-3</v>
      </c>
      <c r="AE528" s="10" t="b">
        <f t="shared" si="394"/>
        <v>1</v>
      </c>
      <c r="AP528"/>
      <c r="AQ528"/>
      <c r="AU528" s="3" cm="1">
        <f t="array" ref="AU528">$C528*EXP(poly_from_str(100000000/$E528,AU$4341))</f>
        <v>0.1443663565000278</v>
      </c>
    </row>
    <row r="529" spans="1:48" x14ac:dyDescent="0.25">
      <c r="A529" t="s">
        <v>839</v>
      </c>
      <c r="B529" s="2" t="str">
        <f t="shared" si="390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400">$G529&amp;""</f>
        <v>o</v>
      </c>
      <c r="N529" t="str">
        <f t="shared" ref="N529:N530" si="401">$H529&amp;""</f>
        <v>9/2</v>
      </c>
      <c r="O529">
        <v>26446.97</v>
      </c>
      <c r="P529" t="str">
        <f t="shared" ref="P529:P530" si="402">$J529&amp;""</f>
        <v>e</v>
      </c>
      <c r="Q529" t="str">
        <f t="shared" ref="Q529:Q530" si="403">$K529&amp;""</f>
        <v>7/2</v>
      </c>
      <c r="R529">
        <v>7</v>
      </c>
      <c r="AA529" s="10">
        <f t="shared" si="391"/>
        <v>6090.6369999999997</v>
      </c>
      <c r="AB529" s="3">
        <f t="shared" si="392"/>
        <v>16414.099999999999</v>
      </c>
      <c r="AC529" s="3" cm="1">
        <f t="array" ref="AC529">100000000/LvacE(AA529)</f>
        <v>16414.099885097603</v>
      </c>
      <c r="AD529" s="10">
        <f t="shared" si="393"/>
        <v>6.3474863043962073E-3</v>
      </c>
      <c r="AE529" s="10" t="b">
        <f t="shared" si="394"/>
        <v>1</v>
      </c>
      <c r="AJ529" t="s">
        <v>4812</v>
      </c>
      <c r="AK529" t="s">
        <v>4736</v>
      </c>
      <c r="AL529">
        <v>10032.92</v>
      </c>
      <c r="AM529">
        <v>26446.97</v>
      </c>
      <c r="AN529" s="10" cm="1">
        <f t="array" ref="AN529">Lair(100000000/($AM529-$AL529))</f>
        <v>6090.6555209157204</v>
      </c>
      <c r="AO529" s="10">
        <f t="shared" ref="AO529:AO530" si="404">100000000/($AM529-$AL529)</f>
        <v>6092.3416219641085</v>
      </c>
      <c r="AP529" s="12">
        <v>62000</v>
      </c>
      <c r="AQ529" s="3">
        <v>4.0000000000000001E-3</v>
      </c>
      <c r="AR529" s="3"/>
      <c r="AS529" s="13">
        <f t="shared" ref="AS529:AS530" si="405">EXP(AR$4341*$AM529+AR$4342)*$AP529/(100000000/($AM529-$AL529))</f>
        <v>0.12363247069082602</v>
      </c>
      <c r="AT529" s="3"/>
      <c r="AU529" s="3" cm="1">
        <f t="array" ref="AU529">$C529*EXP(poly_from_str($AO529,AU$4341))</f>
        <v>8.682551865182736E-2</v>
      </c>
    </row>
    <row r="530" spans="1:48" x14ac:dyDescent="0.25">
      <c r="A530" t="s">
        <v>841</v>
      </c>
      <c r="B530" s="2" t="str">
        <f t="shared" si="390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400"/>
        <v>o</v>
      </c>
      <c r="N530" t="str">
        <f t="shared" si="401"/>
        <v>13/2</v>
      </c>
      <c r="O530">
        <v>19308.93</v>
      </c>
      <c r="P530" t="str">
        <f t="shared" si="402"/>
        <v>e</v>
      </c>
      <c r="Q530" t="str">
        <f t="shared" si="403"/>
        <v>11/2</v>
      </c>
      <c r="R530">
        <v>7</v>
      </c>
      <c r="AA530" s="10">
        <f t="shared" si="391"/>
        <v>6090.0159999999996</v>
      </c>
      <c r="AB530" s="3">
        <f t="shared" si="392"/>
        <v>16415.77</v>
      </c>
      <c r="AC530" s="3" cm="1">
        <f t="array" ref="AC530">100000000/LvacE(AA530)</f>
        <v>16415.773619254589</v>
      </c>
      <c r="AD530" s="10">
        <f t="shared" si="393"/>
        <v>6.3477611240475061E-3</v>
      </c>
      <c r="AE530" s="10" t="b">
        <f t="shared" si="394"/>
        <v>1</v>
      </c>
      <c r="AJ530" t="s">
        <v>4977</v>
      </c>
      <c r="AK530" t="s">
        <v>4813</v>
      </c>
      <c r="AL530">
        <v>2893.14</v>
      </c>
      <c r="AM530">
        <v>19308.93</v>
      </c>
      <c r="AN530" s="10" cm="1">
        <f t="array" ref="AN530">Lair(100000000/($AM530-$AL530))</f>
        <v>6090.0099331986203</v>
      </c>
      <c r="AO530" s="10">
        <f t="shared" si="404"/>
        <v>6091.6958611190812</v>
      </c>
      <c r="AP530" s="12">
        <v>26900000</v>
      </c>
      <c r="AQ530" s="3">
        <v>0.41399999999999998</v>
      </c>
      <c r="AR530" s="3">
        <f>LN(AU530*100000000/($AM530-$AL530)/AP530)</f>
        <v>-2.829630686844895</v>
      </c>
      <c r="AS530" s="13">
        <f t="shared" si="405"/>
        <v>91.661083052251001</v>
      </c>
      <c r="AT530" s="3">
        <f t="shared" ref="AT530" si="406">LN(AS530/$C530)</f>
        <v>-4.5868819613323772</v>
      </c>
      <c r="AU530" s="3" cm="1">
        <f t="array" ref="AU530">$C530*EXP(poly_from_str($AO530,AU$4341))</f>
        <v>260.68802067391999</v>
      </c>
      <c r="AV530" s="13">
        <f>LN(AS530/AU530)</f>
        <v>-1.0452264742798401</v>
      </c>
    </row>
    <row r="531" spans="1:48" x14ac:dyDescent="0.25">
      <c r="A531" t="s">
        <v>843</v>
      </c>
      <c r="B531" s="2" t="str">
        <f t="shared" si="390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391"/>
        <v>6087.51</v>
      </c>
      <c r="AB531" s="3">
        <f t="shared" si="392"/>
        <v>16422.53</v>
      </c>
      <c r="AC531" s="3" cm="1">
        <f t="array" ref="AC531">100000000/LvacE(AA531)</f>
        <v>16422.531320243826</v>
      </c>
      <c r="AD531" s="10">
        <f t="shared" si="393"/>
        <v>6.3488709932504276E-3</v>
      </c>
      <c r="AE531" s="10" t="b">
        <f t="shared" si="394"/>
        <v>1</v>
      </c>
      <c r="AP531"/>
      <c r="AQ531"/>
      <c r="AU531" s="3" cm="1">
        <f t="array" ref="AU531">$C531*EXP(poly_from_str(100000000/$E531,AU$4341))</f>
        <v>0.29056620145548673</v>
      </c>
    </row>
    <row r="532" spans="1:48" x14ac:dyDescent="0.25">
      <c r="A532" t="s">
        <v>845</v>
      </c>
      <c r="B532" s="2" t="str">
        <f t="shared" si="390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391"/>
        <v>6087.1670000000004</v>
      </c>
      <c r="AB532" s="3">
        <f t="shared" si="392"/>
        <v>16423.46</v>
      </c>
      <c r="AC532" s="3" cm="1">
        <f t="array" ref="AC532">100000000/LvacE(AA532)</f>
        <v>16423.456689867257</v>
      </c>
      <c r="AD532" s="10">
        <f t="shared" si="393"/>
        <v>6.3490230093791785E-3</v>
      </c>
      <c r="AE532" s="10" t="b">
        <f t="shared" si="394"/>
        <v>1</v>
      </c>
      <c r="AP532"/>
      <c r="AQ532"/>
      <c r="AU532" s="3" cm="1">
        <f t="array" ref="AU532">$C532*EXP(poly_from_str(100000000/$E532,AU$4341))</f>
        <v>0.17441549784022761</v>
      </c>
    </row>
    <row r="533" spans="1:48" x14ac:dyDescent="0.25">
      <c r="A533" t="s">
        <v>847</v>
      </c>
      <c r="B533" s="2" t="str">
        <f t="shared" si="390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391"/>
        <v>6087.0320000000002</v>
      </c>
      <c r="AB533" s="3">
        <f t="shared" si="392"/>
        <v>16423.82</v>
      </c>
      <c r="AC533" s="3" cm="1">
        <f t="array" ref="AC533">100000000/LvacE(AA533)</f>
        <v>16423.82093100161</v>
      </c>
      <c r="AD533" s="10">
        <f t="shared" si="393"/>
        <v>6.3490828478478187E-3</v>
      </c>
      <c r="AE533" s="10" t="b">
        <f t="shared" si="394"/>
        <v>1</v>
      </c>
      <c r="AP533"/>
      <c r="AQ533"/>
      <c r="AU533" s="3" cm="1">
        <f t="array" ref="AU533">$C533*EXP(poly_from_str(100000000/$E533,AU$4341))</f>
        <v>5.8148281366494019E-2</v>
      </c>
    </row>
    <row r="534" spans="1:48" x14ac:dyDescent="0.25">
      <c r="A534" t="s">
        <v>849</v>
      </c>
      <c r="B534" s="2" t="str">
        <f t="shared" si="390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391"/>
        <v>6083.6509999999998</v>
      </c>
      <c r="AB534" s="3">
        <f t="shared" si="392"/>
        <v>16432.95</v>
      </c>
      <c r="AC534" s="3" cm="1">
        <f t="array" ref="AC534">100000000/LvacE(AA534)</f>
        <v>16432.948419900538</v>
      </c>
      <c r="AD534" s="10">
        <f t="shared" si="393"/>
        <v>6.3505827684642449E-3</v>
      </c>
      <c r="AE534" s="10" t="b">
        <f t="shared" si="394"/>
        <v>1</v>
      </c>
      <c r="AP534"/>
      <c r="AQ534"/>
      <c r="AU534" s="3" cm="1">
        <f t="array" ref="AU534">$C534*EXP(poly_from_str(100000000/$E534,AU$4341))</f>
        <v>2.919859515769065E-2</v>
      </c>
    </row>
    <row r="535" spans="1:48" x14ac:dyDescent="0.25">
      <c r="A535" t="s">
        <v>851</v>
      </c>
      <c r="B535" s="2" t="str">
        <f t="shared" si="390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391"/>
        <v>6071.0860000000002</v>
      </c>
      <c r="AB535" s="3">
        <f t="shared" si="392"/>
        <v>16466.96</v>
      </c>
      <c r="AC535" s="3" cm="1">
        <f t="array" ref="AC535">100000000/LvacE(AA535)</f>
        <v>16466.958512955141</v>
      </c>
      <c r="AD535" s="10">
        <f t="shared" si="393"/>
        <v>6.3561789861776904E-3</v>
      </c>
      <c r="AE535" s="10" t="b">
        <f t="shared" si="394"/>
        <v>1</v>
      </c>
      <c r="AJ535" t="s">
        <v>4977</v>
      </c>
      <c r="AK535" t="s">
        <v>4748</v>
      </c>
      <c r="AL535">
        <v>2893.14</v>
      </c>
      <c r="AM535">
        <v>19360.099999999999</v>
      </c>
      <c r="AN535" s="10" cm="1">
        <f t="array" ref="AN535">Lair(100000000/($AM535-$AL535))</f>
        <v>6071.0854618777785</v>
      </c>
      <c r="AO535" s="10">
        <f>100000000/($AM535-$AL535)</f>
        <v>6072.7663150939825</v>
      </c>
      <c r="AP535" s="12">
        <v>773000</v>
      </c>
      <c r="AQ535" s="3">
        <v>0.255</v>
      </c>
      <c r="AR535" s="3">
        <f>LN(AU535*100000000/($AM535-$AL535)/AP535)</f>
        <v>-1.5617153349893298</v>
      </c>
      <c r="AS535" s="13">
        <f>EXP(AR$4341*$AM535+AR$4342)*$AP535/(100000000/($AM535-$AL535))</f>
        <v>2.63206183809397</v>
      </c>
      <c r="AT535" s="3">
        <f>LN(AS535/$C535)</f>
        <v>-5.8346272554206822</v>
      </c>
      <c r="AU535" s="3" cm="1">
        <f t="array" ref="AU535">$C535*EXP(poly_from_str($AO535,AU$4341))</f>
        <v>26.702293931209354</v>
      </c>
      <c r="AV535" s="13">
        <f>LN(AS535/AU535)</f>
        <v>-2.3169819688386588</v>
      </c>
    </row>
    <row r="536" spans="1:48" x14ac:dyDescent="0.25">
      <c r="A536" t="s">
        <v>853</v>
      </c>
      <c r="B536" s="2" t="str">
        <f t="shared" si="390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391"/>
        <v>6070.3429999999998</v>
      </c>
      <c r="AB536" s="3">
        <f t="shared" si="392"/>
        <v>16468.97</v>
      </c>
      <c r="AC536" s="3" cm="1">
        <f t="array" ref="AC536">100000000/LvacE(AA536)</f>
        <v>16468.974024030391</v>
      </c>
      <c r="AD536" s="10">
        <f t="shared" si="393"/>
        <v>6.3565109932033816E-3</v>
      </c>
      <c r="AE536" s="10" t="b">
        <f t="shared" si="394"/>
        <v>1</v>
      </c>
      <c r="AP536"/>
      <c r="AQ536"/>
      <c r="AU536" s="3" cm="1">
        <f t="array" ref="AU536">$C536*EXP(poly_from_str(100000000/$E536,AU$4341))</f>
        <v>2.9697377432879552E-2</v>
      </c>
    </row>
    <row r="537" spans="1:48" x14ac:dyDescent="0.25">
      <c r="A537" t="s">
        <v>855</v>
      </c>
      <c r="B537" s="2" t="str">
        <f t="shared" si="390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407">$G537&amp;""</f>
        <v>e</v>
      </c>
      <c r="N537" t="str">
        <f t="shared" ref="N537:N538" si="408">$H537&amp;""</f>
        <v>9/2</v>
      </c>
      <c r="O537">
        <v>39225.599999999999</v>
      </c>
      <c r="P537" t="str">
        <f t="shared" ref="P537:P538" si="409">$J537&amp;""</f>
        <v>o</v>
      </c>
      <c r="Q537" t="str">
        <f t="shared" ref="Q537:Q538" si="410">$K537&amp;""</f>
        <v>9/2</v>
      </c>
      <c r="R537">
        <v>7</v>
      </c>
      <c r="AA537" s="10">
        <f t="shared" si="391"/>
        <v>6067.0469999999996</v>
      </c>
      <c r="AB537" s="3">
        <f t="shared" si="392"/>
        <v>16477.919999999998</v>
      </c>
      <c r="AC537" s="3" cm="1">
        <f t="array" ref="AC537">100000000/LvacE(AA537)</f>
        <v>16477.920924373379</v>
      </c>
      <c r="AD537" s="10">
        <f t="shared" si="393"/>
        <v>6.3579852706245211E-3</v>
      </c>
      <c r="AE537" s="10" t="b">
        <f t="shared" si="394"/>
        <v>1</v>
      </c>
      <c r="AJ537" t="s">
        <v>4797</v>
      </c>
      <c r="AK537" t="s">
        <v>4714</v>
      </c>
      <c r="AL537">
        <v>22747.69</v>
      </c>
      <c r="AM537">
        <v>39225.599999999999</v>
      </c>
      <c r="AN537" s="10" cm="1">
        <f t="array" ref="AN537">Lair(100000000/($AM537-$AL537))</f>
        <v>6067.0510324117577</v>
      </c>
      <c r="AO537" s="10">
        <f t="shared" ref="AO537:AO538" si="411">100000000/($AM537-$AL537)</f>
        <v>6068.7308038458759</v>
      </c>
      <c r="AP537" s="12">
        <v>119000</v>
      </c>
      <c r="AQ537" s="3">
        <v>1.4999999999999999E-2</v>
      </c>
      <c r="AR537" s="3"/>
      <c r="AS537" s="13">
        <f t="shared" ref="AS537:AS538" si="412">EXP(AR$4341*$AM537+AR$4342)*$AP537/(100000000/($AM537-$AL537))</f>
        <v>9.1303632192209536E-2</v>
      </c>
      <c r="AT537" s="3"/>
      <c r="AU537" s="3" cm="1">
        <f t="array" ref="AU537">$C537*EXP(poly_from_str($AO537,AU$4341))</f>
        <v>5.9646216742393232E-2</v>
      </c>
    </row>
    <row r="538" spans="1:48" x14ac:dyDescent="0.25">
      <c r="A538" t="s">
        <v>857</v>
      </c>
      <c r="B538" s="2" t="str">
        <f t="shared" si="390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407"/>
        <v>o</v>
      </c>
      <c r="N538" t="str">
        <f t="shared" si="408"/>
        <v>9/2</v>
      </c>
      <c r="O538">
        <v>16516.150000000001</v>
      </c>
      <c r="P538" t="str">
        <f t="shared" si="409"/>
        <v>e</v>
      </c>
      <c r="Q538" t="str">
        <f t="shared" si="410"/>
        <v>7/2</v>
      </c>
      <c r="R538">
        <v>7</v>
      </c>
      <c r="S538" t="s">
        <v>6</v>
      </c>
      <c r="AA538" s="10">
        <f t="shared" si="391"/>
        <v>6053.0069999999996</v>
      </c>
      <c r="AB538" s="3">
        <f t="shared" si="392"/>
        <v>16516.14</v>
      </c>
      <c r="AC538" s="3" cm="1">
        <f t="array" ref="AC538">100000000/LvacE(AA538)</f>
        <v>16516.141264090049</v>
      </c>
      <c r="AD538" s="10">
        <f t="shared" si="393"/>
        <v>6.3642922653228424E-3</v>
      </c>
      <c r="AE538" s="10" t="b">
        <f t="shared" si="394"/>
        <v>1</v>
      </c>
      <c r="AJ538" t="s">
        <v>4757</v>
      </c>
      <c r="AK538" t="s">
        <v>4776</v>
      </c>
      <c r="AL538">
        <v>0</v>
      </c>
      <c r="AM538">
        <v>16516.150000000001</v>
      </c>
      <c r="AN538" s="10" cm="1">
        <f t="array" ref="AN538">Lair(100000000/($AM538-$AL538))</f>
        <v>6053.0038083474292</v>
      </c>
      <c r="AO538" s="10">
        <f t="shared" si="411"/>
        <v>6054.6798133947677</v>
      </c>
      <c r="AP538" s="12">
        <v>2650000</v>
      </c>
      <c r="AQ538" s="3">
        <v>0.41799999999999998</v>
      </c>
      <c r="AR538" s="3">
        <f>LN(AU538*100000000/($AM538-$AL538)/AP538)</f>
        <v>-2.2625734559283361</v>
      </c>
      <c r="AS538" s="13">
        <f t="shared" si="412"/>
        <v>11.203378135010517</v>
      </c>
      <c r="AT538" s="3">
        <f t="shared" ref="AT538" si="413">LN(AS538/$C538)</f>
        <v>-4.8970050350698102</v>
      </c>
      <c r="AU538" s="3" cm="1">
        <f t="array" ref="AU538">$C538*EXP(poly_from_str($AO538,AU$4341))</f>
        <v>45.554525318590663</v>
      </c>
      <c r="AV538" s="13">
        <f>LN(AS538/AU538)</f>
        <v>-1.4026946151281554</v>
      </c>
    </row>
    <row r="539" spans="1:48" x14ac:dyDescent="0.25">
      <c r="A539" t="s">
        <v>859</v>
      </c>
      <c r="B539" s="2" t="str">
        <f t="shared" si="390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391"/>
        <v>6046.6639999999998</v>
      </c>
      <c r="AB539" s="3">
        <f t="shared" si="392"/>
        <v>16533.47</v>
      </c>
      <c r="AC539" s="3" cm="1">
        <f t="array" ref="AC539">100000000/LvacE(AA539)</f>
        <v>16533.466679223511</v>
      </c>
      <c r="AD539" s="10">
        <f t="shared" si="393"/>
        <v>6.3671560615261172E-3</v>
      </c>
      <c r="AE539" s="10" t="b">
        <f t="shared" si="394"/>
        <v>1</v>
      </c>
      <c r="AP539"/>
      <c r="AQ539"/>
      <c r="AU539" s="3" cm="1">
        <f t="array" ref="AU539">$C539*EXP(poly_from_str(100000000/$E539,AU$4341))</f>
        <v>0.27559761528549753</v>
      </c>
    </row>
    <row r="540" spans="1:48" x14ac:dyDescent="0.25">
      <c r="A540" t="s">
        <v>861</v>
      </c>
      <c r="B540" s="2" t="str">
        <f t="shared" si="390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391"/>
        <v>6041.4759999999997</v>
      </c>
      <c r="AB540" s="3">
        <f t="shared" si="392"/>
        <v>16547.66</v>
      </c>
      <c r="AC540" s="3" cm="1">
        <f t="array" ref="AC540">100000000/LvacE(AA540)</f>
        <v>16547.664347206031</v>
      </c>
      <c r="AD540" s="10">
        <f t="shared" si="393"/>
        <v>6.3695050967020337E-3</v>
      </c>
      <c r="AE540" s="10" t="b">
        <f t="shared" si="394"/>
        <v>1</v>
      </c>
      <c r="AP540"/>
      <c r="AQ540"/>
      <c r="AU540" s="3" cm="1">
        <f t="array" ref="AU540">$C540*EXP(poly_from_str(100000000/$E540,AU$4341))</f>
        <v>3.0830848571886268E-2</v>
      </c>
    </row>
    <row r="541" spans="1:48" x14ac:dyDescent="0.25">
      <c r="A541" t="s">
        <v>863</v>
      </c>
      <c r="B541" s="2" t="str">
        <f t="shared" si="390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391"/>
        <v>6033.5519999999997</v>
      </c>
      <c r="AB541" s="3">
        <f t="shared" si="392"/>
        <v>16569.400000000001</v>
      </c>
      <c r="AC541" s="3" cm="1">
        <f t="array" ref="AC541">100000000/LvacE(AA541)</f>
        <v>16569.396576513227</v>
      </c>
      <c r="AD541" s="10">
        <f t="shared" si="393"/>
        <v>6.3731046468575416E-3</v>
      </c>
      <c r="AE541" s="10" t="b">
        <f t="shared" si="394"/>
        <v>1</v>
      </c>
      <c r="AP541"/>
      <c r="AQ541"/>
      <c r="AU541" s="3" cm="1">
        <f t="array" ref="AU541">$C541*EXP(poly_from_str(100000000/$E541,AU$4341))</f>
        <v>0.31154762413074494</v>
      </c>
    </row>
    <row r="542" spans="1:48" x14ac:dyDescent="0.25">
      <c r="A542" t="s">
        <v>865</v>
      </c>
      <c r="B542" s="2" t="str">
        <f t="shared" si="390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391"/>
        <v>6024.8289999999997</v>
      </c>
      <c r="AB542" s="3">
        <f t="shared" si="392"/>
        <v>16593.39</v>
      </c>
      <c r="AC542" s="3" cm="1">
        <f t="array" ref="AC542">100000000/LvacE(AA542)</f>
        <v>16593.38623124966</v>
      </c>
      <c r="AD542" s="10">
        <f t="shared" si="393"/>
        <v>6.3770835845506704E-3</v>
      </c>
      <c r="AE542" s="10" t="b">
        <f t="shared" si="394"/>
        <v>1</v>
      </c>
      <c r="AJ542" t="s">
        <v>4817</v>
      </c>
      <c r="AK542" t="s">
        <v>4783</v>
      </c>
      <c r="AL542">
        <v>10859.06</v>
      </c>
      <c r="AM542">
        <v>27452.45</v>
      </c>
      <c r="AN542" s="10" cm="1">
        <f t="array" ref="AN542">Lair(100000000/($AM542-$AL542))</f>
        <v>6024.8276414057264</v>
      </c>
      <c r="AO542" s="10">
        <f>100000000/($AM542-$AL542)</f>
        <v>6026.4960927212587</v>
      </c>
      <c r="AU542" s="3" cm="1">
        <f t="array" ref="AU542">$C542*EXP(poly_from_str($AO542,AU$4341))</f>
        <v>0.28365914119303842</v>
      </c>
    </row>
    <row r="543" spans="1:48" x14ac:dyDescent="0.25">
      <c r="A543" t="s">
        <v>867</v>
      </c>
      <c r="B543" s="2" t="str">
        <f t="shared" si="390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391"/>
        <v>6020.1220000000003</v>
      </c>
      <c r="AB543" s="3">
        <f t="shared" si="392"/>
        <v>16606.36</v>
      </c>
      <c r="AC543" s="3" cm="1">
        <f t="array" ref="AC543">100000000/LvacE(AA543)</f>
        <v>16606.36011725404</v>
      </c>
      <c r="AD543" s="10">
        <f t="shared" si="393"/>
        <v>6.3792378391379807E-3</v>
      </c>
      <c r="AE543" s="10" t="b">
        <f t="shared" si="394"/>
        <v>1</v>
      </c>
      <c r="AP543"/>
      <c r="AQ543"/>
      <c r="AU543" s="3" cm="1">
        <f t="array" ref="AU543">$C543*EXP(poly_from_str(100000000/$E543,AU$4341))</f>
        <v>0.19029781323857003</v>
      </c>
    </row>
    <row r="544" spans="1:48" x14ac:dyDescent="0.25">
      <c r="A544" t="s">
        <v>869</v>
      </c>
      <c r="B544" s="2" t="str">
        <f t="shared" si="390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391"/>
        <v>6012.2380000000003</v>
      </c>
      <c r="AB544" s="3">
        <f t="shared" si="392"/>
        <v>16628.14</v>
      </c>
      <c r="AC544" s="3" cm="1">
        <f t="array" ref="AC544">100000000/LvacE(AA544)</f>
        <v>16628.136264440185</v>
      </c>
      <c r="AD544" s="10">
        <f t="shared" si="393"/>
        <v>6.3828574537834488E-3</v>
      </c>
      <c r="AE544" s="10" t="b">
        <f t="shared" si="394"/>
        <v>1</v>
      </c>
      <c r="AP544"/>
      <c r="AQ544"/>
      <c r="AU544" s="3" cm="1">
        <f t="array" ref="AU544">$C544*EXP(poly_from_str(100000000/$E544,AU$4341))</f>
        <v>3.2053664191601848E-2</v>
      </c>
    </row>
    <row r="545" spans="1:48" x14ac:dyDescent="0.25">
      <c r="A545" t="s">
        <v>871</v>
      </c>
      <c r="B545" s="2" t="str">
        <f t="shared" si="390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391"/>
        <v>6010.5709999999999</v>
      </c>
      <c r="AB545" s="3">
        <f t="shared" si="392"/>
        <v>16632.75</v>
      </c>
      <c r="AC545" s="3" cm="1">
        <f t="array" ref="AC545">100000000/LvacE(AA545)</f>
        <v>16632.747948841246</v>
      </c>
      <c r="AD545" s="10">
        <f t="shared" si="393"/>
        <v>6.3836246131059133E-3</v>
      </c>
      <c r="AE545" s="10" t="b">
        <f t="shared" si="394"/>
        <v>1</v>
      </c>
      <c r="AP545"/>
      <c r="AQ545"/>
      <c r="AU545" s="3" cm="1">
        <f t="array" ref="AU545">$C545*EXP(poly_from_str(100000000/$E545,AU$4341))</f>
        <v>0.12850275423700963</v>
      </c>
    </row>
    <row r="546" spans="1:48" x14ac:dyDescent="0.25">
      <c r="A546" t="s">
        <v>873</v>
      </c>
      <c r="B546" s="2" t="str">
        <f t="shared" si="390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391"/>
        <v>5998.9440000000004</v>
      </c>
      <c r="AB546" s="3">
        <f t="shared" si="392"/>
        <v>16664.98</v>
      </c>
      <c r="AC546" s="3" cm="1">
        <f t="array" ref="AC546">100000000/LvacE(AA546)</f>
        <v>16664.984828245375</v>
      </c>
      <c r="AD546" s="10">
        <f t="shared" si="393"/>
        <v>6.388993198490049E-3</v>
      </c>
      <c r="AE546" s="10" t="b">
        <f t="shared" si="394"/>
        <v>1</v>
      </c>
      <c r="AJ546" t="s">
        <v>4826</v>
      </c>
      <c r="AK546" t="s">
        <v>4744</v>
      </c>
      <c r="AL546">
        <v>1398.34</v>
      </c>
      <c r="AM546">
        <v>18063.36</v>
      </c>
      <c r="AN546" s="10" cm="1">
        <f t="array" ref="AN546">Lair(100000000/($AM546-$AL546))</f>
        <v>5998.9313486455367</v>
      </c>
      <c r="AO546" s="10">
        <f>100000000/($AM546-$AL546)</f>
        <v>6000.5928585744268</v>
      </c>
      <c r="AP546" s="12">
        <v>2980000</v>
      </c>
      <c r="AQ546" s="3">
        <v>0.309</v>
      </c>
      <c r="AR546" s="3">
        <f>LN(AU546*100000000/($AM546-$AL546)/AP546)</f>
        <v>-2.8277668455368161</v>
      </c>
      <c r="AS546" s="13">
        <f>EXP(AR$4341*$AM546+AR$4342)*$AP546/(100000000/($AM546-$AL546))</f>
        <v>11.31850658525263</v>
      </c>
      <c r="AT546" s="3">
        <f>LN(AS546/$C546)</f>
        <v>-4.375955626350243</v>
      </c>
      <c r="AU546" s="3" cm="1">
        <f t="array" ref="AU546">$C546*EXP(poly_from_str($AO546,AU$4341))</f>
        <v>29.372341312382371</v>
      </c>
      <c r="AV546" s="13">
        <f>LN(AS546/AU546)</f>
        <v>-0.9536143228794699</v>
      </c>
    </row>
    <row r="547" spans="1:48" x14ac:dyDescent="0.25">
      <c r="A547" t="s">
        <v>875</v>
      </c>
      <c r="B547" s="2" t="str">
        <f t="shared" si="390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391"/>
        <v>5995.9219999999996</v>
      </c>
      <c r="AB547" s="3">
        <f t="shared" si="392"/>
        <v>16673.38</v>
      </c>
      <c r="AC547" s="3" cm="1">
        <f t="array" ref="AC547">100000000/LvacE(AA547)</f>
        <v>16673.384059224176</v>
      </c>
      <c r="AD547" s="10">
        <f t="shared" si="393"/>
        <v>6.3903936758370255E-3</v>
      </c>
      <c r="AE547" s="10" t="b">
        <f t="shared" si="394"/>
        <v>1</v>
      </c>
      <c r="AP547"/>
      <c r="AQ547"/>
      <c r="AU547" s="3" cm="1">
        <f t="array" ref="AU547">$C547*EXP(poly_from_str(100000000/$E547,AU$4341))</f>
        <v>0.13107945025095805</v>
      </c>
    </row>
    <row r="548" spans="1:48" x14ac:dyDescent="0.25">
      <c r="A548" t="s">
        <v>877</v>
      </c>
      <c r="B548" s="2" t="str">
        <f t="shared" si="390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391"/>
        <v>5993.7560000000003</v>
      </c>
      <c r="AB548" s="3">
        <f t="shared" si="392"/>
        <v>16679.41</v>
      </c>
      <c r="AC548" s="3" cm="1">
        <f t="array" ref="AC548">100000000/LvacE(AA548)</f>
        <v>16679.409367337925</v>
      </c>
      <c r="AD548" s="10">
        <f t="shared" si="393"/>
        <v>6.3913987629241106E-3</v>
      </c>
      <c r="AE548" s="10" t="b">
        <f t="shared" si="394"/>
        <v>1</v>
      </c>
      <c r="AP548"/>
      <c r="AQ548"/>
      <c r="AU548" s="3" cm="1">
        <f t="array" ref="AU548">$C548*EXP(poly_from_str(100000000/$E548,AU$4341))</f>
        <v>0.19720146161976407</v>
      </c>
    </row>
    <row r="549" spans="1:48" x14ac:dyDescent="0.25">
      <c r="A549" t="s">
        <v>879</v>
      </c>
      <c r="B549" s="2" t="str">
        <f t="shared" si="390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391"/>
        <v>5992.8609999999999</v>
      </c>
      <c r="AB549" s="3">
        <f t="shared" si="392"/>
        <v>16681.900000000001</v>
      </c>
      <c r="AC549" s="3" cm="1">
        <f t="array" ref="AC549">100000000/LvacE(AA549)</f>
        <v>16681.900320778139</v>
      </c>
      <c r="AD549" s="10">
        <f t="shared" si="393"/>
        <v>6.3918143872165687E-3</v>
      </c>
      <c r="AE549" s="10" t="b">
        <f t="shared" si="394"/>
        <v>1</v>
      </c>
      <c r="AP549"/>
      <c r="AQ549"/>
      <c r="AU549" s="3" cm="1">
        <f t="array" ref="AU549">$C549*EXP(poly_from_str(100000000/$E549,AU$4341))</f>
        <v>3.2907094070797928E-2</v>
      </c>
    </row>
    <row r="550" spans="1:48" x14ac:dyDescent="0.25">
      <c r="A550" t="s">
        <v>881</v>
      </c>
      <c r="B550" s="2" t="str">
        <f t="shared" si="390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391"/>
        <v>5986.6279999999997</v>
      </c>
      <c r="AB550" s="3">
        <f t="shared" si="392"/>
        <v>16699.27</v>
      </c>
      <c r="AC550" s="3" cm="1">
        <f t="array" ref="AC550">100000000/LvacE(AA550)</f>
        <v>16699.268587545961</v>
      </c>
      <c r="AD550" s="10">
        <f t="shared" si="393"/>
        <v>6.3947140683825654E-3</v>
      </c>
      <c r="AE550" s="10" t="b">
        <f t="shared" si="394"/>
        <v>1</v>
      </c>
      <c r="AP550"/>
      <c r="AQ550"/>
      <c r="AU550" s="3" cm="1">
        <f t="array" ref="AU550">$C550*EXP(poly_from_str(100000000/$E550,AU$4341))</f>
        <v>9.9567584651084035E-2</v>
      </c>
    </row>
    <row r="551" spans="1:48" x14ac:dyDescent="0.25">
      <c r="A551" t="s">
        <v>883</v>
      </c>
      <c r="B551" s="2" t="str">
        <f t="shared" si="390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391"/>
        <v>5978.1940000000004</v>
      </c>
      <c r="AB551" s="3">
        <f t="shared" si="392"/>
        <v>16722.830000000002</v>
      </c>
      <c r="AC551" s="3" cm="1">
        <f t="array" ref="AC551">100000000/LvacE(AA551)</f>
        <v>16722.827602960668</v>
      </c>
      <c r="AD551" s="10">
        <f t="shared" si="393"/>
        <v>6.3986521349893187E-3</v>
      </c>
      <c r="AE551" s="10" t="b">
        <f t="shared" si="394"/>
        <v>1</v>
      </c>
      <c r="AP551"/>
      <c r="AQ551"/>
      <c r="AU551" s="3" cm="1">
        <f t="array" ref="AU551">$C551*EXP(poly_from_str(100000000/$E551,AU$4341))</f>
        <v>0.16788413271233549</v>
      </c>
    </row>
    <row r="552" spans="1:48" x14ac:dyDescent="0.25">
      <c r="A552" t="s">
        <v>885</v>
      </c>
      <c r="B552" s="2" t="str">
        <f t="shared" si="390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391"/>
        <v>5974.0730000000003</v>
      </c>
      <c r="AB552" s="3">
        <f t="shared" si="392"/>
        <v>16734.36</v>
      </c>
      <c r="AC552" s="3" cm="1">
        <f t="array" ref="AC552">100000000/LvacE(AA552)</f>
        <v>16734.363141882743</v>
      </c>
      <c r="AD552" s="10">
        <f t="shared" si="393"/>
        <v>6.4005824118555914E-3</v>
      </c>
      <c r="AE552" s="10" t="b">
        <f t="shared" si="394"/>
        <v>1</v>
      </c>
      <c r="AP552"/>
      <c r="AQ552"/>
      <c r="AU552" s="3" cm="1">
        <f t="array" ref="AU552">$C552*EXP(poly_from_str(100000000/$E552,AU$4341))</f>
        <v>0.23638045453056061</v>
      </c>
    </row>
    <row r="553" spans="1:48" x14ac:dyDescent="0.25">
      <c r="A553" t="s">
        <v>887</v>
      </c>
      <c r="B553" s="2" t="str">
        <f t="shared" si="390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391"/>
        <v>5970.3609999999999</v>
      </c>
      <c r="AB553" s="3">
        <f t="shared" si="392"/>
        <v>16744.77</v>
      </c>
      <c r="AC553" s="3" cm="1">
        <f t="array" ref="AC553">100000000/LvacE(AA553)</f>
        <v>16744.767436620146</v>
      </c>
      <c r="AD553" s="10">
        <f t="shared" si="393"/>
        <v>6.402324535871461E-3</v>
      </c>
      <c r="AE553" s="10" t="b">
        <f t="shared" si="394"/>
        <v>1</v>
      </c>
      <c r="AP553"/>
      <c r="AQ553"/>
      <c r="AU553" s="3" cm="1">
        <f t="array" ref="AU553">$C553*EXP(poly_from_str(100000000/$E553,AU$4341))</f>
        <v>0.27154406411489584</v>
      </c>
    </row>
    <row r="554" spans="1:48" x14ac:dyDescent="0.25">
      <c r="A554" t="s">
        <v>889</v>
      </c>
      <c r="B554" s="2" t="str">
        <f t="shared" si="390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391"/>
        <v>5970.2079999999996</v>
      </c>
      <c r="AB554" s="3">
        <f t="shared" si="392"/>
        <v>16745.2</v>
      </c>
      <c r="AC554" s="3" cm="1">
        <f t="array" ref="AC554">100000000/LvacE(AA554)</f>
        <v>16745.196555051887</v>
      </c>
      <c r="AD554" s="10">
        <f t="shared" si="393"/>
        <v>6.4023964119049028E-3</v>
      </c>
      <c r="AE554" s="10" t="b">
        <f t="shared" si="394"/>
        <v>1</v>
      </c>
      <c r="AJ554" t="s">
        <v>4817</v>
      </c>
      <c r="AK554" t="s">
        <v>4718</v>
      </c>
      <c r="AL554">
        <v>10859.06</v>
      </c>
      <c r="AM554">
        <v>27604.26</v>
      </c>
      <c r="AN554" s="10" cm="1">
        <f t="array" ref="AN554">Lair(100000000/($AM554-$AL554))</f>
        <v>5970.2067811593961</v>
      </c>
      <c r="AO554" s="10">
        <f>100000000/($AM554-$AL554)</f>
        <v>5971.8605928863208</v>
      </c>
      <c r="AU554" s="3" cm="1">
        <f t="array" ref="AU554">$C554*EXP(poly_from_str($AO554,AU$4341))</f>
        <v>0.30555211582960573</v>
      </c>
    </row>
    <row r="555" spans="1:48" x14ac:dyDescent="0.25">
      <c r="A555" t="s">
        <v>891</v>
      </c>
      <c r="B555" s="2" t="str">
        <f t="shared" si="390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391"/>
        <v>5963.375</v>
      </c>
      <c r="AB555" s="3">
        <f t="shared" si="392"/>
        <v>16764.38</v>
      </c>
      <c r="AC555" s="3" cm="1">
        <f t="array" ref="AC555">100000000/LvacE(AA555)</f>
        <v>16764.383490885313</v>
      </c>
      <c r="AD555" s="10">
        <f t="shared" si="393"/>
        <v>6.4056120477821131E-3</v>
      </c>
      <c r="AE555" s="10" t="b">
        <f t="shared" si="394"/>
        <v>1</v>
      </c>
      <c r="AP555"/>
      <c r="AQ555"/>
      <c r="AU555" s="3" cm="1">
        <f t="array" ref="AU555">$C555*EXP(poly_from_str(100000000/$E555,AU$4341))</f>
        <v>3.4274570186168092E-2</v>
      </c>
    </row>
    <row r="556" spans="1:48" x14ac:dyDescent="0.25">
      <c r="A556" t="s">
        <v>893</v>
      </c>
      <c r="B556" s="2" t="str">
        <f t="shared" si="390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391"/>
        <v>5962.3249999999998</v>
      </c>
      <c r="AB556" s="3">
        <f t="shared" si="392"/>
        <v>16767.34</v>
      </c>
      <c r="AC556" s="3" cm="1">
        <f t="array" ref="AC556">100000000/LvacE(AA556)</f>
        <v>16767.335769293219</v>
      </c>
      <c r="AD556" s="10">
        <f t="shared" si="393"/>
        <v>6.4061071619957999E-3</v>
      </c>
      <c r="AE556" s="10" t="b">
        <f t="shared" si="394"/>
        <v>1</v>
      </c>
      <c r="AP556"/>
      <c r="AQ556"/>
      <c r="AU556" s="3" cm="1">
        <f t="array" ref="AU556">$C556*EXP(poly_from_str(100000000/$E556,AU$4341))</f>
        <v>1.7162484233881534</v>
      </c>
    </row>
    <row r="557" spans="1:48" x14ac:dyDescent="0.25">
      <c r="A557" t="s">
        <v>895</v>
      </c>
      <c r="B557" s="2" t="str">
        <f t="shared" si="390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391"/>
        <v>5961.9340000000002</v>
      </c>
      <c r="AB557" s="3">
        <f t="shared" si="392"/>
        <v>16768.439999999999</v>
      </c>
      <c r="AC557" s="3" cm="1">
        <f t="array" ref="AC557">100000000/LvacE(AA557)</f>
        <v>16768.435407253088</v>
      </c>
      <c r="AD557" s="10">
        <f t="shared" si="393"/>
        <v>6.4062915999450083E-3</v>
      </c>
      <c r="AE557" s="10" t="b">
        <f t="shared" si="394"/>
        <v>1</v>
      </c>
      <c r="AJ557" t="s">
        <v>4760</v>
      </c>
      <c r="AK557" t="s">
        <v>4699</v>
      </c>
      <c r="AL557">
        <v>12494.63</v>
      </c>
      <c r="AM557">
        <v>29263.08</v>
      </c>
      <c r="AN557" s="10" cm="1">
        <f t="array" ref="AN557">Lair(100000000/($AM557-$AL557))</f>
        <v>5961.9288209257647</v>
      </c>
      <c r="AO557" s="10">
        <f>100000000/($AM557-$AL557)</f>
        <v>5963.5804144092017</v>
      </c>
      <c r="AP557" s="12">
        <v>19000</v>
      </c>
      <c r="AQ557" s="3">
        <v>2E-3</v>
      </c>
      <c r="AR557" s="3"/>
      <c r="AS557" s="13">
        <f>EXP(AR$4341*$AM557+AR$4342)*$AP557/(100000000/($AM557-$AL557))</f>
        <v>3.133198155310709E-2</v>
      </c>
      <c r="AT557" s="3"/>
      <c r="AU557" s="3" cm="1">
        <f t="array" ref="AU557">$C557*EXP(poly_from_str($AO557,AU$4341))</f>
        <v>0.30909502449552556</v>
      </c>
    </row>
    <row r="558" spans="1:48" x14ac:dyDescent="0.25">
      <c r="A558" t="s">
        <v>897</v>
      </c>
      <c r="B558" s="2" t="str">
        <f t="shared" si="390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391"/>
        <v>5960.473</v>
      </c>
      <c r="AB558" s="3">
        <f t="shared" si="392"/>
        <v>16772.55</v>
      </c>
      <c r="AC558" s="3" cm="1">
        <f t="array" ref="AC558">100000000/LvacE(AA558)</f>
        <v>16772.545561308893</v>
      </c>
      <c r="AD558" s="10">
        <f t="shared" si="393"/>
        <v>6.406981087013471E-3</v>
      </c>
      <c r="AE558" s="10" t="b">
        <f t="shared" si="394"/>
        <v>1</v>
      </c>
      <c r="AP558"/>
      <c r="AQ558"/>
      <c r="AU558" s="3" cm="1">
        <f t="array" ref="AU558">$C558*EXP(poly_from_str(100000000/$E558,AU$4341))</f>
        <v>6.8827800882702267E-2</v>
      </c>
    </row>
    <row r="559" spans="1:48" x14ac:dyDescent="0.25">
      <c r="A559" t="s">
        <v>899</v>
      </c>
      <c r="B559" s="2" t="str">
        <f t="shared" si="390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391"/>
        <v>5959.759</v>
      </c>
      <c r="AB559" s="3">
        <f t="shared" si="392"/>
        <v>16774.55</v>
      </c>
      <c r="AC559" s="3" cm="1">
        <f t="array" ref="AC559">100000000/LvacE(AA559)</f>
        <v>16774.554952804021</v>
      </c>
      <c r="AD559" s="10">
        <f t="shared" si="393"/>
        <v>6.4073182282038607E-3</v>
      </c>
      <c r="AE559" s="10" t="b">
        <f t="shared" si="394"/>
        <v>1</v>
      </c>
      <c r="AP559"/>
      <c r="AQ559"/>
      <c r="AU559" s="3" cm="1">
        <f t="array" ref="AU559">$C559*EXP(poly_from_str(100000000/$E559,AU$4341))</f>
        <v>0.20668869238337484</v>
      </c>
    </row>
    <row r="560" spans="1:48" x14ac:dyDescent="0.25">
      <c r="A560" t="s">
        <v>901</v>
      </c>
      <c r="B560" s="2" t="str">
        <f t="shared" si="390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391"/>
        <v>5958.5290000000005</v>
      </c>
      <c r="AB560" s="3">
        <f t="shared" si="392"/>
        <v>16778.02</v>
      </c>
      <c r="AC560" s="3" cm="1">
        <f t="array" ref="AC560">100000000/LvacE(AA560)</f>
        <v>16778.017638915728</v>
      </c>
      <c r="AD560" s="10">
        <f t="shared" si="393"/>
        <v>6.407899301901168E-3</v>
      </c>
      <c r="AE560" s="10" t="b">
        <f t="shared" si="394"/>
        <v>1</v>
      </c>
      <c r="AP560"/>
      <c r="AQ560"/>
      <c r="AU560" s="3" cm="1">
        <f t="array" ref="AU560">$C560*EXP(poly_from_str(100000000/$E560,AU$4341))</f>
        <v>0.17253789230828445</v>
      </c>
    </row>
    <row r="561" spans="1:48" x14ac:dyDescent="0.25">
      <c r="A561" t="s">
        <v>903</v>
      </c>
      <c r="B561" s="2" t="str">
        <f t="shared" si="390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391"/>
        <v>5956.0519999999997</v>
      </c>
      <c r="AB561" s="3">
        <f t="shared" si="392"/>
        <v>16784.990000000002</v>
      </c>
      <c r="AC561" s="3" cm="1">
        <f t="array" ref="AC561">100000000/LvacE(AA561)</f>
        <v>16784.995209425273</v>
      </c>
      <c r="AD561" s="10">
        <f t="shared" si="393"/>
        <v>6.4090705730427871E-3</v>
      </c>
      <c r="AE561" s="10" t="b">
        <f t="shared" si="394"/>
        <v>1</v>
      </c>
      <c r="AJ561" t="s">
        <v>4994</v>
      </c>
      <c r="AK561" t="s">
        <v>4696</v>
      </c>
      <c r="AL561">
        <v>4453.76</v>
      </c>
      <c r="AM561">
        <v>21238.78</v>
      </c>
      <c r="AN561" s="10" cm="1">
        <f t="array" ref="AN561">Lair(100000000/($AM561-$AL561))</f>
        <v>5956.0432124553763</v>
      </c>
      <c r="AO561" s="10">
        <f>100000000/($AM561-$AL561)</f>
        <v>5957.6932288433391</v>
      </c>
      <c r="AP561" s="12">
        <v>37500000</v>
      </c>
      <c r="AQ561" s="3">
        <v>0.54500000000000004</v>
      </c>
      <c r="AR561" s="3">
        <f>LN(AU561*100000000/($AM561-$AL561)/AP561)</f>
        <v>-3.256842415174531</v>
      </c>
      <c r="AS561" s="13">
        <f>EXP(AR$4341*$AM561+AR$4342)*$AP561/(100000000/($AM561-$AL561))</f>
        <v>113.0382997644724</v>
      </c>
      <c r="AT561" s="3">
        <f>LN(AS561/$C561)</f>
        <v>-4.1259387307821473</v>
      </c>
      <c r="AU561" s="3" cm="1">
        <f t="array" ref="AU561">$C561*EXP(poly_from_str($AO561,AU$4341))</f>
        <v>242.39543772880515</v>
      </c>
      <c r="AV561" s="13">
        <f>LN(AS561/AU561)</f>
        <v>-0.76284373551193074</v>
      </c>
    </row>
    <row r="562" spans="1:48" x14ac:dyDescent="0.25">
      <c r="A562" t="s">
        <v>905</v>
      </c>
      <c r="B562" s="2" t="str">
        <f t="shared" si="390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391"/>
        <v>5955.3770000000004</v>
      </c>
      <c r="AB562" s="3">
        <f t="shared" si="392"/>
        <v>16786.900000000001</v>
      </c>
      <c r="AC562" s="3" cm="1">
        <f t="array" ref="AC562">100000000/LvacE(AA562)</f>
        <v>16786.897653044405</v>
      </c>
      <c r="AD562" s="10">
        <f t="shared" si="393"/>
        <v>6.4093900061276063E-3</v>
      </c>
      <c r="AE562" s="10" t="b">
        <f t="shared" si="394"/>
        <v>1</v>
      </c>
      <c r="AP562"/>
      <c r="AQ562"/>
      <c r="AU562" s="3" cm="1">
        <f t="array" ref="AU562">$C562*EXP(poly_from_str(100000000/$E562,AU$4341))</f>
        <v>0.13864131237192953</v>
      </c>
    </row>
    <row r="563" spans="1:48" x14ac:dyDescent="0.25">
      <c r="A563" t="s">
        <v>907</v>
      </c>
      <c r="B563" s="2" t="str">
        <f t="shared" si="390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391"/>
        <v>5953.5720000000001</v>
      </c>
      <c r="AB563" s="3">
        <f t="shared" si="392"/>
        <v>16791.990000000002</v>
      </c>
      <c r="AC563" s="3" cm="1">
        <f t="array" ref="AC563">100000000/LvacE(AA563)</f>
        <v>16791.987047312141</v>
      </c>
      <c r="AD563" s="10">
        <f t="shared" si="393"/>
        <v>6.4102447276451965E-3</v>
      </c>
      <c r="AE563" s="10" t="b">
        <f t="shared" si="394"/>
        <v>1</v>
      </c>
      <c r="AP563"/>
      <c r="AQ563"/>
      <c r="AU563" s="3" cm="1">
        <f t="array" ref="AU563">$C563*EXP(poly_from_str(100000000/$E563,AU$4341))</f>
        <v>0.17374129890964035</v>
      </c>
    </row>
    <row r="564" spans="1:48" x14ac:dyDescent="0.25">
      <c r="A564" t="s">
        <v>909</v>
      </c>
      <c r="B564" s="2" t="str">
        <f t="shared" si="390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391"/>
        <v>5953.15</v>
      </c>
      <c r="AB564" s="3">
        <f t="shared" si="392"/>
        <v>16793.18</v>
      </c>
      <c r="AC564" s="3" cm="1">
        <f t="array" ref="AC564">100000000/LvacE(AA564)</f>
        <v>16793.17736742675</v>
      </c>
      <c r="AD564" s="10">
        <f t="shared" si="393"/>
        <v>6.4104446694125596E-3</v>
      </c>
      <c r="AE564" s="10" t="b">
        <f t="shared" si="394"/>
        <v>1</v>
      </c>
      <c r="AP564"/>
      <c r="AQ564"/>
      <c r="AU564" s="3" cm="1">
        <f t="array" ref="AU564">$C564*EXP(poly_from_str(100000000/$E564,AU$4341))</f>
        <v>0.17384428514542458</v>
      </c>
    </row>
    <row r="565" spans="1:48" x14ac:dyDescent="0.25">
      <c r="A565" t="s">
        <v>911</v>
      </c>
      <c r="B565" s="2" t="str">
        <f t="shared" si="390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391"/>
        <v>5952.9740000000002</v>
      </c>
      <c r="AB565" s="3">
        <f t="shared" si="392"/>
        <v>16793.669999999998</v>
      </c>
      <c r="AC565" s="3" cm="1">
        <f t="array" ref="AC565">100000000/LvacE(AA565)</f>
        <v>16793.673854120152</v>
      </c>
      <c r="AD565" s="10">
        <f t="shared" si="393"/>
        <v>6.4105280700134217E-3</v>
      </c>
      <c r="AE565" s="10" t="b">
        <f t="shared" si="394"/>
        <v>1</v>
      </c>
      <c r="AP565"/>
      <c r="AQ565"/>
      <c r="AU565" s="3" cm="1">
        <f t="array" ref="AU565">$C565*EXP(poly_from_str(100000000/$E565,AU$4341))</f>
        <v>0.20866405563660387</v>
      </c>
    </row>
    <row r="566" spans="1:48" x14ac:dyDescent="0.25">
      <c r="A566" t="s">
        <v>913</v>
      </c>
      <c r="B566" s="2" t="str">
        <f t="shared" si="390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391"/>
        <v>5947.9830000000002</v>
      </c>
      <c r="AB566" s="3">
        <f t="shared" si="392"/>
        <v>16807.77</v>
      </c>
      <c r="AC566" s="3" cm="1">
        <f t="array" ref="AC566">100000000/LvacE(AA566)</f>
        <v>16807.765431729946</v>
      </c>
      <c r="AD566" s="10">
        <f t="shared" si="393"/>
        <v>6.4128962231171423E-3</v>
      </c>
      <c r="AE566" s="10" t="b">
        <f t="shared" si="394"/>
        <v>1</v>
      </c>
      <c r="AJ566" t="s">
        <v>4977</v>
      </c>
      <c r="AK566" t="s">
        <v>4962</v>
      </c>
      <c r="AL566">
        <v>2893.14</v>
      </c>
      <c r="AM566">
        <v>19700.900000000001</v>
      </c>
      <c r="AN566" s="10" cm="1">
        <f t="array" ref="AN566">Lair(100000000/($AM566-$AL566))</f>
        <v>5947.9849314619541</v>
      </c>
      <c r="AO566" s="10">
        <f>100000000/($AM566-$AL566)</f>
        <v>5949.632788664283</v>
      </c>
      <c r="AP566" s="12">
        <v>734000</v>
      </c>
      <c r="AQ566" s="3">
        <v>0.14099999999999999</v>
      </c>
      <c r="AR566" s="3">
        <f>LN(AU566*100000000/($AM566-$AL566)/AP566)</f>
        <v>-2.8686285870669148</v>
      </c>
      <c r="AS566" s="13">
        <f>EXP(AR$4341*$AM566+AR$4342)*$AP566/(100000000/($AM566-$AL566))</f>
        <v>2.4865750645482012</v>
      </c>
      <c r="AT566" s="3">
        <f>LN(AS566/$C566)</f>
        <v>-4.3874110789920433</v>
      </c>
      <c r="AU566" s="3" cm="1">
        <f t="array" ref="AU566">$C566*EXP(poly_from_str($AO566,AU$4341))</f>
        <v>7.0044869746640623</v>
      </c>
      <c r="AV566" s="13">
        <f>LN(AS566/AU566)</f>
        <v>-1.035644652529468</v>
      </c>
    </row>
    <row r="567" spans="1:48" x14ac:dyDescent="0.25">
      <c r="A567" t="s">
        <v>915</v>
      </c>
      <c r="B567" s="2" t="str">
        <f t="shared" si="390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391"/>
        <v>5944.9009999999998</v>
      </c>
      <c r="AB567" s="3">
        <f t="shared" si="392"/>
        <v>16816.48</v>
      </c>
      <c r="AC567" s="3" cm="1">
        <f t="array" ref="AC567">100000000/LvacE(AA567)</f>
        <v>16816.478959749627</v>
      </c>
      <c r="AD567" s="10">
        <f t="shared" si="393"/>
        <v>6.4143615646206414E-3</v>
      </c>
      <c r="AE567" s="10" t="b">
        <f t="shared" si="394"/>
        <v>1</v>
      </c>
      <c r="AP567"/>
      <c r="AQ567"/>
      <c r="AU567" s="3" cm="1">
        <f t="array" ref="AU567">$C567*EXP(poly_from_str(100000000/$E567,AU$4341))</f>
        <v>0.17587586421143697</v>
      </c>
    </row>
    <row r="568" spans="1:48" x14ac:dyDescent="0.25">
      <c r="A568" t="s">
        <v>917</v>
      </c>
      <c r="B568" s="2" t="str">
        <f t="shared" si="390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391"/>
        <v>5942.6809999999996</v>
      </c>
      <c r="AB568" s="3">
        <f t="shared" si="392"/>
        <v>16822.759999999998</v>
      </c>
      <c r="AC568" s="3" cm="1">
        <f t="array" ref="AC568">100000000/LvacE(AA568)</f>
        <v>16822.761013776162</v>
      </c>
      <c r="AD568" s="10">
        <f t="shared" si="393"/>
        <v>6.4154184797885136E-3</v>
      </c>
      <c r="AE568" s="10" t="b">
        <f t="shared" si="394"/>
        <v>1</v>
      </c>
      <c r="AP568"/>
      <c r="AQ568"/>
      <c r="AU568" s="3" cm="1">
        <f t="array" ref="AU568">$C568*EXP(poly_from_str(100000000/$E568,AU$4341))</f>
        <v>0.28228538433815181</v>
      </c>
    </row>
    <row r="569" spans="1:48" x14ac:dyDescent="0.25">
      <c r="A569" t="s">
        <v>919</v>
      </c>
      <c r="B569" s="2" t="str">
        <f t="shared" si="390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391"/>
        <v>5936.0379999999996</v>
      </c>
      <c r="AB569" s="3">
        <f t="shared" si="392"/>
        <v>16841.59</v>
      </c>
      <c r="AC569" s="3" cm="1">
        <f t="array" ref="AC569">100000000/LvacE(AA569)</f>
        <v>16841.587136705184</v>
      </c>
      <c r="AD569" s="10">
        <f t="shared" si="393"/>
        <v>6.4185882179919659E-3</v>
      </c>
      <c r="AE569" s="10" t="b">
        <f t="shared" si="394"/>
        <v>1</v>
      </c>
      <c r="AP569"/>
      <c r="AQ569"/>
      <c r="AU569" s="3" cm="1">
        <f t="array" ref="AU569">$C569*EXP(poly_from_str(100000000/$E569,AU$4341))</f>
        <v>0.14247806660252713</v>
      </c>
    </row>
    <row r="570" spans="1:48" x14ac:dyDescent="0.25">
      <c r="A570" t="s">
        <v>921</v>
      </c>
      <c r="B570" s="2" t="str">
        <f t="shared" si="390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414">$G570&amp;""</f>
        <v>o</v>
      </c>
      <c r="N570" t="str">
        <f t="shared" ref="N570:N571" si="415">$H570&amp;""</f>
        <v>11/2</v>
      </c>
      <c r="O570">
        <v>18241.54</v>
      </c>
      <c r="P570" t="str">
        <f t="shared" ref="P570:P571" si="416">$J570&amp;""</f>
        <v>e</v>
      </c>
      <c r="Q570" t="str">
        <f t="shared" ref="Q570:Q571" si="417">$K570&amp;""</f>
        <v>11/2</v>
      </c>
      <c r="R570">
        <v>7</v>
      </c>
      <c r="AA570" s="10">
        <f t="shared" si="391"/>
        <v>5935.4690000000001</v>
      </c>
      <c r="AB570" s="3">
        <f t="shared" si="392"/>
        <v>16843.2</v>
      </c>
      <c r="AC570" s="3" cm="1">
        <f t="array" ref="AC570">100000000/LvacE(AA570)</f>
        <v>16843.201630104384</v>
      </c>
      <c r="AD570" s="10">
        <f t="shared" si="393"/>
        <v>6.4188602139194379E-3</v>
      </c>
      <c r="AE570" s="10" t="b">
        <f t="shared" si="394"/>
        <v>1</v>
      </c>
      <c r="AJ570" t="s">
        <v>4826</v>
      </c>
      <c r="AK570" t="s">
        <v>4724</v>
      </c>
      <c r="AL570">
        <v>1398.34</v>
      </c>
      <c r="AM570">
        <v>18241.54</v>
      </c>
      <c r="AN570" s="10" cm="1">
        <f t="array" ref="AN570">Lair(100000000/($AM570-$AL570))</f>
        <v>5935.4695836036472</v>
      </c>
      <c r="AO570" s="10">
        <f t="shared" ref="AO570:AO571" si="418">100000000/($AM570-$AL570)</f>
        <v>5937.1140875843066</v>
      </c>
      <c r="AP570" s="12">
        <v>622000</v>
      </c>
      <c r="AQ570" s="3">
        <v>0.17799999999999999</v>
      </c>
      <c r="AR570" s="3">
        <f>LN(AU570*100000000/($AM570-$AL570)/AP570)</f>
        <v>-3.6037458872124613</v>
      </c>
      <c r="AS570" s="13">
        <f>EXP(AR$4341*$AM570+AR$4342)*$AP570/(100000000/($AM570-$AL570))</f>
        <v>2.3559968320875222</v>
      </c>
      <c r="AT570" s="3">
        <f>LN(AS570/$C570)</f>
        <v>-3.5250627135002492</v>
      </c>
      <c r="AU570" s="3" cm="1">
        <f t="array" ref="AU570">$C570*EXP(poly_from_str($AO570,AU$4341))</f>
        <v>2.8518589193318329</v>
      </c>
      <c r="AV570" s="13">
        <f>LN(AS570/AU570)</f>
        <v>-0.19100711287991767</v>
      </c>
    </row>
    <row r="571" spans="1:48" x14ac:dyDescent="0.25">
      <c r="A571" t="s">
        <v>923</v>
      </c>
      <c r="B571" s="2" t="str">
        <f t="shared" si="390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414"/>
        <v>o</v>
      </c>
      <c r="N571" t="str">
        <f t="shared" si="415"/>
        <v>5/2</v>
      </c>
      <c r="O571">
        <v>40098.660000000003</v>
      </c>
      <c r="P571" t="str">
        <f t="shared" si="416"/>
        <v>e</v>
      </c>
      <c r="Q571" t="str">
        <f t="shared" si="417"/>
        <v>5/2</v>
      </c>
      <c r="R571">
        <v>7</v>
      </c>
      <c r="AA571" s="10">
        <f t="shared" si="391"/>
        <v>5932.1210000000001</v>
      </c>
      <c r="AB571" s="3">
        <f t="shared" si="392"/>
        <v>16852.71</v>
      </c>
      <c r="AC571" s="3" cm="1">
        <f t="array" ref="AC571">100000000/LvacE(AA571)</f>
        <v>16852.707593204363</v>
      </c>
      <c r="AD571" s="10">
        <f t="shared" si="393"/>
        <v>6.4204622253325886E-3</v>
      </c>
      <c r="AE571" s="10" t="b">
        <f t="shared" si="394"/>
        <v>1</v>
      </c>
      <c r="AJ571" t="s">
        <v>4990</v>
      </c>
      <c r="AK571" t="s">
        <v>4737</v>
      </c>
      <c r="AL571">
        <v>23245.99</v>
      </c>
      <c r="AM571">
        <v>40098.660000000003</v>
      </c>
      <c r="AN571" s="10" cm="1">
        <f t="array" ref="AN571">Lair(100000000/($AM571-$AL571))</f>
        <v>5932.134242019838</v>
      </c>
      <c r="AO571" s="10">
        <f t="shared" si="418"/>
        <v>5933.7778524115165</v>
      </c>
      <c r="AU571" s="3" cm="1">
        <f t="array" ref="AU571">$C571*EXP(poly_from_str($AO571,AU$4341))</f>
        <v>1.4327090819383539</v>
      </c>
    </row>
    <row r="572" spans="1:48" x14ac:dyDescent="0.25">
      <c r="A572" t="s">
        <v>925</v>
      </c>
      <c r="B572" s="2" t="str">
        <f t="shared" si="390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391"/>
        <v>5927.0280000000002</v>
      </c>
      <c r="AB572" s="3">
        <f t="shared" si="392"/>
        <v>16867.189999999999</v>
      </c>
      <c r="AC572" s="3" cm="1">
        <f t="array" ref="AC572">100000000/LvacE(AA572)</f>
        <v>16867.1887216061</v>
      </c>
      <c r="AD572" s="10">
        <f t="shared" si="393"/>
        <v>6.4229044237353108E-3</v>
      </c>
      <c r="AE572" s="10" t="b">
        <f t="shared" si="394"/>
        <v>1</v>
      </c>
      <c r="AP572"/>
      <c r="AQ572"/>
      <c r="AU572" s="3" cm="1">
        <f t="array" ref="AU572">$C572*EXP(poly_from_str(100000000/$E572,AU$4341))</f>
        <v>1.8039732474426518</v>
      </c>
    </row>
    <row r="573" spans="1:48" x14ac:dyDescent="0.25">
      <c r="A573" t="s">
        <v>927</v>
      </c>
      <c r="B573" s="2" t="str">
        <f t="shared" si="390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391"/>
        <v>5914.0519999999997</v>
      </c>
      <c r="AB573" s="3">
        <f t="shared" si="392"/>
        <v>16904.2</v>
      </c>
      <c r="AC573" s="3" cm="1">
        <f t="array" ref="AC573">100000000/LvacE(AA573)</f>
        <v>16904.196618744008</v>
      </c>
      <c r="AD573" s="10">
        <f t="shared" si="393"/>
        <v>6.4291552237572486E-3</v>
      </c>
      <c r="AE573" s="10" t="b">
        <f t="shared" si="394"/>
        <v>1</v>
      </c>
      <c r="AP573"/>
      <c r="AQ573"/>
      <c r="AU573" s="3" cm="1">
        <f t="array" ref="AU573">$C573*EXP(poly_from_str(100000000/$E573,AU$4341))</f>
        <v>0.25729792560286313</v>
      </c>
    </row>
    <row r="574" spans="1:48" x14ac:dyDescent="0.25">
      <c r="A574" t="s">
        <v>929</v>
      </c>
      <c r="B574" s="2" t="str">
        <f t="shared" si="390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391"/>
        <v>5913.1930000000002</v>
      </c>
      <c r="AB574" s="3">
        <f t="shared" si="392"/>
        <v>16906.650000000001</v>
      </c>
      <c r="AC574" s="3" cm="1">
        <f t="array" ref="AC574">100000000/LvacE(AA574)</f>
        <v>16906.652241479052</v>
      </c>
      <c r="AD574" s="10">
        <f t="shared" si="393"/>
        <v>6.4295704741481503E-3</v>
      </c>
      <c r="AE574" s="10" t="b">
        <f t="shared" si="394"/>
        <v>1</v>
      </c>
      <c r="AP574"/>
      <c r="AQ574"/>
      <c r="AU574" s="3" cm="1">
        <f t="array" ref="AU574">$C574*EXP(poly_from_str(100000000/$E574,AU$4341))</f>
        <v>0.29441766681238413</v>
      </c>
    </row>
    <row r="575" spans="1:48" x14ac:dyDescent="0.25">
      <c r="A575" t="s">
        <v>931</v>
      </c>
      <c r="B575" s="2" t="str">
        <f t="shared" si="390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391"/>
        <v>5910.576</v>
      </c>
      <c r="AB575" s="3">
        <f t="shared" si="392"/>
        <v>16914.14</v>
      </c>
      <c r="AC575" s="3" cm="1">
        <f t="array" ref="AC575">100000000/LvacE(AA575)</f>
        <v>16914.137857285787</v>
      </c>
      <c r="AD575" s="10">
        <f t="shared" si="393"/>
        <v>6.4308366779553964E-3</v>
      </c>
      <c r="AE575" s="10" t="b">
        <f t="shared" si="394"/>
        <v>1</v>
      </c>
      <c r="AP575"/>
      <c r="AQ575"/>
      <c r="AU575" s="3" cm="1">
        <f t="array" ref="AU575">$C575*EXP(poly_from_str(100000000/$E575,AU$4341))</f>
        <v>3.6941287466783809E-2</v>
      </c>
    </row>
    <row r="576" spans="1:48" x14ac:dyDescent="0.25">
      <c r="A576" t="s">
        <v>933</v>
      </c>
      <c r="B576" s="2" t="str">
        <f t="shared" si="390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419">$G576&amp;""</f>
        <v>o</v>
      </c>
      <c r="N576" t="str">
        <f t="shared" ref="N576:N577" si="420">$H576&amp;""</f>
        <v>7/2</v>
      </c>
      <c r="O576">
        <v>48745.48</v>
      </c>
      <c r="P576" t="str">
        <f t="shared" ref="P576:P577" si="421">$J576&amp;""</f>
        <v>e</v>
      </c>
      <c r="Q576" t="str">
        <f t="shared" ref="Q576:Q577" si="422">$K576&amp;""</f>
        <v>5/2</v>
      </c>
      <c r="R576">
        <v>7</v>
      </c>
      <c r="AA576" s="10">
        <f t="shared" si="391"/>
        <v>5895.4449999999997</v>
      </c>
      <c r="AB576" s="3">
        <f t="shared" si="392"/>
        <v>16957.55</v>
      </c>
      <c r="AC576" s="3" cm="1">
        <f t="array" ref="AC576">100000000/LvacE(AA576)</f>
        <v>16957.548566935719</v>
      </c>
      <c r="AD576" s="10">
        <f t="shared" si="393"/>
        <v>6.4381907190157583E-3</v>
      </c>
      <c r="AE576" s="10" t="b">
        <f t="shared" si="394"/>
        <v>1</v>
      </c>
      <c r="AJ576" t="s">
        <v>4804</v>
      </c>
      <c r="AK576" t="s">
        <v>4762</v>
      </c>
      <c r="AL576">
        <v>31787.93</v>
      </c>
      <c r="AM576">
        <v>48745.48</v>
      </c>
      <c r="AN576" s="10" cm="1">
        <f t="array" ref="AN576">Lair(100000000/($AM576-$AL576))</f>
        <v>5895.4445106467847</v>
      </c>
      <c r="AO576" s="10">
        <f t="shared" ref="AO576:AO577" si="423">100000000/($AM576-$AL576)</f>
        <v>5897.0782925599506</v>
      </c>
      <c r="AP576" s="12">
        <v>4880000</v>
      </c>
      <c r="AQ576" s="3">
        <v>9.0999999999999998E-2</v>
      </c>
      <c r="AR576" s="3">
        <f>LN(AU576*100000000/($AM576-$AL576)/AP576)</f>
        <v>-5.6129405314964043</v>
      </c>
      <c r="AS576" s="13">
        <f>EXP(AR$4341*$AM576+AR$4342)*$AP576/(100000000/($AM576-$AL576))</f>
        <v>1.8860196715495479</v>
      </c>
      <c r="AT576" s="3">
        <f>LN(AS576/$C576)</f>
        <v>-3.747558020215024</v>
      </c>
      <c r="AU576" s="3" cm="1">
        <f t="array" ref="AU576">$C576*EXP(poly_from_str($AO576,AU$4341))</f>
        <v>3.0207433507898349</v>
      </c>
      <c r="AV576" s="13">
        <f>LN(AS576/AU576)</f>
        <v>-0.47103432928543021</v>
      </c>
    </row>
    <row r="577" spans="1:47" x14ac:dyDescent="0.25">
      <c r="A577" t="s">
        <v>935</v>
      </c>
      <c r="B577" s="2" t="str">
        <f t="shared" si="390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419"/>
        <v>o</v>
      </c>
      <c r="N577" t="str">
        <f t="shared" si="420"/>
        <v>5/2</v>
      </c>
      <c r="O577">
        <v>40205.74</v>
      </c>
      <c r="P577" t="str">
        <f t="shared" si="421"/>
        <v>e</v>
      </c>
      <c r="Q577" t="str">
        <f t="shared" si="422"/>
        <v>3/2</v>
      </c>
      <c r="R577">
        <v>7</v>
      </c>
      <c r="AA577" s="10">
        <f t="shared" si="391"/>
        <v>5894.68</v>
      </c>
      <c r="AB577" s="3">
        <f t="shared" si="392"/>
        <v>16959.75</v>
      </c>
      <c r="AC577" s="3" cm="1">
        <f t="array" ref="AC577">100000000/LvacE(AA577)</f>
        <v>16959.749263901529</v>
      </c>
      <c r="AD577" s="10">
        <f t="shared" si="393"/>
        <v>6.4385640326448199E-3</v>
      </c>
      <c r="AE577" s="10" t="b">
        <f t="shared" si="394"/>
        <v>1</v>
      </c>
      <c r="AJ577" t="s">
        <v>4990</v>
      </c>
      <c r="AK577" t="s">
        <v>4779</v>
      </c>
      <c r="AL577">
        <v>23245.99</v>
      </c>
      <c r="AM577">
        <v>40205.74</v>
      </c>
      <c r="AN577" s="10" cm="1">
        <f t="array" ref="AN577">Lair(100000000/($AM577-$AL577))</f>
        <v>5894.6797530163758</v>
      </c>
      <c r="AO577" s="10">
        <f t="shared" si="423"/>
        <v>5896.3133300903619</v>
      </c>
      <c r="AU577" s="3" cm="1">
        <f t="array" ref="AU577">$C577*EXP(poly_from_str($AO577,AU$4341))</f>
        <v>0.11340387357741527</v>
      </c>
    </row>
    <row r="578" spans="1:47" x14ac:dyDescent="0.25">
      <c r="A578" t="s">
        <v>937</v>
      </c>
      <c r="B578" s="2" t="str">
        <f t="shared" si="390"/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391"/>
        <v>5892.7569999999996</v>
      </c>
      <c r="AB578" s="3">
        <f t="shared" si="392"/>
        <v>16965.28</v>
      </c>
      <c r="AC578" s="3" cm="1">
        <f t="array" ref="AC578">100000000/LvacE(AA578)</f>
        <v>16965.283735340166</v>
      </c>
      <c r="AD578" s="10">
        <f t="shared" si="393"/>
        <v>6.4395030827964035E-3</v>
      </c>
      <c r="AE578" s="10" t="b">
        <f t="shared" si="394"/>
        <v>1</v>
      </c>
      <c r="AP578"/>
      <c r="AQ578"/>
      <c r="AU578" s="3" cm="1">
        <f t="array" ref="AU578">$C578*EXP(poly_from_str(100000000/$E578,AU$4341))</f>
        <v>0.34116384554167251</v>
      </c>
    </row>
    <row r="579" spans="1:47" x14ac:dyDescent="0.25">
      <c r="A579" t="s">
        <v>939</v>
      </c>
      <c r="B579" s="2" t="str">
        <f t="shared" ref="B579:B642" si="424">IF(OR(A579=A578,A579=A580),IF(B578="",1,B578+1),"")</f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425">ROUND($A579,3)+0</f>
        <v>5890.9480000000003</v>
      </c>
      <c r="AB579" s="3">
        <f t="shared" ref="AB579:AB642" si="426">ROUND($E579,2)+0</f>
        <v>16970.490000000002</v>
      </c>
      <c r="AC579" s="3" cm="1">
        <f t="array" ref="AC579">100000000/LvacE(AA579)</f>
        <v>16970.493408453582</v>
      </c>
      <c r="AD579" s="10">
        <f t="shared" ref="AD579:AD642" si="427">0.0005/$AA579*AC579+0.005</f>
        <v>6.4403873034063093E-3</v>
      </c>
      <c r="AE579" s="10" t="b">
        <f t="shared" ref="AE579:AE642" si="428">ABS(AB579-AC579)&lt;AD579</f>
        <v>1</v>
      </c>
      <c r="AP579"/>
      <c r="AQ579"/>
      <c r="AU579" s="3" cm="1">
        <f t="array" ref="AU579">$C579*EXP(poly_from_str(100000000/$E579,AU$4341))</f>
        <v>3.8007077794914169E-2</v>
      </c>
    </row>
    <row r="580" spans="1:47" x14ac:dyDescent="0.25">
      <c r="A580" t="s">
        <v>941</v>
      </c>
      <c r="B580" s="2" t="str">
        <f t="shared" si="424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425"/>
        <v>5889.0129999999999</v>
      </c>
      <c r="AB580" s="3">
        <f t="shared" si="426"/>
        <v>16976.07</v>
      </c>
      <c r="AC580" s="3" cm="1">
        <f t="array" ref="AC580">100000000/LvacE(AA580)</f>
        <v>16976.06948711626</v>
      </c>
      <c r="AD580" s="10">
        <f t="shared" si="427"/>
        <v>6.4413340136213202E-3</v>
      </c>
      <c r="AE580" s="10" t="b">
        <f t="shared" si="428"/>
        <v>1</v>
      </c>
      <c r="AP580"/>
      <c r="AQ580"/>
      <c r="AU580" s="3" cm="1">
        <f t="array" ref="AU580">$C580*EXP(poly_from_str(100000000/$E580,AU$4341))</f>
        <v>1.9057244457719731</v>
      </c>
    </row>
    <row r="581" spans="1:47" x14ac:dyDescent="0.25">
      <c r="A581" t="s">
        <v>943</v>
      </c>
      <c r="B581" s="2" t="str">
        <f t="shared" si="424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425"/>
        <v>5886.2790000000005</v>
      </c>
      <c r="AB581" s="3">
        <f t="shared" si="426"/>
        <v>16983.95</v>
      </c>
      <c r="AC581" s="3" cm="1">
        <f t="array" ref="AC581">100000000/LvacE(AA581)</f>
        <v>16983.954288786226</v>
      </c>
      <c r="AD581" s="10">
        <f t="shared" si="427"/>
        <v>6.4426732311521611E-3</v>
      </c>
      <c r="AE581" s="10" t="b">
        <f t="shared" si="428"/>
        <v>1</v>
      </c>
      <c r="AP581"/>
      <c r="AQ581"/>
      <c r="AU581" s="3" cm="1">
        <f t="array" ref="AU581">$C581*EXP(poly_from_str(100000000/$E581,AU$4341))</f>
        <v>0.34440074291137235</v>
      </c>
    </row>
    <row r="582" spans="1:47" x14ac:dyDescent="0.25">
      <c r="A582" t="s">
        <v>945</v>
      </c>
      <c r="B582" s="2" t="str">
        <f t="shared" si="424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425"/>
        <v>5885.3149999999996</v>
      </c>
      <c r="AB582" s="3">
        <f t="shared" si="426"/>
        <v>16986.740000000002</v>
      </c>
      <c r="AC582" s="3" cm="1">
        <f t="array" ref="AC582">100000000/LvacE(AA582)</f>
        <v>16986.736192498134</v>
      </c>
      <c r="AD582" s="10">
        <f t="shared" si="427"/>
        <v>6.4431458802543399E-3</v>
      </c>
      <c r="AE582" s="10" t="b">
        <f t="shared" si="428"/>
        <v>1</v>
      </c>
      <c r="AP582"/>
      <c r="AQ582"/>
      <c r="AU582" s="3" cm="1">
        <f t="array" ref="AU582">$C582*EXP(poly_from_str(100000000/$E582,AU$4341))</f>
        <v>0.38320820295149682</v>
      </c>
    </row>
    <row r="583" spans="1:47" x14ac:dyDescent="0.25">
      <c r="A583" t="s">
        <v>947</v>
      </c>
      <c r="B583" s="2" t="str">
        <f t="shared" si="424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425"/>
        <v>5884.5320000000002</v>
      </c>
      <c r="AB583" s="3">
        <f t="shared" si="426"/>
        <v>16989</v>
      </c>
      <c r="AC583" s="3" cm="1">
        <f t="array" ref="AC583">100000000/LvacE(AA583)</f>
        <v>16988.99643862907</v>
      </c>
      <c r="AD583" s="10">
        <f t="shared" si="427"/>
        <v>6.4435299560465526E-3</v>
      </c>
      <c r="AE583" s="10" t="b">
        <f t="shared" si="428"/>
        <v>1</v>
      </c>
      <c r="AP583"/>
      <c r="AQ583"/>
      <c r="AU583" s="3" cm="1">
        <f t="array" ref="AU583">$C583*EXP(poly_from_str(100000000/$E583,AU$4341))</f>
        <v>0.30691745444867635</v>
      </c>
    </row>
    <row r="584" spans="1:47" x14ac:dyDescent="0.25">
      <c r="A584" t="s">
        <v>949</v>
      </c>
      <c r="B584" s="2" t="str">
        <f t="shared" si="424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425"/>
        <v>5884.0010000000002</v>
      </c>
      <c r="AB584" s="3">
        <f t="shared" si="426"/>
        <v>16990.53</v>
      </c>
      <c r="AC584" s="3" cm="1">
        <f t="array" ref="AC584">100000000/LvacE(AA584)</f>
        <v>16990.52959152199</v>
      </c>
      <c r="AD584" s="10">
        <f t="shared" si="427"/>
        <v>6.4437905084926052E-3</v>
      </c>
      <c r="AE584" s="10" t="b">
        <f t="shared" si="428"/>
        <v>1</v>
      </c>
      <c r="AP584"/>
      <c r="AQ584"/>
      <c r="AU584" s="3" cm="1">
        <f t="array" ref="AU584">$C584*EXP(poly_from_str(100000000/$E584,AU$4341))</f>
        <v>7.6788814327814967E-2</v>
      </c>
    </row>
    <row r="585" spans="1:47" x14ac:dyDescent="0.25">
      <c r="A585" t="s">
        <v>951</v>
      </c>
      <c r="B585" s="2" t="str">
        <f t="shared" si="424"/>
        <v/>
      </c>
      <c r="C585">
        <v>8</v>
      </c>
      <c r="D585" t="s">
        <v>952</v>
      </c>
      <c r="E585" t="s">
        <v>953</v>
      </c>
      <c r="R585">
        <v>7</v>
      </c>
      <c r="S585" t="s">
        <v>22</v>
      </c>
      <c r="AA585" s="10">
        <f t="shared" si="425"/>
        <v>5882.893</v>
      </c>
      <c r="AB585" s="3">
        <f t="shared" si="426"/>
        <v>16993.73</v>
      </c>
      <c r="AC585" s="3" cm="1">
        <f t="array" ref="AC585">100000000/LvacE(AA585)</f>
        <v>16993.729604089123</v>
      </c>
      <c r="AD585" s="10">
        <f t="shared" si="427"/>
        <v>6.4443344120052089E-3</v>
      </c>
      <c r="AE585" s="10" t="b">
        <f t="shared" si="428"/>
        <v>1</v>
      </c>
      <c r="AP585"/>
      <c r="AQ585"/>
      <c r="AU585" s="3" cm="1">
        <f t="array" ref="AU585">$C585*EXP(poly_from_str(100000000/$E585,AU$4341))</f>
        <v>0.30765328070939246</v>
      </c>
    </row>
    <row r="586" spans="1:47" x14ac:dyDescent="0.25">
      <c r="A586" t="s">
        <v>954</v>
      </c>
      <c r="B586" s="2" t="str">
        <f t="shared" si="424"/>
        <v/>
      </c>
      <c r="C586">
        <v>3</v>
      </c>
      <c r="E586" t="s">
        <v>955</v>
      </c>
      <c r="R586">
        <v>7</v>
      </c>
      <c r="S586" t="s">
        <v>22</v>
      </c>
      <c r="AA586" s="10">
        <f t="shared" si="425"/>
        <v>5882.0230000000001</v>
      </c>
      <c r="AB586" s="3">
        <f t="shared" si="426"/>
        <v>16996.240000000002</v>
      </c>
      <c r="AC586" s="3" cm="1">
        <f t="array" ref="AC586">100000000/LvacE(AA586)</f>
        <v>16996.243094273133</v>
      </c>
      <c r="AD586" s="10">
        <f t="shared" si="427"/>
        <v>6.4447616996969525E-3</v>
      </c>
      <c r="AE586" s="10" t="b">
        <f t="shared" si="428"/>
        <v>1</v>
      </c>
      <c r="AP586"/>
      <c r="AQ586"/>
      <c r="AU586" s="3" cm="1">
        <f t="array" ref="AU586">$C586*EXP(poly_from_str(100000000/$E586,AU$4341))</f>
        <v>0.11551670283365781</v>
      </c>
    </row>
    <row r="587" spans="1:47" x14ac:dyDescent="0.25">
      <c r="A587" t="s">
        <v>956</v>
      </c>
      <c r="B587" s="2" t="str">
        <f t="shared" si="424"/>
        <v/>
      </c>
      <c r="C587">
        <v>30</v>
      </c>
      <c r="E587" t="s">
        <v>957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AA587" s="10">
        <f t="shared" si="425"/>
        <v>5878.3029999999999</v>
      </c>
      <c r="AB587" s="3">
        <f t="shared" si="426"/>
        <v>17007</v>
      </c>
      <c r="AC587" s="3" cm="1">
        <f t="array" ref="AC587">100000000/LvacE(AA587)</f>
        <v>17006.998823415168</v>
      </c>
      <c r="AD587" s="10">
        <f t="shared" si="427"/>
        <v>6.4465908633337858E-3</v>
      </c>
      <c r="AE587" s="10" t="b">
        <f t="shared" si="428"/>
        <v>1</v>
      </c>
      <c r="AJ587" t="s">
        <v>4992</v>
      </c>
      <c r="AK587" t="s">
        <v>4737</v>
      </c>
      <c r="AL587">
        <v>23091.7</v>
      </c>
      <c r="AM587">
        <v>40098.660000000003</v>
      </c>
      <c r="AN587" s="10" cm="1">
        <f t="array" ref="AN587">Lair(100000000/($AM587-$AL587))</f>
        <v>5878.3164278358972</v>
      </c>
      <c r="AO587" s="10">
        <f>100000000/($AM587-$AL587)</f>
        <v>5879.9456222628842</v>
      </c>
      <c r="AU587" s="3" cm="1">
        <f t="array" ref="AU587">$C587*EXP(poly_from_str($AO587,AU$4341))</f>
        <v>1.1614565548952682</v>
      </c>
    </row>
    <row r="588" spans="1:47" x14ac:dyDescent="0.25">
      <c r="A588" t="s">
        <v>958</v>
      </c>
      <c r="B588" s="2" t="str">
        <f t="shared" si="424"/>
        <v/>
      </c>
      <c r="C588">
        <v>3</v>
      </c>
      <c r="E588" t="s">
        <v>959</v>
      </c>
      <c r="R588">
        <v>7</v>
      </c>
      <c r="S588" t="s">
        <v>22</v>
      </c>
      <c r="AA588" s="10">
        <f t="shared" si="425"/>
        <v>5874.1760000000004</v>
      </c>
      <c r="AB588" s="3">
        <f t="shared" si="426"/>
        <v>17018.95</v>
      </c>
      <c r="AC588" s="3" cm="1">
        <f t="array" ref="AC588">100000000/LvacE(AA588)</f>
        <v>17018.947261607962</v>
      </c>
      <c r="AD588" s="10">
        <f t="shared" si="427"/>
        <v>6.4486242207935172E-3</v>
      </c>
      <c r="AE588" s="10" t="b">
        <f t="shared" si="428"/>
        <v>1</v>
      </c>
      <c r="AP588"/>
      <c r="AQ588"/>
      <c r="AU588" s="3" cm="1">
        <f t="array" ref="AU588">$C588*EXP(poly_from_str(100000000/$E588,AU$4341))</f>
        <v>0.11685356252320203</v>
      </c>
    </row>
    <row r="589" spans="1:47" x14ac:dyDescent="0.25">
      <c r="A589" t="s">
        <v>960</v>
      </c>
      <c r="B589" s="2" t="str">
        <f t="shared" si="424"/>
        <v/>
      </c>
      <c r="C589">
        <v>1</v>
      </c>
      <c r="E589" t="s">
        <v>961</v>
      </c>
      <c r="R589">
        <v>7</v>
      </c>
      <c r="S589" t="s">
        <v>22</v>
      </c>
      <c r="AA589" s="10">
        <f t="shared" si="425"/>
        <v>5873.9709999999995</v>
      </c>
      <c r="AB589" s="3">
        <f t="shared" si="426"/>
        <v>17019.54</v>
      </c>
      <c r="AC589" s="3" cm="1">
        <f t="array" ref="AC589">100000000/LvacE(AA589)</f>
        <v>17019.54121271905</v>
      </c>
      <c r="AD589" s="10">
        <f t="shared" si="427"/>
        <v>6.4487253352731103E-3</v>
      </c>
      <c r="AE589" s="10" t="b">
        <f t="shared" si="428"/>
        <v>1</v>
      </c>
      <c r="AP589"/>
      <c r="AQ589"/>
      <c r="AU589" s="3" cm="1">
        <f t="array" ref="AU589">$C589*EXP(poly_from_str(100000000/$E589,AU$4341))</f>
        <v>3.8962839369612444E-2</v>
      </c>
    </row>
    <row r="590" spans="1:47" x14ac:dyDescent="0.25">
      <c r="A590" t="s">
        <v>962</v>
      </c>
      <c r="B590" s="2" t="str">
        <f t="shared" si="424"/>
        <v/>
      </c>
      <c r="C590">
        <v>2</v>
      </c>
      <c r="E590" t="s">
        <v>963</v>
      </c>
      <c r="R590">
        <v>7</v>
      </c>
      <c r="S590" t="s">
        <v>22</v>
      </c>
      <c r="AA590" s="10">
        <f t="shared" si="425"/>
        <v>5873.1490000000003</v>
      </c>
      <c r="AB590" s="3">
        <f t="shared" si="426"/>
        <v>17021.919999999998</v>
      </c>
      <c r="AC590" s="3" cm="1">
        <f t="array" ref="AC590">100000000/LvacE(AA590)</f>
        <v>17021.923228257328</v>
      </c>
      <c r="AD590" s="10">
        <f t="shared" si="427"/>
        <v>6.4491308860253104E-3</v>
      </c>
      <c r="AE590" s="10" t="b">
        <f t="shared" si="428"/>
        <v>1</v>
      </c>
      <c r="AP590"/>
      <c r="AQ590"/>
      <c r="AU590" s="3" cm="1">
        <f t="array" ref="AU590">$C590*EXP(poly_from_str(100000000/$E590,AU$4341))</f>
        <v>7.8019760511313888E-2</v>
      </c>
    </row>
    <row r="591" spans="1:47" x14ac:dyDescent="0.25">
      <c r="A591" t="s">
        <v>964</v>
      </c>
      <c r="B591" s="2" t="str">
        <f t="shared" si="424"/>
        <v/>
      </c>
      <c r="C591">
        <v>6</v>
      </c>
      <c r="E591" t="s">
        <v>965</v>
      </c>
      <c r="R591">
        <v>7</v>
      </c>
      <c r="S591" t="s">
        <v>22</v>
      </c>
      <c r="AA591" s="10">
        <f t="shared" si="425"/>
        <v>5872.5320000000002</v>
      </c>
      <c r="AB591" s="3">
        <f t="shared" si="426"/>
        <v>17023.71</v>
      </c>
      <c r="AC591" s="3" cm="1">
        <f t="array" ref="AC591">100000000/LvacE(AA591)</f>
        <v>17023.711626939497</v>
      </c>
      <c r="AD591" s="10">
        <f t="shared" si="427"/>
        <v>6.4494354076690859E-3</v>
      </c>
      <c r="AE591" s="10" t="b">
        <f t="shared" si="428"/>
        <v>1</v>
      </c>
      <c r="AP591"/>
      <c r="AQ591"/>
      <c r="AU591" s="3" cm="1">
        <f t="array" ref="AU591">$C591*EXP(poly_from_str(100000000/$E591,AU$4341))</f>
        <v>0.23427180216359433</v>
      </c>
    </row>
    <row r="592" spans="1:47" x14ac:dyDescent="0.25">
      <c r="A592" t="s">
        <v>966</v>
      </c>
      <c r="B592" s="2" t="str">
        <f t="shared" si="424"/>
        <v/>
      </c>
      <c r="C592">
        <v>15</v>
      </c>
      <c r="D592" t="s">
        <v>14</v>
      </c>
      <c r="E592" t="s">
        <v>967</v>
      </c>
      <c r="R592">
        <v>7</v>
      </c>
      <c r="S592" t="s">
        <v>22</v>
      </c>
      <c r="AA592" s="10">
        <f t="shared" si="425"/>
        <v>5869.9080000000004</v>
      </c>
      <c r="AB592" s="3">
        <f t="shared" si="426"/>
        <v>17031.32</v>
      </c>
      <c r="AC592" s="3" cm="1">
        <f t="array" ref="AC592">100000000/LvacE(AA592)</f>
        <v>17031.321593155109</v>
      </c>
      <c r="AD592" s="10">
        <f t="shared" si="427"/>
        <v>6.4507315611381909E-3</v>
      </c>
      <c r="AE592" s="10" t="b">
        <f t="shared" si="428"/>
        <v>1</v>
      </c>
      <c r="AP592"/>
      <c r="AQ592"/>
      <c r="AU592" s="3" cm="1">
        <f t="array" ref="AU592">$C592*EXP(poly_from_str(100000000/$E592,AU$4341))</f>
        <v>0.58794411832366889</v>
      </c>
    </row>
    <row r="593" spans="1:48" x14ac:dyDescent="0.25">
      <c r="A593" t="s">
        <v>968</v>
      </c>
      <c r="B593" s="2" t="str">
        <f t="shared" si="424"/>
        <v/>
      </c>
      <c r="C593">
        <v>15</v>
      </c>
      <c r="D593" t="s">
        <v>14</v>
      </c>
      <c r="E593" t="s">
        <v>969</v>
      </c>
      <c r="R593">
        <v>7</v>
      </c>
      <c r="S593" t="s">
        <v>22</v>
      </c>
      <c r="AA593" s="10">
        <f t="shared" si="425"/>
        <v>5864.0039999999999</v>
      </c>
      <c r="AB593" s="3">
        <f t="shared" si="426"/>
        <v>17048.47</v>
      </c>
      <c r="AC593" s="3" cm="1">
        <f t="array" ref="AC593">100000000/LvacE(AA593)</f>
        <v>17048.468917857557</v>
      </c>
      <c r="AD593" s="10">
        <f t="shared" si="427"/>
        <v>6.4536542708580657E-3</v>
      </c>
      <c r="AE593" s="10" t="b">
        <f t="shared" si="428"/>
        <v>1</v>
      </c>
      <c r="AP593"/>
      <c r="AQ593"/>
      <c r="AU593" s="3" cm="1">
        <f t="array" ref="AU593">$C593*EXP(poly_from_str(100000000/$E593,AU$4341))</f>
        <v>0.59308235077728388</v>
      </c>
    </row>
    <row r="594" spans="1:48" x14ac:dyDescent="0.25">
      <c r="A594" t="s">
        <v>970</v>
      </c>
      <c r="B594" s="2" t="str">
        <f t="shared" si="424"/>
        <v/>
      </c>
      <c r="C594">
        <v>8</v>
      </c>
      <c r="E594" t="s">
        <v>971</v>
      </c>
      <c r="R594">
        <v>7</v>
      </c>
      <c r="S594" t="s">
        <v>22</v>
      </c>
      <c r="AA594" s="10">
        <f t="shared" si="425"/>
        <v>5854.7610000000004</v>
      </c>
      <c r="AB594" s="3">
        <f t="shared" si="426"/>
        <v>17075.38</v>
      </c>
      <c r="AC594" s="3" cm="1">
        <f t="array" ref="AC594">100000000/LvacE(AA594)</f>
        <v>17075.383341428325</v>
      </c>
      <c r="AD594" s="10">
        <f t="shared" si="427"/>
        <v>6.4582476843570834E-3</v>
      </c>
      <c r="AE594" s="10" t="b">
        <f t="shared" si="428"/>
        <v>1</v>
      </c>
      <c r="AP594"/>
      <c r="AQ594"/>
      <c r="AU594" s="3" cm="1">
        <f t="array" ref="AU594">$C594*EXP(poly_from_str(100000000/$E594,AU$4341))</f>
        <v>0.32066216467092135</v>
      </c>
    </row>
    <row r="595" spans="1:48" x14ac:dyDescent="0.25">
      <c r="A595" t="s">
        <v>972</v>
      </c>
      <c r="B595" s="2" t="str">
        <f t="shared" si="424"/>
        <v/>
      </c>
      <c r="C595">
        <v>40</v>
      </c>
      <c r="D595" t="s">
        <v>14</v>
      </c>
      <c r="E595" t="s">
        <v>973</v>
      </c>
      <c r="R595">
        <v>7</v>
      </c>
      <c r="S595" t="s">
        <v>22</v>
      </c>
      <c r="AA595" s="10">
        <f t="shared" si="425"/>
        <v>5854.058</v>
      </c>
      <c r="AB595" s="3">
        <f t="shared" si="426"/>
        <v>17077.43</v>
      </c>
      <c r="AC595" s="3" cm="1">
        <f t="array" ref="AC595">100000000/LvacE(AA595)</f>
        <v>17077.433864598639</v>
      </c>
      <c r="AD595" s="10">
        <f t="shared" si="427"/>
        <v>6.4585979387801282E-3</v>
      </c>
      <c r="AE595" s="10" t="b">
        <f t="shared" si="428"/>
        <v>1</v>
      </c>
      <c r="AP595"/>
      <c r="AQ595"/>
      <c r="AU595" s="3" cm="1">
        <f t="array" ref="AU595">$C595*EXP(poly_from_str(100000000/$E595,AU$4341))</f>
        <v>1.6049812653218343</v>
      </c>
    </row>
    <row r="596" spans="1:48" x14ac:dyDescent="0.25">
      <c r="A596" t="s">
        <v>974</v>
      </c>
      <c r="B596" s="2" t="str">
        <f t="shared" si="424"/>
        <v/>
      </c>
      <c r="C596">
        <v>20</v>
      </c>
      <c r="E596" t="s">
        <v>975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AA596" s="10">
        <f t="shared" si="425"/>
        <v>5852.223</v>
      </c>
      <c r="AB596" s="3">
        <f t="shared" si="426"/>
        <v>17082.79</v>
      </c>
      <c r="AC596" s="3" cm="1">
        <f t="array" ref="AC596">100000000/LvacE(AA596)</f>
        <v>17082.788547117594</v>
      </c>
      <c r="AD596" s="10">
        <f t="shared" si="427"/>
        <v>6.4595127823322517E-3</v>
      </c>
      <c r="AE596" s="10" t="b">
        <f t="shared" si="428"/>
        <v>1</v>
      </c>
      <c r="AJ596" t="s">
        <v>4991</v>
      </c>
      <c r="AK596" t="s">
        <v>4806</v>
      </c>
      <c r="AL596">
        <v>27597.13</v>
      </c>
      <c r="AM596">
        <v>44679.98</v>
      </c>
      <c r="AN596" s="10" cm="1">
        <f t="array" ref="AN596">Lair(100000000/($AM596-$AL596))</f>
        <v>5852.2019559025293</v>
      </c>
      <c r="AO596" s="10">
        <f>100000000/($AM596-$AL596)</f>
        <v>5853.8241569761476</v>
      </c>
      <c r="AU596" s="3" cm="1">
        <f t="array" ref="AU596">$C596*EXP(poly_from_str($AO596,AU$4341))</f>
        <v>0.804703283609849</v>
      </c>
    </row>
    <row r="597" spans="1:48" x14ac:dyDescent="0.25">
      <c r="A597" t="s">
        <v>976</v>
      </c>
      <c r="B597" s="2" t="str">
        <f t="shared" si="424"/>
        <v/>
      </c>
      <c r="C597">
        <v>7</v>
      </c>
      <c r="E597" t="s">
        <v>977</v>
      </c>
      <c r="R597">
        <v>7</v>
      </c>
      <c r="S597" t="s">
        <v>22</v>
      </c>
      <c r="AA597" s="10">
        <f t="shared" si="425"/>
        <v>5851.0119999999997</v>
      </c>
      <c r="AB597" s="3">
        <f t="shared" si="426"/>
        <v>17086.32</v>
      </c>
      <c r="AC597" s="3" cm="1">
        <f t="array" ref="AC597">100000000/LvacE(AA597)</f>
        <v>17086.324185418191</v>
      </c>
      <c r="AD597" s="10">
        <f t="shared" si="427"/>
        <v>6.4601170007357869E-3</v>
      </c>
      <c r="AE597" s="10" t="b">
        <f t="shared" si="428"/>
        <v>1</v>
      </c>
      <c r="AP597"/>
      <c r="AQ597"/>
      <c r="AU597" s="3" cm="1">
        <f t="array" ref="AU597">$C597*EXP(poly_from_str(100000000/$E597,AU$4341))</f>
        <v>0.28214312999235802</v>
      </c>
    </row>
    <row r="598" spans="1:48" x14ac:dyDescent="0.25">
      <c r="A598" t="s">
        <v>978</v>
      </c>
      <c r="B598" s="2" t="str">
        <f t="shared" si="424"/>
        <v/>
      </c>
      <c r="C598">
        <v>3</v>
      </c>
      <c r="E598" t="s">
        <v>979</v>
      </c>
      <c r="R598">
        <v>7</v>
      </c>
      <c r="S598" t="s">
        <v>22</v>
      </c>
      <c r="AA598" s="10">
        <f t="shared" si="425"/>
        <v>5849.5730000000003</v>
      </c>
      <c r="AB598" s="3">
        <f t="shared" si="426"/>
        <v>17090.53</v>
      </c>
      <c r="AC598" s="3" cm="1">
        <f t="array" ref="AC598">100000000/LvacE(AA598)</f>
        <v>17090.527396294718</v>
      </c>
      <c r="AD598" s="10">
        <f t="shared" si="427"/>
        <v>6.4608354657933759E-3</v>
      </c>
      <c r="AE598" s="10" t="b">
        <f t="shared" si="428"/>
        <v>1</v>
      </c>
      <c r="AP598"/>
      <c r="AQ598"/>
      <c r="AU598" s="3" cm="1">
        <f t="array" ref="AU598">$C598*EXP(poly_from_str(100000000/$E598,AU$4341))</f>
        <v>0.12117742585180447</v>
      </c>
    </row>
    <row r="599" spans="1:48" x14ac:dyDescent="0.25">
      <c r="A599" t="s">
        <v>980</v>
      </c>
      <c r="B599" s="2" t="str">
        <f t="shared" si="424"/>
        <v/>
      </c>
      <c r="C599">
        <v>4</v>
      </c>
      <c r="D599" t="s">
        <v>143</v>
      </c>
      <c r="E599" t="s">
        <v>981</v>
      </c>
      <c r="R599">
        <v>7</v>
      </c>
      <c r="S599" t="s">
        <v>22</v>
      </c>
      <c r="AA599" s="10">
        <f t="shared" si="425"/>
        <v>5849.0150000000003</v>
      </c>
      <c r="AB599" s="3">
        <f t="shared" si="426"/>
        <v>17092.16</v>
      </c>
      <c r="AC599" s="3" cm="1">
        <f t="array" ref="AC599">100000000/LvacE(AA599)</f>
        <v>17092.157828840056</v>
      </c>
      <c r="AD599" s="10">
        <f t="shared" si="427"/>
        <v>6.4611142071648014E-3</v>
      </c>
      <c r="AE599" s="10" t="b">
        <f t="shared" si="428"/>
        <v>1</v>
      </c>
      <c r="AP599"/>
      <c r="AQ599"/>
      <c r="AU599" s="3" cm="1">
        <f t="array" ref="AU599">$C599*EXP(poly_from_str(100000000/$E599,AU$4341))</f>
        <v>0.16170378208506195</v>
      </c>
    </row>
    <row r="600" spans="1:48" x14ac:dyDescent="0.25">
      <c r="A600" t="s">
        <v>982</v>
      </c>
      <c r="B600" s="2" t="str">
        <f t="shared" si="424"/>
        <v/>
      </c>
      <c r="C600">
        <v>4</v>
      </c>
      <c r="E600" t="s">
        <v>983</v>
      </c>
      <c r="R600">
        <v>7</v>
      </c>
      <c r="S600" t="s">
        <v>22</v>
      </c>
      <c r="AA600" s="10">
        <f t="shared" si="425"/>
        <v>5848.5879999999997</v>
      </c>
      <c r="AB600" s="3">
        <f t="shared" si="426"/>
        <v>17093.41</v>
      </c>
      <c r="AC600" s="3" cm="1">
        <f t="array" ref="AC600">100000000/LvacE(AA600)</f>
        <v>17093.405699710969</v>
      </c>
      <c r="AD600" s="10">
        <f t="shared" si="427"/>
        <v>6.4613275631409638E-3</v>
      </c>
      <c r="AE600" s="10" t="b">
        <f t="shared" si="428"/>
        <v>1</v>
      </c>
      <c r="AP600"/>
      <c r="AQ600"/>
      <c r="AU600" s="3" cm="1">
        <f t="array" ref="AU600">$C600*EXP(poly_from_str(100000000/$E600,AU$4341))</f>
        <v>0.16180652989188182</v>
      </c>
    </row>
    <row r="601" spans="1:48" x14ac:dyDescent="0.25">
      <c r="A601" t="s">
        <v>984</v>
      </c>
      <c r="B601" s="2" t="str">
        <f t="shared" si="424"/>
        <v/>
      </c>
      <c r="C601">
        <v>15</v>
      </c>
      <c r="D601" t="s">
        <v>14</v>
      </c>
      <c r="E601" t="s">
        <v>985</v>
      </c>
      <c r="R601">
        <v>7</v>
      </c>
      <c r="S601" t="s">
        <v>22</v>
      </c>
      <c r="AA601" s="10">
        <f t="shared" si="425"/>
        <v>5847.3580000000002</v>
      </c>
      <c r="AB601" s="3">
        <f t="shared" si="426"/>
        <v>17097</v>
      </c>
      <c r="AC601" s="3" cm="1">
        <f t="array" ref="AC601">100000000/LvacE(AA601)</f>
        <v>17097.001287797826</v>
      </c>
      <c r="AD601" s="10">
        <f t="shared" si="427"/>
        <v>6.4619424095290409E-3</v>
      </c>
      <c r="AE601" s="10" t="b">
        <f t="shared" si="428"/>
        <v>1</v>
      </c>
      <c r="AP601"/>
      <c r="AQ601"/>
      <c r="AU601" s="3" cm="1">
        <f t="array" ref="AU601">$C601*EXP(poly_from_str(100000000/$E601,AU$4341))</f>
        <v>0.60788249929283111</v>
      </c>
    </row>
    <row r="602" spans="1:48" x14ac:dyDescent="0.25">
      <c r="A602" t="s">
        <v>986</v>
      </c>
      <c r="B602" s="2" t="str">
        <f t="shared" si="424"/>
        <v/>
      </c>
      <c r="C602">
        <v>1500</v>
      </c>
      <c r="E602" t="s">
        <v>987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425"/>
        <v>5844.4129999999996</v>
      </c>
      <c r="AB602" s="3">
        <f t="shared" si="426"/>
        <v>17105.62</v>
      </c>
      <c r="AC602" s="3" cm="1">
        <f t="array" ref="AC602">100000000/LvacE(AA602)</f>
        <v>17105.616386286321</v>
      </c>
      <c r="AD602" s="10">
        <f t="shared" si="427"/>
        <v>6.4634161194876477E-3</v>
      </c>
      <c r="AE602" s="10" t="b">
        <f t="shared" si="428"/>
        <v>1</v>
      </c>
      <c r="AJ602" t="s">
        <v>4812</v>
      </c>
      <c r="AK602" t="s">
        <v>4723</v>
      </c>
      <c r="AL602">
        <v>10032.92</v>
      </c>
      <c r="AM602">
        <v>27138.55</v>
      </c>
      <c r="AN602" s="10" cm="1">
        <f t="array" ref="AN602">Lair(100000000/($AM602-$AL602))</f>
        <v>5844.4083571143847</v>
      </c>
      <c r="AO602" s="10">
        <f>100000000/($AM602-$AL602)</f>
        <v>5846.0284713278616</v>
      </c>
      <c r="AP602" s="12">
        <v>28400000</v>
      </c>
      <c r="AQ602" s="3">
        <v>0.45500000000000002</v>
      </c>
      <c r="AR602" s="3">
        <f>LN(AU602*100000000/($AM602-$AL602)/AP602)</f>
        <v>-4.3765991633616173</v>
      </c>
      <c r="AS602" s="13">
        <f>EXP(AR$4341*$AM602+AR$4342)*$AP602/(100000000/($AM602-$AL602))</f>
        <v>56.032793301007352</v>
      </c>
      <c r="AT602" s="3">
        <f>LN(AS602/$C602)</f>
        <v>-3.2872832730879518</v>
      </c>
      <c r="AU602" s="3" cm="1">
        <f t="array" ref="AU602">$C602*EXP(poly_from_str($AO602,AU$4341))</f>
        <v>61.055465643947393</v>
      </c>
      <c r="AV602" s="13">
        <f>LN(AS602/AU602)</f>
        <v>-8.5845609884416849E-2</v>
      </c>
    </row>
    <row r="603" spans="1:48" x14ac:dyDescent="0.25">
      <c r="A603" t="s">
        <v>988</v>
      </c>
      <c r="B603" s="2" t="str">
        <f t="shared" si="424"/>
        <v/>
      </c>
      <c r="C603">
        <v>6</v>
      </c>
      <c r="E603" t="s">
        <v>989</v>
      </c>
      <c r="R603">
        <v>7</v>
      </c>
      <c r="S603" t="s">
        <v>22</v>
      </c>
      <c r="AA603" s="10">
        <f t="shared" si="425"/>
        <v>5840.0690000000004</v>
      </c>
      <c r="AB603" s="3">
        <f t="shared" si="426"/>
        <v>17118.34</v>
      </c>
      <c r="AC603" s="3" cm="1">
        <f t="array" ref="AC603">100000000/LvacE(AA603)</f>
        <v>17118.339882412067</v>
      </c>
      <c r="AD603" s="10">
        <f t="shared" si="427"/>
        <v>6.4655939752092028E-3</v>
      </c>
      <c r="AE603" s="10" t="b">
        <f t="shared" si="428"/>
        <v>1</v>
      </c>
      <c r="AP603"/>
      <c r="AQ603"/>
      <c r="AU603" s="3" cm="1">
        <f t="array" ref="AU603">$C603*EXP(poly_from_str(100000000/$E603,AU$4341))</f>
        <v>0.24580490265837374</v>
      </c>
    </row>
    <row r="604" spans="1:48" x14ac:dyDescent="0.25">
      <c r="A604" t="s">
        <v>990</v>
      </c>
      <c r="B604" s="2" t="str">
        <f t="shared" si="424"/>
        <v/>
      </c>
      <c r="C604">
        <v>5</v>
      </c>
      <c r="D604" t="s">
        <v>143</v>
      </c>
      <c r="E604" t="s">
        <v>991</v>
      </c>
      <c r="R604">
        <v>7</v>
      </c>
      <c r="S604" t="s">
        <v>22</v>
      </c>
      <c r="AA604" s="10">
        <f t="shared" si="425"/>
        <v>5839.6009999999997</v>
      </c>
      <c r="AB604" s="3">
        <f t="shared" si="426"/>
        <v>17119.71</v>
      </c>
      <c r="AC604" s="3" cm="1">
        <f t="array" ref="AC604">100000000/LvacE(AA604)</f>
        <v>17119.711775338881</v>
      </c>
      <c r="AD604" s="10">
        <f t="shared" si="427"/>
        <v>6.4658288961299652E-3</v>
      </c>
      <c r="AE604" s="10" t="b">
        <f t="shared" si="428"/>
        <v>1</v>
      </c>
      <c r="AP604"/>
      <c r="AQ604"/>
      <c r="AU604" s="3" cm="1">
        <f t="array" ref="AU604">$C604*EXP(poly_from_str(100000000/$E604,AU$4341))</f>
        <v>0.20498013873131385</v>
      </c>
    </row>
    <row r="605" spans="1:48" x14ac:dyDescent="0.25">
      <c r="A605" t="s">
        <v>992</v>
      </c>
      <c r="B605" s="2" t="str">
        <f t="shared" si="424"/>
        <v/>
      </c>
      <c r="C605">
        <v>1</v>
      </c>
      <c r="E605" t="s">
        <v>993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425"/>
        <v>5831.098</v>
      </c>
      <c r="AB605" s="3">
        <f t="shared" si="426"/>
        <v>17144.68</v>
      </c>
      <c r="AC605" s="3" cm="1">
        <f t="array" ref="AC605">100000000/LvacE(AA605)</f>
        <v>17144.675775173007</v>
      </c>
      <c r="AD605" s="10">
        <f t="shared" si="427"/>
        <v>6.4701069828678069E-3</v>
      </c>
      <c r="AE605" s="10" t="b">
        <f t="shared" si="428"/>
        <v>1</v>
      </c>
      <c r="AJ605" t="s">
        <v>4790</v>
      </c>
      <c r="AK605" t="s">
        <v>4714</v>
      </c>
      <c r="AL605">
        <v>22080.94</v>
      </c>
      <c r="AM605">
        <v>39225.599999999999</v>
      </c>
      <c r="AN605" s="10" cm="1">
        <f t="array" ref="AN605">Lair(100000000/($AM605-$AL605))</f>
        <v>5831.1033737767884</v>
      </c>
      <c r="AO605" s="10">
        <f>100000000/($AM605-$AL605)</f>
        <v>5832.7199256211552</v>
      </c>
      <c r="AP605" s="12">
        <v>35400</v>
      </c>
      <c r="AQ605" s="3">
        <v>6.0000000000000001E-3</v>
      </c>
      <c r="AR605" s="3"/>
      <c r="AS605" s="13">
        <f>EXP(AR$4341*$AM605+AR$4342)*$AP605/(100000000/($AM605-$AL605))</f>
        <v>2.8259931566848147E-2</v>
      </c>
      <c r="AT605" s="3"/>
      <c r="AU605" s="3" cm="1">
        <f t="array" ref="AU605">$C605*EXP(poly_from_str($AO605,AU$4341))</f>
        <v>4.151942914060075E-2</v>
      </c>
    </row>
    <row r="606" spans="1:48" x14ac:dyDescent="0.25">
      <c r="A606" t="s">
        <v>994</v>
      </c>
      <c r="B606" s="2" t="str">
        <f t="shared" si="424"/>
        <v/>
      </c>
      <c r="C606">
        <v>1</v>
      </c>
      <c r="E606" t="s">
        <v>995</v>
      </c>
      <c r="R606">
        <v>7</v>
      </c>
      <c r="S606" t="s">
        <v>22</v>
      </c>
      <c r="AA606" s="10">
        <f t="shared" si="425"/>
        <v>5830.6409999999996</v>
      </c>
      <c r="AB606" s="3">
        <f t="shared" si="426"/>
        <v>17146.02</v>
      </c>
      <c r="AC606" s="3" cm="1">
        <f t="array" ref="AC606">100000000/LvacE(AA606)</f>
        <v>17146.019545523104</v>
      </c>
      <c r="AD606" s="10">
        <f t="shared" si="427"/>
        <v>6.4703374419316081E-3</v>
      </c>
      <c r="AE606" s="10" t="b">
        <f t="shared" si="428"/>
        <v>1</v>
      </c>
      <c r="AP606"/>
      <c r="AQ606"/>
      <c r="AU606" s="3" cm="1">
        <f t="array" ref="AU606">$C606*EXP(poly_from_str(100000000/$E606,AU$4341))</f>
        <v>4.1548153515518473E-2</v>
      </c>
    </row>
    <row r="607" spans="1:48" x14ac:dyDescent="0.25">
      <c r="A607" t="s">
        <v>996</v>
      </c>
      <c r="B607" s="2" t="str">
        <f t="shared" si="424"/>
        <v/>
      </c>
      <c r="C607">
        <v>1</v>
      </c>
      <c r="E607" t="s">
        <v>997</v>
      </c>
      <c r="R607">
        <v>7</v>
      </c>
      <c r="S607" t="s">
        <v>22</v>
      </c>
      <c r="AA607" s="10">
        <f t="shared" si="425"/>
        <v>5821.6809999999996</v>
      </c>
      <c r="AB607" s="3">
        <f t="shared" si="426"/>
        <v>17172.41</v>
      </c>
      <c r="AC607" s="3" cm="1">
        <f t="array" ref="AC607">100000000/LvacE(AA607)</f>
        <v>17172.408293740111</v>
      </c>
      <c r="AD607" s="10">
        <f t="shared" si="427"/>
        <v>6.4748668205746856E-3</v>
      </c>
      <c r="AE607" s="10" t="b">
        <f t="shared" si="428"/>
        <v>1</v>
      </c>
      <c r="AP607"/>
      <c r="AQ607"/>
      <c r="AU607" s="3" cm="1">
        <f t="array" ref="AU607">$C607*EXP(poly_from_str(100000000/$E607,AU$4341))</f>
        <v>4.2109503537531276E-2</v>
      </c>
    </row>
    <row r="608" spans="1:48" x14ac:dyDescent="0.25">
      <c r="A608" t="s">
        <v>998</v>
      </c>
      <c r="B608" s="2" t="str">
        <f t="shared" si="424"/>
        <v/>
      </c>
      <c r="C608">
        <v>10</v>
      </c>
      <c r="D608" t="s">
        <v>14</v>
      </c>
      <c r="E608" t="s">
        <v>999</v>
      </c>
      <c r="R608">
        <v>7</v>
      </c>
      <c r="S608" t="s">
        <v>22</v>
      </c>
      <c r="AA608" s="10">
        <f t="shared" si="425"/>
        <v>5820.0190000000002</v>
      </c>
      <c r="AB608" s="3">
        <f t="shared" si="426"/>
        <v>17177.310000000001</v>
      </c>
      <c r="AC608" s="3" cm="1">
        <f t="array" ref="AC608">100000000/LvacE(AA608)</f>
        <v>17177.312104330522</v>
      </c>
      <c r="AD608" s="10">
        <f t="shared" si="427"/>
        <v>6.475709280702565E-3</v>
      </c>
      <c r="AE608" s="10" t="b">
        <f t="shared" si="428"/>
        <v>1</v>
      </c>
      <c r="AP608"/>
      <c r="AQ608"/>
      <c r="AU608" s="3" cm="1">
        <f t="array" ref="AU608">$C608*EXP(poly_from_str(100000000/$E608,AU$4341))</f>
        <v>0.42214563358959367</v>
      </c>
    </row>
    <row r="609" spans="1:48" x14ac:dyDescent="0.25">
      <c r="A609" t="s">
        <v>1000</v>
      </c>
      <c r="B609" s="2" t="str">
        <f t="shared" si="424"/>
        <v/>
      </c>
      <c r="C609">
        <v>2</v>
      </c>
      <c r="E609" t="s">
        <v>1001</v>
      </c>
      <c r="R609">
        <v>7</v>
      </c>
      <c r="S609" t="s">
        <v>22</v>
      </c>
      <c r="AA609" s="10">
        <f t="shared" si="425"/>
        <v>5814.8069999999998</v>
      </c>
      <c r="AB609" s="3">
        <f t="shared" si="426"/>
        <v>17192.71</v>
      </c>
      <c r="AC609" s="3" cm="1">
        <f t="array" ref="AC609">100000000/LvacE(AA609)</f>
        <v>17192.70853912826</v>
      </c>
      <c r="AD609" s="10">
        <f t="shared" si="427"/>
        <v>6.4783559058046343E-3</v>
      </c>
      <c r="AE609" s="10" t="b">
        <f t="shared" si="428"/>
        <v>1</v>
      </c>
      <c r="AP609"/>
      <c r="AQ609"/>
      <c r="AU609" s="3" cm="1">
        <f t="array" ref="AU609">$C609*EXP(poly_from_str(100000000/$E609,AU$4341))</f>
        <v>8.50928831605475E-2</v>
      </c>
    </row>
    <row r="610" spans="1:48" x14ac:dyDescent="0.25">
      <c r="A610" t="s">
        <v>1002</v>
      </c>
      <c r="B610" s="2" t="str">
        <f t="shared" si="424"/>
        <v/>
      </c>
      <c r="C610">
        <v>2</v>
      </c>
      <c r="E610" t="s">
        <v>1003</v>
      </c>
      <c r="R610">
        <v>7</v>
      </c>
      <c r="S610" t="s">
        <v>22</v>
      </c>
      <c r="AA610" s="10">
        <f t="shared" si="425"/>
        <v>5813.9889999999996</v>
      </c>
      <c r="AB610" s="3">
        <f t="shared" si="426"/>
        <v>17195.13</v>
      </c>
      <c r="AC610" s="3" cm="1">
        <f t="array" ref="AC610">100000000/LvacE(AA610)</f>
        <v>17195.127446587616</v>
      </c>
      <c r="AD610" s="10">
        <f t="shared" si="427"/>
        <v>6.478771928067598E-3</v>
      </c>
      <c r="AE610" s="10" t="b">
        <f t="shared" si="428"/>
        <v>1</v>
      </c>
      <c r="AP610"/>
      <c r="AQ610"/>
      <c r="AU610" s="3" cm="1">
        <f t="array" ref="AU610">$C610*EXP(poly_from_str(100000000/$E610,AU$4341))</f>
        <v>8.5197653619724395E-2</v>
      </c>
    </row>
    <row r="611" spans="1:48" x14ac:dyDescent="0.25">
      <c r="A611" t="s">
        <v>1004</v>
      </c>
      <c r="B611" s="2" t="str">
        <f t="shared" si="424"/>
        <v/>
      </c>
      <c r="C611">
        <v>2</v>
      </c>
      <c r="E611" t="s">
        <v>1005</v>
      </c>
      <c r="R611">
        <v>7</v>
      </c>
      <c r="S611" t="s">
        <v>22</v>
      </c>
      <c r="AA611" s="10">
        <f t="shared" si="425"/>
        <v>5800.402</v>
      </c>
      <c r="AB611" s="3">
        <f t="shared" si="426"/>
        <v>17235.41</v>
      </c>
      <c r="AC611" s="3" cm="1">
        <f t="array" ref="AC611">100000000/LvacE(AA611)</f>
        <v>17235.405337417749</v>
      </c>
      <c r="AD611" s="10">
        <f t="shared" si="427"/>
        <v>6.4857078300277942E-3</v>
      </c>
      <c r="AE611" s="10" t="b">
        <f t="shared" si="428"/>
        <v>1</v>
      </c>
      <c r="AP611"/>
      <c r="AQ611"/>
      <c r="AU611" s="3" cm="1">
        <f t="array" ref="AU611">$C611*EXP(poly_from_str(100000000/$E611,AU$4341))</f>
        <v>8.6960048780120452E-2</v>
      </c>
    </row>
    <row r="612" spans="1:48" x14ac:dyDescent="0.25">
      <c r="A612" t="s">
        <v>1006</v>
      </c>
      <c r="B612" s="2" t="str">
        <f t="shared" si="424"/>
        <v/>
      </c>
      <c r="C612">
        <v>1</v>
      </c>
      <c r="E612" t="s">
        <v>1007</v>
      </c>
      <c r="R612">
        <v>7</v>
      </c>
      <c r="S612" t="s">
        <v>22</v>
      </c>
      <c r="AA612" s="10">
        <f t="shared" si="425"/>
        <v>5798.0360000000001</v>
      </c>
      <c r="AB612" s="3">
        <f t="shared" si="426"/>
        <v>17242.439999999999</v>
      </c>
      <c r="AC612" s="3" cm="1">
        <f t="array" ref="AC612">100000000/LvacE(AA612)</f>
        <v>17242.438508240542</v>
      </c>
      <c r="AD612" s="10">
        <f t="shared" si="427"/>
        <v>6.4869206148634251E-3</v>
      </c>
      <c r="AE612" s="10" t="b">
        <f t="shared" si="428"/>
        <v>1</v>
      </c>
      <c r="AP612"/>
      <c r="AQ612"/>
      <c r="AU612" s="3" cm="1">
        <f t="array" ref="AU612">$C612*EXP(poly_from_str(100000000/$E612,AU$4341))</f>
        <v>4.3635605112191209E-2</v>
      </c>
    </row>
    <row r="613" spans="1:48" x14ac:dyDescent="0.25">
      <c r="A613" t="s">
        <v>1008</v>
      </c>
      <c r="B613" s="2" t="str">
        <f t="shared" si="424"/>
        <v/>
      </c>
      <c r="C613">
        <v>1</v>
      </c>
      <c r="E613" t="s">
        <v>1009</v>
      </c>
      <c r="R613">
        <v>7</v>
      </c>
      <c r="S613" t="s">
        <v>22</v>
      </c>
      <c r="AA613" s="10">
        <f t="shared" si="425"/>
        <v>5793.3410000000003</v>
      </c>
      <c r="AB613" s="3">
        <f t="shared" si="426"/>
        <v>17256.41</v>
      </c>
      <c r="AC613" s="3" cm="1">
        <f t="array" ref="AC613">100000000/LvacE(AA613)</f>
        <v>17256.411873633046</v>
      </c>
      <c r="AD613" s="10">
        <f t="shared" si="427"/>
        <v>6.4893316200127912E-3</v>
      </c>
      <c r="AE613" s="10" t="b">
        <f t="shared" si="428"/>
        <v>1</v>
      </c>
      <c r="AP613"/>
      <c r="AQ613"/>
      <c r="AU613" s="3" cm="1">
        <f t="array" ref="AU613">$C613*EXP(poly_from_str(100000000/$E613,AU$4341))</f>
        <v>4.3946345104641592E-2</v>
      </c>
    </row>
    <row r="614" spans="1:48" x14ac:dyDescent="0.25">
      <c r="A614" t="s">
        <v>1010</v>
      </c>
      <c r="B614" s="2" t="str">
        <f t="shared" si="424"/>
        <v/>
      </c>
      <c r="C614">
        <v>8</v>
      </c>
      <c r="D614" t="s">
        <v>143</v>
      </c>
      <c r="E614" t="s">
        <v>1011</v>
      </c>
      <c r="R614">
        <v>7</v>
      </c>
      <c r="S614" t="s">
        <v>22</v>
      </c>
      <c r="AA614" s="10">
        <f t="shared" si="425"/>
        <v>5792.5870000000004</v>
      </c>
      <c r="AB614" s="3">
        <f t="shared" si="426"/>
        <v>17258.66</v>
      </c>
      <c r="AC614" s="3" cm="1">
        <f t="array" ref="AC614">100000000/LvacE(AA614)</f>
        <v>17258.658056452587</v>
      </c>
      <c r="AD614" s="10">
        <f t="shared" si="427"/>
        <v>6.4897193651517523E-3</v>
      </c>
      <c r="AE614" s="10" t="b">
        <f t="shared" si="428"/>
        <v>1</v>
      </c>
      <c r="AP614"/>
      <c r="AQ614"/>
      <c r="AU614" s="3" cm="1">
        <f t="array" ref="AU614">$C614*EXP(poly_from_str(100000000/$E614,AU$4341))</f>
        <v>0.35197270202862757</v>
      </c>
    </row>
    <row r="615" spans="1:48" x14ac:dyDescent="0.25">
      <c r="A615" t="s">
        <v>1012</v>
      </c>
      <c r="B615" s="2" t="str">
        <f t="shared" si="424"/>
        <v/>
      </c>
      <c r="C615">
        <v>1</v>
      </c>
      <c r="E615" t="s">
        <v>1013</v>
      </c>
      <c r="R615">
        <v>7</v>
      </c>
      <c r="S615" t="s">
        <v>22</v>
      </c>
      <c r="AA615" s="10">
        <f t="shared" si="425"/>
        <v>5776.232</v>
      </c>
      <c r="AB615" s="3">
        <f t="shared" si="426"/>
        <v>17307.52</v>
      </c>
      <c r="AC615" s="3" cm="1">
        <f t="array" ref="AC615">100000000/LvacE(AA615)</f>
        <v>17307.524276733348</v>
      </c>
      <c r="AD615" s="10">
        <f t="shared" si="427"/>
        <v>6.4981673413337061E-3</v>
      </c>
      <c r="AE615" s="10" t="b">
        <f t="shared" si="428"/>
        <v>1</v>
      </c>
      <c r="AP615"/>
      <c r="AQ615"/>
      <c r="AU615" s="3" cm="1">
        <f t="array" ref="AU615">$C615*EXP(poly_from_str(100000000/$E615,AU$4341))</f>
        <v>4.5100917354105388E-2</v>
      </c>
    </row>
    <row r="616" spans="1:48" x14ac:dyDescent="0.25">
      <c r="A616" t="s">
        <v>1014</v>
      </c>
      <c r="B616" s="2" t="str">
        <f t="shared" si="424"/>
        <v/>
      </c>
      <c r="C616">
        <v>8</v>
      </c>
      <c r="E616" t="s">
        <v>1015</v>
      </c>
      <c r="R616">
        <v>7</v>
      </c>
      <c r="S616" t="s">
        <v>22</v>
      </c>
      <c r="AA616" s="10">
        <f t="shared" si="425"/>
        <v>5774.8850000000002</v>
      </c>
      <c r="AB616" s="3">
        <f t="shared" si="426"/>
        <v>17311.560000000001</v>
      </c>
      <c r="AC616" s="3" cm="1">
        <f t="array" ref="AC616">100000000/LvacE(AA616)</f>
        <v>17311.561241887692</v>
      </c>
      <c r="AD616" s="10">
        <f t="shared" si="427"/>
        <v>6.498866318713506E-3</v>
      </c>
      <c r="AE616" s="10" t="b">
        <f t="shared" si="428"/>
        <v>1</v>
      </c>
      <c r="AP616"/>
      <c r="AQ616"/>
      <c r="AU616" s="3" cm="1">
        <f t="array" ref="AU616">$C616*EXP(poly_from_str(100000000/$E616,AU$4341))</f>
        <v>0.36154688594860529</v>
      </c>
    </row>
    <row r="617" spans="1:48" x14ac:dyDescent="0.25">
      <c r="A617" t="s">
        <v>1016</v>
      </c>
      <c r="B617" s="2" t="str">
        <f t="shared" si="424"/>
        <v/>
      </c>
      <c r="C617">
        <v>15</v>
      </c>
      <c r="E617" t="s">
        <v>1017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425"/>
        <v>5773.9780000000001</v>
      </c>
      <c r="AB617" s="3">
        <f t="shared" si="426"/>
        <v>17314.28</v>
      </c>
      <c r="AC617" s="3" cm="1">
        <f t="array" ref="AC617">100000000/LvacE(AA617)</f>
        <v>17314.280586157656</v>
      </c>
      <c r="AD617" s="10">
        <f t="shared" si="427"/>
        <v>6.4993372494801379E-3</v>
      </c>
      <c r="AE617" s="10" t="b">
        <f t="shared" si="428"/>
        <v>1</v>
      </c>
      <c r="AJ617" t="s">
        <v>4715</v>
      </c>
      <c r="AK617" t="s">
        <v>4783</v>
      </c>
      <c r="AL617">
        <v>10138.18</v>
      </c>
      <c r="AM617">
        <v>27452.45</v>
      </c>
      <c r="AN617" s="10" cm="1">
        <f t="array" ref="AN617">Lair(100000000/($AM617-$AL617))</f>
        <v>5773.9815383106616</v>
      </c>
      <c r="AO617" s="10">
        <f>100000000/($AM617-$AL617)</f>
        <v>5775.5827996213529</v>
      </c>
      <c r="AU617" s="3" cm="1">
        <f t="array" ref="AU617">$C617*EXP(poly_from_str($AO617,AU$4341))</f>
        <v>0.67883201138451055</v>
      </c>
    </row>
    <row r="618" spans="1:48" x14ac:dyDescent="0.25">
      <c r="A618" t="s">
        <v>1018</v>
      </c>
      <c r="B618" s="2" t="str">
        <f t="shared" si="424"/>
        <v/>
      </c>
      <c r="C618">
        <v>8</v>
      </c>
      <c r="E618" t="s">
        <v>1019</v>
      </c>
      <c r="R618">
        <v>7</v>
      </c>
      <c r="S618" t="s">
        <v>22</v>
      </c>
      <c r="AA618" s="10">
        <f t="shared" si="425"/>
        <v>5773.0789999999997</v>
      </c>
      <c r="AB618" s="3">
        <f t="shared" si="426"/>
        <v>17316.98</v>
      </c>
      <c r="AC618" s="3" cm="1">
        <f t="array" ref="AC618">100000000/LvacE(AA618)</f>
        <v>17316.976788211632</v>
      </c>
      <c r="AD618" s="10">
        <f t="shared" si="427"/>
        <v>6.4998042455517782E-3</v>
      </c>
      <c r="AE618" s="10" t="b">
        <f t="shared" si="428"/>
        <v>1</v>
      </c>
      <c r="AP618"/>
      <c r="AQ618"/>
      <c r="AU618" s="3" cm="1">
        <f t="array" ref="AU618">$C618*EXP(poly_from_str(100000000/$E618,AU$4341))</f>
        <v>0.36254121148110485</v>
      </c>
    </row>
    <row r="619" spans="1:48" x14ac:dyDescent="0.25">
      <c r="A619" t="s">
        <v>1020</v>
      </c>
      <c r="B619" s="2" t="str">
        <f t="shared" si="424"/>
        <v/>
      </c>
      <c r="C619">
        <v>7</v>
      </c>
      <c r="D619" t="s">
        <v>14</v>
      </c>
      <c r="E619" t="s">
        <v>1021</v>
      </c>
      <c r="R619">
        <v>7</v>
      </c>
      <c r="S619" t="s">
        <v>22</v>
      </c>
      <c r="AA619" s="10">
        <f t="shared" si="425"/>
        <v>5772.7650000000003</v>
      </c>
      <c r="AB619" s="3">
        <f t="shared" si="426"/>
        <v>17317.919999999998</v>
      </c>
      <c r="AC619" s="3" cm="1">
        <f t="array" ref="AC619">100000000/LvacE(AA619)</f>
        <v>17317.918707383295</v>
      </c>
      <c r="AD619" s="10">
        <f t="shared" si="427"/>
        <v>6.4999674079391154E-3</v>
      </c>
      <c r="AE619" s="10" t="b">
        <f t="shared" si="428"/>
        <v>1</v>
      </c>
      <c r="AP619"/>
      <c r="AQ619"/>
      <c r="AU619" s="3" cm="1">
        <f t="array" ref="AU619">$C619*EXP(poly_from_str(100000000/$E619,AU$4341))</f>
        <v>0.31737467193629254</v>
      </c>
    </row>
    <row r="620" spans="1:48" x14ac:dyDescent="0.25">
      <c r="A620" t="s">
        <v>1022</v>
      </c>
      <c r="B620" s="2" t="str">
        <f t="shared" si="424"/>
        <v/>
      </c>
      <c r="C620">
        <v>1</v>
      </c>
      <c r="D620" t="s">
        <v>14</v>
      </c>
      <c r="E620" t="s">
        <v>1023</v>
      </c>
      <c r="R620">
        <v>7</v>
      </c>
      <c r="S620" t="s">
        <v>22</v>
      </c>
      <c r="AA620" s="10">
        <f t="shared" si="425"/>
        <v>5768.26</v>
      </c>
      <c r="AB620" s="3">
        <f t="shared" si="426"/>
        <v>17331.439999999999</v>
      </c>
      <c r="AC620" s="3" cm="1">
        <f t="array" ref="AC620">100000000/LvacE(AA620)</f>
        <v>17331.443837478368</v>
      </c>
      <c r="AD620" s="10">
        <f t="shared" si="427"/>
        <v>6.5023112548219363E-3</v>
      </c>
      <c r="AE620" s="10" t="b">
        <f t="shared" si="428"/>
        <v>1</v>
      </c>
      <c r="AP620"/>
      <c r="AQ620"/>
      <c r="AU620" s="3" cm="1">
        <f t="array" ref="AU620">$C620*EXP(poly_from_str(100000000/$E620,AU$4341))</f>
        <v>4.5650757020963384E-2</v>
      </c>
    </row>
    <row r="621" spans="1:48" x14ac:dyDescent="0.25">
      <c r="A621" t="s">
        <v>1024</v>
      </c>
      <c r="B621" s="2" t="str">
        <f t="shared" si="424"/>
        <v/>
      </c>
      <c r="C621">
        <v>600</v>
      </c>
      <c r="E621" t="s">
        <v>1025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425"/>
        <v>5765.2659999999996</v>
      </c>
      <c r="AB621" s="3">
        <f t="shared" si="426"/>
        <v>17340.439999999999</v>
      </c>
      <c r="AC621" s="3" cm="1">
        <f t="array" ref="AC621">100000000/LvacE(AA621)</f>
        <v>17340.444261540164</v>
      </c>
      <c r="AD621" s="10">
        <f t="shared" si="427"/>
        <v>6.5038720036109492E-3</v>
      </c>
      <c r="AE621" s="10" t="b">
        <f t="shared" si="428"/>
        <v>1</v>
      </c>
      <c r="AJ621" t="s">
        <v>4760</v>
      </c>
      <c r="AK621" t="s">
        <v>4697</v>
      </c>
      <c r="AL621">
        <v>12494.63</v>
      </c>
      <c r="AM621">
        <v>29835.09</v>
      </c>
      <c r="AN621" s="10" cm="1">
        <f t="array" ref="AN621">Lair(100000000/($AM621-$AL621))</f>
        <v>5765.2607752403819</v>
      </c>
      <c r="AO621" s="10">
        <f>100000000/($AM621-$AL621)</f>
        <v>5766.8597026837815</v>
      </c>
      <c r="AP621" s="12">
        <v>16100000</v>
      </c>
      <c r="AQ621" s="3">
        <v>0.47399999999999998</v>
      </c>
      <c r="AR621" s="3">
        <f>LN(AU621*100000000/($AM621-$AL621)/AP621)</f>
        <v>-4.6196867382998255</v>
      </c>
      <c r="AS621" s="13">
        <f>EXP(AR$4341*$AM621+AR$4342)*$AP621/(100000000/($AM621-$AL621))</f>
        <v>26.301750636668071</v>
      </c>
      <c r="AT621" s="3">
        <f>LN(AS621/$C621)</f>
        <v>-3.1272941541158552</v>
      </c>
      <c r="AU621" s="3" cm="1">
        <f t="array" ref="AU621">$C621*EXP(poly_from_str($AO621,AU$4341))</f>
        <v>27.515792868029486</v>
      </c>
      <c r="AV621" s="13">
        <f>LN(AS621/AU621)</f>
        <v>-4.5124624843236295E-2</v>
      </c>
    </row>
    <row r="622" spans="1:48" x14ac:dyDescent="0.25">
      <c r="A622" t="s">
        <v>1026</v>
      </c>
      <c r="B622" s="2" t="str">
        <f t="shared" si="424"/>
        <v/>
      </c>
      <c r="C622">
        <v>3</v>
      </c>
      <c r="E622" t="s">
        <v>1027</v>
      </c>
      <c r="R622">
        <v>7</v>
      </c>
      <c r="S622" t="s">
        <v>22</v>
      </c>
      <c r="AA622" s="10">
        <f t="shared" si="425"/>
        <v>5763.6480000000001</v>
      </c>
      <c r="AB622" s="3">
        <f t="shared" si="426"/>
        <v>17345.310000000001</v>
      </c>
      <c r="AC622" s="3" cm="1">
        <f t="array" ref="AC622">100000000/LvacE(AA622)</f>
        <v>17345.312110183262</v>
      </c>
      <c r="AD622" s="10">
        <f t="shared" si="427"/>
        <v>6.5047164669132518E-3</v>
      </c>
      <c r="AE622" s="10" t="b">
        <f t="shared" si="428"/>
        <v>1</v>
      </c>
      <c r="AP622"/>
      <c r="AQ622"/>
      <c r="AU622" s="3" cm="1">
        <f t="array" ref="AU622">$C622*EXP(poly_from_str(100000000/$E622,AU$4341))</f>
        <v>0.13791698803560815</v>
      </c>
    </row>
    <row r="623" spans="1:48" x14ac:dyDescent="0.25">
      <c r="A623" t="s">
        <v>1028</v>
      </c>
      <c r="B623" s="2" t="str">
        <f t="shared" si="424"/>
        <v/>
      </c>
      <c r="C623">
        <v>15</v>
      </c>
      <c r="E623" t="s">
        <v>1029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425"/>
        <v>5762.9570000000003</v>
      </c>
      <c r="AB623" s="3">
        <f t="shared" si="426"/>
        <v>17347.39</v>
      </c>
      <c r="AC623" s="3" cm="1">
        <f t="array" ref="AC623">100000000/LvacE(AA623)</f>
        <v>17347.391857459745</v>
      </c>
      <c r="AD623" s="10">
        <f t="shared" si="427"/>
        <v>6.5050773290048622E-3</v>
      </c>
      <c r="AE623" s="10" t="b">
        <f t="shared" si="428"/>
        <v>1</v>
      </c>
      <c r="AJ623" t="s">
        <v>4812</v>
      </c>
      <c r="AK623" t="s">
        <v>4712</v>
      </c>
      <c r="AL623">
        <v>10032.92</v>
      </c>
      <c r="AM623">
        <v>27380.31</v>
      </c>
      <c r="AN623" s="10" cm="1">
        <f t="array" ref="AN623">Lair(100000000/($AM623-$AL623))</f>
        <v>5762.9576249865813</v>
      </c>
      <c r="AO623" s="10">
        <f>100000000/($AM623-$AL623)</f>
        <v>5764.5559360802981</v>
      </c>
      <c r="AP623" s="12">
        <v>176000</v>
      </c>
      <c r="AQ623" s="3">
        <v>1.4E-2</v>
      </c>
      <c r="AR623" s="3"/>
      <c r="AS623" s="13">
        <f>EXP(AR$4341*$AM623+AR$4342)*$AP623/(100000000/($AM623-$AL623))</f>
        <v>0.34582161306045728</v>
      </c>
      <c r="AT623" s="3"/>
      <c r="AU623" s="3" cm="1">
        <f t="array" ref="AU623">$C623*EXP(poly_from_str($AO623,AU$4341))</f>
        <v>0.69031090229959002</v>
      </c>
    </row>
    <row r="624" spans="1:48" x14ac:dyDescent="0.25">
      <c r="A624" t="s">
        <v>1030</v>
      </c>
      <c r="B624" s="2" t="str">
        <f t="shared" si="424"/>
        <v/>
      </c>
      <c r="C624">
        <v>4</v>
      </c>
      <c r="E624" t="s">
        <v>1031</v>
      </c>
      <c r="R624">
        <v>7</v>
      </c>
      <c r="S624" t="s">
        <v>22</v>
      </c>
      <c r="AA624" s="10">
        <f t="shared" si="425"/>
        <v>5761.2579999999998</v>
      </c>
      <c r="AB624" s="3">
        <f t="shared" si="426"/>
        <v>17352.509999999998</v>
      </c>
      <c r="AC624" s="3" cm="1">
        <f t="array" ref="AC624">100000000/LvacE(AA624)</f>
        <v>17352.507568651687</v>
      </c>
      <c r="AD624" s="10">
        <f t="shared" si="427"/>
        <v>6.5059651528061833E-3</v>
      </c>
      <c r="AE624" s="10" t="b">
        <f t="shared" si="428"/>
        <v>1</v>
      </c>
      <c r="AP624"/>
      <c r="AQ624"/>
      <c r="AU624" s="3" cm="1">
        <f t="array" ref="AU624">$C624*EXP(poly_from_str(100000000/$E624,AU$4341))</f>
        <v>0.18456020438357801</v>
      </c>
    </row>
    <row r="625" spans="1:48" x14ac:dyDescent="0.25">
      <c r="A625" t="s">
        <v>1032</v>
      </c>
      <c r="B625" s="2" t="str">
        <f t="shared" si="424"/>
        <v/>
      </c>
      <c r="C625">
        <v>20</v>
      </c>
      <c r="E625" t="s">
        <v>1033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425"/>
        <v>5756.4070000000002</v>
      </c>
      <c r="AB625" s="3">
        <f t="shared" si="426"/>
        <v>17367.13</v>
      </c>
      <c r="AC625" s="3" cm="1">
        <f t="array" ref="AC625">100000000/LvacE(AA625)</f>
        <v>17367.130612865712</v>
      </c>
      <c r="AD625" s="10">
        <f t="shared" si="427"/>
        <v>6.5085044032558602E-3</v>
      </c>
      <c r="AE625" s="10" t="b">
        <f t="shared" si="428"/>
        <v>1</v>
      </c>
      <c r="AJ625" t="s">
        <v>4818</v>
      </c>
      <c r="AK625" t="s">
        <v>4735</v>
      </c>
      <c r="AL625">
        <v>13887.6</v>
      </c>
      <c r="AM625">
        <v>31254.71</v>
      </c>
      <c r="AN625" s="10" cm="1">
        <f t="array" ref="AN625">Lair(100000000/($AM625-$AL625))</f>
        <v>5756.4138401628452</v>
      </c>
      <c r="AO625" s="10">
        <f>100000000/($AM625-$AL625)</f>
        <v>5758.0104001183845</v>
      </c>
      <c r="AP625" s="12">
        <v>680000</v>
      </c>
      <c r="AQ625" s="3">
        <v>4.5999999999999999E-2</v>
      </c>
      <c r="AR625" s="3"/>
      <c r="AS625" s="13">
        <f>EXP(AR$4341*$AM625+AR$4342)*$AP625/(100000000/($AM625-$AL625))</f>
        <v>1.0001515668543486</v>
      </c>
      <c r="AT625" s="3"/>
      <c r="AU625" s="3" cm="1">
        <f t="array" ref="AU625">$C625*EXP(poly_from_str($AO625,AU$4341))</f>
        <v>0.92963615556993373</v>
      </c>
    </row>
    <row r="626" spans="1:48" x14ac:dyDescent="0.25">
      <c r="A626" t="s">
        <v>1034</v>
      </c>
      <c r="B626" s="2" t="str">
        <f t="shared" si="424"/>
        <v/>
      </c>
      <c r="C626">
        <v>2</v>
      </c>
      <c r="E626" t="s">
        <v>1035</v>
      </c>
      <c r="R626">
        <v>7</v>
      </c>
      <c r="S626" t="s">
        <v>22</v>
      </c>
      <c r="AA626" s="10">
        <f t="shared" si="425"/>
        <v>5755.0630000000001</v>
      </c>
      <c r="AB626" s="3">
        <f t="shared" si="426"/>
        <v>17371.189999999999</v>
      </c>
      <c r="AC626" s="3" cm="1">
        <f t="array" ref="AC626">100000000/LvacE(AA626)</f>
        <v>17371.18638009845</v>
      </c>
      <c r="AD626" s="10">
        <f t="shared" si="427"/>
        <v>6.5092090547139497E-3</v>
      </c>
      <c r="AE626" s="10" t="b">
        <f t="shared" si="428"/>
        <v>1</v>
      </c>
      <c r="AP626"/>
      <c r="AQ626"/>
      <c r="AU626" s="3" cm="1">
        <f t="array" ref="AU626">$C626*EXP(poly_from_str(100000000/$E626,AU$4341))</f>
        <v>9.3155414614218321E-2</v>
      </c>
    </row>
    <row r="627" spans="1:48" x14ac:dyDescent="0.25">
      <c r="A627" t="s">
        <v>1036</v>
      </c>
      <c r="B627" s="2" t="str">
        <f t="shared" si="424"/>
        <v/>
      </c>
      <c r="C627">
        <v>1</v>
      </c>
      <c r="E627" t="s">
        <v>1037</v>
      </c>
      <c r="R627">
        <v>7</v>
      </c>
      <c r="S627" t="s">
        <v>22</v>
      </c>
      <c r="AA627" s="10">
        <f t="shared" si="425"/>
        <v>5740.7929999999997</v>
      </c>
      <c r="AB627" s="3">
        <f t="shared" si="426"/>
        <v>17414.37</v>
      </c>
      <c r="AC627" s="3" cm="1">
        <f t="array" ref="AC627">100000000/LvacE(AA627)</f>
        <v>17414.365850736278</v>
      </c>
      <c r="AD627" s="10">
        <f t="shared" si="427"/>
        <v>6.516721283169092E-3</v>
      </c>
      <c r="AE627" s="10" t="b">
        <f t="shared" si="428"/>
        <v>1</v>
      </c>
      <c r="AP627"/>
      <c r="AQ627"/>
      <c r="AU627" s="3" cm="1">
        <f t="array" ref="AU627">$C627*EXP(poly_from_str(100000000/$E627,AU$4341))</f>
        <v>4.760313611752668E-2</v>
      </c>
    </row>
    <row r="628" spans="1:48" x14ac:dyDescent="0.25">
      <c r="A628" t="s">
        <v>1038</v>
      </c>
      <c r="B628" s="2" t="str">
        <f t="shared" si="424"/>
        <v/>
      </c>
      <c r="C628">
        <v>5</v>
      </c>
      <c r="E628" t="s">
        <v>1039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425"/>
        <v>5737.4160000000002</v>
      </c>
      <c r="AB628" s="3">
        <f t="shared" si="426"/>
        <v>17424.62</v>
      </c>
      <c r="AC628" s="3" cm="1">
        <f t="array" ref="AC628">100000000/LvacE(AA628)</f>
        <v>17424.615715206251</v>
      </c>
      <c r="AD628" s="10">
        <f t="shared" si="427"/>
        <v>6.5185072613879007E-3</v>
      </c>
      <c r="AE628" s="10" t="b">
        <f t="shared" si="428"/>
        <v>1</v>
      </c>
      <c r="AJ628" t="s">
        <v>4856</v>
      </c>
      <c r="AK628" t="s">
        <v>4722</v>
      </c>
      <c r="AL628">
        <v>17095.63</v>
      </c>
      <c r="AM628">
        <v>34520.269999999997</v>
      </c>
      <c r="AN628" s="10" cm="1">
        <f t="array" ref="AN628">Lair(100000000/($AM628-$AL628))</f>
        <v>5737.4080113928803</v>
      </c>
      <c r="AO628" s="10">
        <f>100000000/($AM628-$AL628)</f>
        <v>5738.9994857856473</v>
      </c>
      <c r="AU628" s="3" cm="1">
        <f t="array" ref="AU628">$C628*EXP(poly_from_str($AO628,AU$4341))</f>
        <v>0.23924913038448764</v>
      </c>
    </row>
    <row r="629" spans="1:48" x14ac:dyDescent="0.25">
      <c r="A629" t="s">
        <v>1040</v>
      </c>
      <c r="B629" s="2" t="str">
        <f t="shared" si="424"/>
        <v/>
      </c>
      <c r="C629">
        <v>1</v>
      </c>
      <c r="E629" t="s">
        <v>1041</v>
      </c>
      <c r="R629">
        <v>7</v>
      </c>
      <c r="S629" t="s">
        <v>22</v>
      </c>
      <c r="AA629" s="10">
        <f t="shared" si="425"/>
        <v>5737.2420000000002</v>
      </c>
      <c r="AB629" s="3">
        <f t="shared" si="426"/>
        <v>17425.14</v>
      </c>
      <c r="AC629" s="3" cm="1">
        <f t="array" ref="AC629">100000000/LvacE(AA629)</f>
        <v>17425.1441665723</v>
      </c>
      <c r="AD629" s="10">
        <f t="shared" si="427"/>
        <v>6.5185993693984232E-3</v>
      </c>
      <c r="AE629" s="10" t="b">
        <f t="shared" si="428"/>
        <v>1</v>
      </c>
      <c r="AP629"/>
      <c r="AQ629"/>
      <c r="AU629" s="3" cm="1">
        <f t="array" ref="AU629">$C629*EXP(poly_from_str(100000000/$E629,AU$4341))</f>
        <v>4.7861863557126925E-2</v>
      </c>
    </row>
    <row r="630" spans="1:48" x14ac:dyDescent="0.25">
      <c r="A630" t="s">
        <v>1042</v>
      </c>
      <c r="B630" s="2" t="str">
        <f t="shared" si="424"/>
        <v/>
      </c>
      <c r="C630">
        <v>5</v>
      </c>
      <c r="D630" t="s">
        <v>14</v>
      </c>
      <c r="E630" t="s">
        <v>1043</v>
      </c>
      <c r="R630">
        <v>7</v>
      </c>
      <c r="S630" t="s">
        <v>22</v>
      </c>
      <c r="AA630" s="10">
        <f t="shared" si="425"/>
        <v>5736.0590000000002</v>
      </c>
      <c r="AB630" s="3">
        <f t="shared" si="426"/>
        <v>17428.740000000002</v>
      </c>
      <c r="AC630" s="3" cm="1">
        <f t="array" ref="AC630">100000000/LvacE(AA630)</f>
        <v>17428.73787840924</v>
      </c>
      <c r="AD630" s="10">
        <f t="shared" si="427"/>
        <v>6.519225820237313E-3</v>
      </c>
      <c r="AE630" s="10" t="b">
        <f t="shared" si="428"/>
        <v>1</v>
      </c>
      <c r="AP630"/>
      <c r="AQ630"/>
      <c r="AU630" s="3" cm="1">
        <f t="array" ref="AU630">$C630*EXP(poly_from_str(100000000/$E630,AU$4341))</f>
        <v>0.23974303982407855</v>
      </c>
    </row>
    <row r="631" spans="1:48" x14ac:dyDescent="0.25">
      <c r="A631" t="s">
        <v>1044</v>
      </c>
      <c r="B631" s="2" t="str">
        <f t="shared" si="424"/>
        <v/>
      </c>
      <c r="C631">
        <v>3</v>
      </c>
      <c r="E631" t="s">
        <v>1045</v>
      </c>
      <c r="R631">
        <v>7</v>
      </c>
      <c r="S631" t="s">
        <v>22</v>
      </c>
      <c r="AA631" s="10">
        <f t="shared" si="425"/>
        <v>5725.299</v>
      </c>
      <c r="AB631" s="3">
        <f t="shared" si="426"/>
        <v>17461.490000000002</v>
      </c>
      <c r="AC631" s="3" cm="1">
        <f t="array" ref="AC631">100000000/LvacE(AA631)</f>
        <v>17461.492739324083</v>
      </c>
      <c r="AD631" s="10">
        <f t="shared" si="427"/>
        <v>6.5249415567050807E-3</v>
      </c>
      <c r="AE631" s="10" t="b">
        <f t="shared" si="428"/>
        <v>1</v>
      </c>
      <c r="AP631"/>
      <c r="AQ631"/>
      <c r="AU631" s="3" cm="1">
        <f t="array" ref="AU631">$C631*EXP(poly_from_str(100000000/$E631,AU$4341))</f>
        <v>0.14623115630452466</v>
      </c>
    </row>
    <row r="632" spans="1:48" x14ac:dyDescent="0.25">
      <c r="A632" t="s">
        <v>1046</v>
      </c>
      <c r="B632" s="2" t="str">
        <f t="shared" si="424"/>
        <v/>
      </c>
      <c r="C632">
        <v>1</v>
      </c>
      <c r="E632" t="s">
        <v>1047</v>
      </c>
      <c r="R632">
        <v>7</v>
      </c>
      <c r="S632" t="s">
        <v>22</v>
      </c>
      <c r="AA632" s="10">
        <f t="shared" si="425"/>
        <v>5721.0159999999996</v>
      </c>
      <c r="AB632" s="3">
        <f t="shared" si="426"/>
        <v>17474.560000000001</v>
      </c>
      <c r="AC632" s="3" cm="1">
        <f t="array" ref="AC632">100000000/LvacE(AA632)</f>
        <v>17474.565038919565</v>
      </c>
      <c r="AD632" s="10">
        <f t="shared" si="427"/>
        <v>6.5272256745060285E-3</v>
      </c>
      <c r="AE632" s="10" t="b">
        <f t="shared" si="428"/>
        <v>1</v>
      </c>
      <c r="AP632"/>
      <c r="AQ632"/>
      <c r="AU632" s="3" cm="1">
        <f t="array" ref="AU632">$C632*EXP(poly_from_str(100000000/$E632,AU$4341))</f>
        <v>4.9064017121940535E-2</v>
      </c>
    </row>
    <row r="633" spans="1:48" x14ac:dyDescent="0.25">
      <c r="A633" t="s">
        <v>1048</v>
      </c>
      <c r="B633" s="2" t="str">
        <f t="shared" si="424"/>
        <v/>
      </c>
      <c r="C633">
        <v>2</v>
      </c>
      <c r="E633" t="s">
        <v>1049</v>
      </c>
      <c r="R633">
        <v>7</v>
      </c>
      <c r="S633" t="s">
        <v>22</v>
      </c>
      <c r="AA633" s="10">
        <f t="shared" si="425"/>
        <v>5720.6629999999996</v>
      </c>
      <c r="AB633" s="3">
        <f t="shared" si="426"/>
        <v>17475.64</v>
      </c>
      <c r="AC633" s="3" cm="1">
        <f t="array" ref="AC633">100000000/LvacE(AA633)</f>
        <v>17475.643316128931</v>
      </c>
      <c r="AD633" s="10">
        <f t="shared" si="427"/>
        <v>6.5274141577758502E-3</v>
      </c>
      <c r="AE633" s="10" t="b">
        <f t="shared" si="428"/>
        <v>1</v>
      </c>
      <c r="AP633"/>
      <c r="AQ633"/>
      <c r="AU633" s="3" cm="1">
        <f t="array" ref="AU633">$C633*EXP(poly_from_str(100000000/$E633,AU$4341))</f>
        <v>9.8181118983275209E-2</v>
      </c>
    </row>
    <row r="634" spans="1:48" x14ac:dyDescent="0.25">
      <c r="A634" t="s">
        <v>1050</v>
      </c>
      <c r="B634" s="2" t="str">
        <f t="shared" si="424"/>
        <v/>
      </c>
      <c r="C634">
        <v>5</v>
      </c>
      <c r="D634" t="s">
        <v>143</v>
      </c>
      <c r="E634" t="s">
        <v>1051</v>
      </c>
      <c r="R634">
        <v>7</v>
      </c>
      <c r="S634" t="s">
        <v>22</v>
      </c>
      <c r="AA634" s="10">
        <f t="shared" si="425"/>
        <v>5715.7060000000001</v>
      </c>
      <c r="AB634" s="3">
        <f t="shared" si="426"/>
        <v>17490.8</v>
      </c>
      <c r="AC634" s="3" cm="1">
        <f t="array" ref="AC634">100000000/LvacE(AA634)</f>
        <v>17490.799082916768</v>
      </c>
      <c r="AD634" s="10">
        <f t="shared" si="427"/>
        <v>6.530064622193371E-3</v>
      </c>
      <c r="AE634" s="10" t="b">
        <f t="shared" si="428"/>
        <v>1</v>
      </c>
      <c r="AP634"/>
      <c r="AQ634"/>
      <c r="AU634" s="3" cm="1">
        <f t="array" ref="AU634">$C634*EXP(poly_from_str(100000000/$E634,AU$4341))</f>
        <v>0.24732172593923718</v>
      </c>
    </row>
    <row r="635" spans="1:48" x14ac:dyDescent="0.25">
      <c r="A635" t="s">
        <v>1052</v>
      </c>
      <c r="B635" s="2" t="str">
        <f t="shared" si="424"/>
        <v/>
      </c>
      <c r="C635">
        <v>2</v>
      </c>
      <c r="D635" t="s">
        <v>14</v>
      </c>
      <c r="E635" t="s">
        <v>1053</v>
      </c>
      <c r="R635">
        <v>7</v>
      </c>
      <c r="S635" t="s">
        <v>22</v>
      </c>
      <c r="AA635" s="10">
        <f t="shared" si="425"/>
        <v>5706.4229999999998</v>
      </c>
      <c r="AB635" s="3">
        <f t="shared" si="426"/>
        <v>17519.25</v>
      </c>
      <c r="AC635" s="3" cm="1">
        <f t="array" ref="AC635">100000000/LvacE(AA635)</f>
        <v>17519.252192193348</v>
      </c>
      <c r="AD635" s="10">
        <f t="shared" si="427"/>
        <v>6.535046752772564E-3</v>
      </c>
      <c r="AE635" s="10" t="b">
        <f t="shared" si="428"/>
        <v>1</v>
      </c>
      <c r="AP635"/>
      <c r="AQ635"/>
      <c r="AU635" s="3" cm="1">
        <f t="array" ref="AU635">$C635*EXP(poly_from_str(100000000/$E635,AU$4341))</f>
        <v>0.10034370413389727</v>
      </c>
    </row>
    <row r="636" spans="1:48" x14ac:dyDescent="0.25">
      <c r="A636" t="s">
        <v>1054</v>
      </c>
      <c r="B636" s="2" t="str">
        <f t="shared" si="424"/>
        <v/>
      </c>
      <c r="C636">
        <v>1</v>
      </c>
      <c r="E636" t="s">
        <v>1055</v>
      </c>
      <c r="R636">
        <v>7</v>
      </c>
      <c r="S636" t="s">
        <v>22</v>
      </c>
      <c r="AA636" s="10">
        <f t="shared" si="425"/>
        <v>5697.8239999999996</v>
      </c>
      <c r="AB636" s="3">
        <f t="shared" si="426"/>
        <v>17545.689999999999</v>
      </c>
      <c r="AC636" s="3" cm="1">
        <f t="array" ref="AC636">100000000/LvacE(AA636)</f>
        <v>17545.691504866256</v>
      </c>
      <c r="AD636" s="10">
        <f t="shared" si="427"/>
        <v>6.5396835269803224E-3</v>
      </c>
      <c r="AE636" s="10" t="b">
        <f t="shared" si="428"/>
        <v>1</v>
      </c>
      <c r="AP636"/>
      <c r="AQ636"/>
      <c r="AU636" s="3" cm="1">
        <f t="array" ref="AU636">$C636*EXP(poly_from_str(100000000/$E636,AU$4341))</f>
        <v>5.0836339427425006E-2</v>
      </c>
    </row>
    <row r="637" spans="1:48" x14ac:dyDescent="0.25">
      <c r="A637" t="s">
        <v>1056</v>
      </c>
      <c r="B637" s="2" t="str">
        <f t="shared" si="424"/>
        <v/>
      </c>
      <c r="C637">
        <v>3</v>
      </c>
      <c r="E637" t="s">
        <v>1057</v>
      </c>
      <c r="R637">
        <v>7</v>
      </c>
      <c r="S637" t="s">
        <v>22</v>
      </c>
      <c r="AA637" s="10">
        <f t="shared" si="425"/>
        <v>5686.3990000000003</v>
      </c>
      <c r="AB637" s="3">
        <f t="shared" si="426"/>
        <v>17580.939999999999</v>
      </c>
      <c r="AC637" s="3" cm="1">
        <f t="array" ref="AC637">100000000/LvacE(AA637)</f>
        <v>17580.943607727131</v>
      </c>
      <c r="AD637" s="10">
        <f t="shared" si="427"/>
        <v>6.5458767145716587E-3</v>
      </c>
      <c r="AE637" s="10" t="b">
        <f t="shared" si="428"/>
        <v>1</v>
      </c>
      <c r="AP637"/>
      <c r="AQ637"/>
      <c r="AU637" s="3" cm="1">
        <f t="array" ref="AU637">$C637*EXP(poly_from_str(100000000/$E637,AU$4341))</f>
        <v>0.15519739577061165</v>
      </c>
    </row>
    <row r="638" spans="1:48" x14ac:dyDescent="0.25">
      <c r="A638" t="s">
        <v>1058</v>
      </c>
      <c r="B638" s="2" t="str">
        <f t="shared" si="424"/>
        <v/>
      </c>
      <c r="C638">
        <v>9</v>
      </c>
      <c r="E638" t="s">
        <v>1059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429">$G638&amp;""</f>
        <v>o</v>
      </c>
      <c r="N638" t="str">
        <f t="shared" ref="N638:N641" si="430">$H638&amp;""</f>
        <v>5/2</v>
      </c>
      <c r="O638">
        <v>36640.379999999997</v>
      </c>
      <c r="P638" t="str">
        <f t="shared" ref="P638:P641" si="431">$J638&amp;""</f>
        <v>e</v>
      </c>
      <c r="Q638" t="str">
        <f t="shared" ref="Q638:Q641" si="432">$K638&amp;""</f>
        <v>7/2</v>
      </c>
      <c r="R638">
        <v>7</v>
      </c>
      <c r="AA638" s="10">
        <f t="shared" si="425"/>
        <v>5682.09</v>
      </c>
      <c r="AB638" s="3">
        <f t="shared" si="426"/>
        <v>17594.28</v>
      </c>
      <c r="AC638" s="3" cm="1">
        <f t="array" ref="AC638">100000000/LvacE(AA638)</f>
        <v>17594.275942714219</v>
      </c>
      <c r="AD638" s="10">
        <f t="shared" si="427"/>
        <v>6.5482222160080372E-3</v>
      </c>
      <c r="AE638" s="10" t="b">
        <f t="shared" si="428"/>
        <v>1</v>
      </c>
      <c r="AJ638" t="s">
        <v>4983</v>
      </c>
      <c r="AK638" t="s">
        <v>4805</v>
      </c>
      <c r="AL638">
        <v>19046.09</v>
      </c>
      <c r="AM638">
        <v>36640.379999999997</v>
      </c>
      <c r="AN638" s="10" cm="1">
        <f t="array" ref="AN638">Lair(100000000/($AM638-$AL638))</f>
        <v>5682.0854674767761</v>
      </c>
      <c r="AO638" s="10">
        <f t="shared" ref="AO638:AO641" si="433">100000000/($AM638-$AL638)</f>
        <v>5683.6621426610573</v>
      </c>
      <c r="AU638" s="3" cm="1">
        <f t="array" ref="AU638">$C638*EXP(poly_from_str($AO638,AU$4341))</f>
        <v>0.4686735968189833</v>
      </c>
    </row>
    <row r="639" spans="1:48" x14ac:dyDescent="0.25">
      <c r="A639" t="s">
        <v>1060</v>
      </c>
      <c r="B639" s="2" t="str">
        <f t="shared" si="424"/>
        <v/>
      </c>
      <c r="C639">
        <v>2</v>
      </c>
      <c r="D639" t="s">
        <v>143</v>
      </c>
      <c r="E639" t="s">
        <v>1061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429"/>
        <v>o</v>
      </c>
      <c r="N639" t="str">
        <f t="shared" si="430"/>
        <v>5/2</v>
      </c>
      <c r="O639">
        <v>36652.29</v>
      </c>
      <c r="P639" t="str">
        <f t="shared" si="431"/>
        <v>e</v>
      </c>
      <c r="Q639" t="str">
        <f t="shared" si="432"/>
        <v>5/2</v>
      </c>
      <c r="R639">
        <v>7</v>
      </c>
      <c r="AA639" s="10">
        <f t="shared" si="425"/>
        <v>5678.24</v>
      </c>
      <c r="AB639" s="3">
        <f t="shared" si="426"/>
        <v>17606.2</v>
      </c>
      <c r="AC639" s="3" cm="1">
        <f t="array" ref="AC639">100000000/LvacE(AA639)</f>
        <v>17606.205217098461</v>
      </c>
      <c r="AD639" s="10">
        <f t="shared" si="427"/>
        <v>6.5503223901330751E-3</v>
      </c>
      <c r="AE639" s="10" t="b">
        <f t="shared" si="428"/>
        <v>1</v>
      </c>
      <c r="AJ639" t="s">
        <v>4983</v>
      </c>
      <c r="AK639" t="s">
        <v>4771</v>
      </c>
      <c r="AL639">
        <v>19046.09</v>
      </c>
      <c r="AM639">
        <v>36652.29</v>
      </c>
      <c r="AN639" s="10" cm="1">
        <f t="array" ref="AN639">Lair(100000000/($AM639-$AL639))</f>
        <v>5678.2416899086675</v>
      </c>
      <c r="AO639" s="10">
        <f t="shared" si="433"/>
        <v>5679.8173370744398</v>
      </c>
      <c r="AU639" s="3" cm="1">
        <f t="array" ref="AU639">$C639*EXP(poly_from_str($AO639,AU$4341))</f>
        <v>0.10476331747298462</v>
      </c>
    </row>
    <row r="640" spans="1:48" x14ac:dyDescent="0.25">
      <c r="A640" t="s">
        <v>1062</v>
      </c>
      <c r="B640" s="2" t="str">
        <f t="shared" si="424"/>
        <v/>
      </c>
      <c r="C640">
        <v>80</v>
      </c>
      <c r="E640" t="s">
        <v>1063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429"/>
        <v>o</v>
      </c>
      <c r="N640" t="str">
        <f t="shared" si="430"/>
        <v>9/2</v>
      </c>
      <c r="O640">
        <v>17627</v>
      </c>
      <c r="P640" t="str">
        <f t="shared" si="431"/>
        <v>e</v>
      </c>
      <c r="Q640" t="str">
        <f t="shared" si="432"/>
        <v>9/2</v>
      </c>
      <c r="R640">
        <v>8</v>
      </c>
      <c r="S640" t="s">
        <v>6</v>
      </c>
      <c r="AA640" s="10">
        <f t="shared" si="425"/>
        <v>5671.5360000000001</v>
      </c>
      <c r="AB640" s="3">
        <f t="shared" si="426"/>
        <v>17627.02</v>
      </c>
      <c r="AC640" s="3" cm="1">
        <f t="array" ref="AC640">100000000/LvacE(AA640)</f>
        <v>17627.016301309963</v>
      </c>
      <c r="AD640" s="10">
        <f t="shared" si="427"/>
        <v>6.5539896336115969E-3</v>
      </c>
      <c r="AE640" s="10" t="b">
        <f t="shared" si="428"/>
        <v>1</v>
      </c>
      <c r="AJ640" t="s">
        <v>4757</v>
      </c>
      <c r="AK640" t="s">
        <v>4820</v>
      </c>
      <c r="AL640">
        <v>0</v>
      </c>
      <c r="AM640">
        <v>17627</v>
      </c>
      <c r="AN640" s="10" cm="1">
        <f t="array" ref="AN640">Lair(100000000/($AM640-$AL640))</f>
        <v>5671.5412523023697</v>
      </c>
      <c r="AO640" s="10">
        <f t="shared" si="433"/>
        <v>5673.1151075055313</v>
      </c>
      <c r="AP640" s="12">
        <v>1240000</v>
      </c>
      <c r="AQ640" s="3">
        <v>0.313</v>
      </c>
      <c r="AR640" s="3">
        <f>LN(AU640*100000000/($AM640-$AL640)/AP640)</f>
        <v>-3.9440653937030672</v>
      </c>
      <c r="AS640" s="13">
        <f>EXP(AR$4341*$AM640+AR$4342)*$AP640/(100000000/($AM640-$AL640))</f>
        <v>5.1474143764538587</v>
      </c>
      <c r="AT640" s="3">
        <f>LN(AS640/$C640)</f>
        <v>-2.7435321088984708</v>
      </c>
      <c r="AU640" s="3" cm="1">
        <f t="array" ref="AU640">$C640*EXP(poly_from_str($AO640,AU$4341))</f>
        <v>4.2336431888979895</v>
      </c>
      <c r="AV640" s="13">
        <f>LN(AS640/AU640)</f>
        <v>0.19543162942967046</v>
      </c>
    </row>
    <row r="641" spans="1:48" x14ac:dyDescent="0.25">
      <c r="A641" t="s">
        <v>1064</v>
      </c>
      <c r="B641" s="2" t="str">
        <f t="shared" si="424"/>
        <v/>
      </c>
      <c r="C641">
        <v>4</v>
      </c>
      <c r="E641" t="s">
        <v>1065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429"/>
        <v>o</v>
      </c>
      <c r="N641" t="str">
        <f t="shared" si="430"/>
        <v>3/2</v>
      </c>
      <c r="O641">
        <v>38549.9</v>
      </c>
      <c r="P641" t="str">
        <f t="shared" si="431"/>
        <v>e</v>
      </c>
      <c r="Q641" t="str">
        <f t="shared" si="432"/>
        <v>1/2</v>
      </c>
      <c r="R641">
        <v>8</v>
      </c>
      <c r="AA641" s="10">
        <f t="shared" si="425"/>
        <v>5650.3739999999998</v>
      </c>
      <c r="AB641" s="3">
        <f t="shared" si="426"/>
        <v>17693.03</v>
      </c>
      <c r="AC641" s="3" cm="1">
        <f t="array" ref="AC641">100000000/LvacE(AA641)</f>
        <v>17693.033018945214</v>
      </c>
      <c r="AD641" s="10">
        <f t="shared" si="427"/>
        <v>6.5656514966040492E-3</v>
      </c>
      <c r="AE641" s="10" t="b">
        <f t="shared" si="428"/>
        <v>1</v>
      </c>
      <c r="AJ641" t="s">
        <v>4827</v>
      </c>
      <c r="AK641" t="s">
        <v>4704</v>
      </c>
      <c r="AL641">
        <v>20856.86</v>
      </c>
      <c r="AM641">
        <v>38549.9</v>
      </c>
      <c r="AN641" s="10" cm="1">
        <f t="array" ref="AN641">Lair(100000000/($AM641-$AL641))</f>
        <v>5650.3717776431458</v>
      </c>
      <c r="AO641" s="10">
        <f t="shared" si="433"/>
        <v>5651.9399718759469</v>
      </c>
      <c r="AU641" s="3" cm="1">
        <f t="array" ref="AU641">$C641*EXP(poly_from_str($AO641,AU$4341))</f>
        <v>0.21862569549483521</v>
      </c>
    </row>
    <row r="642" spans="1:48" x14ac:dyDescent="0.25">
      <c r="A642" t="s">
        <v>1066</v>
      </c>
      <c r="B642" s="2" t="str">
        <f t="shared" si="424"/>
        <v/>
      </c>
      <c r="C642">
        <v>1</v>
      </c>
      <c r="E642" t="s">
        <v>1067</v>
      </c>
      <c r="R642">
        <v>8</v>
      </c>
      <c r="S642" t="s">
        <v>22</v>
      </c>
      <c r="AA642" s="10">
        <f t="shared" si="425"/>
        <v>5647.6450000000004</v>
      </c>
      <c r="AB642" s="3">
        <f t="shared" si="426"/>
        <v>17701.580000000002</v>
      </c>
      <c r="AC642" s="3" cm="1">
        <f t="array" ref="AC642">100000000/LvacE(AA642)</f>
        <v>17701.582387257247</v>
      </c>
      <c r="AD642" s="10">
        <f t="shared" si="427"/>
        <v>6.5671649322201773E-3</v>
      </c>
      <c r="AE642" s="10" t="b">
        <f t="shared" si="428"/>
        <v>1</v>
      </c>
      <c r="AP642"/>
      <c r="AQ642"/>
      <c r="AU642" s="3" cm="1">
        <f t="array" ref="AU642">$C642*EXP(poly_from_str(100000000/$E642,AU$4341))</f>
        <v>5.4883581753424317E-2</v>
      </c>
    </row>
    <row r="643" spans="1:48" x14ac:dyDescent="0.25">
      <c r="A643" t="s">
        <v>1068</v>
      </c>
      <c r="B643" s="2" t="str">
        <f t="shared" ref="B643:B706" si="434">IF(OR(A643=A642,A643=A644),IF(B642="",1,B642+1),"")</f>
        <v/>
      </c>
      <c r="C643">
        <v>150</v>
      </c>
      <c r="E643" t="s">
        <v>1069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AA643" s="10">
        <f t="shared" ref="AA643:AA706" si="435">ROUND($A643,3)+0</f>
        <v>5646.799</v>
      </c>
      <c r="AB643" s="3">
        <f t="shared" ref="AB643:AB706" si="436">ROUND($E643,2)+0</f>
        <v>17704.23</v>
      </c>
      <c r="AC643" s="3" cm="1">
        <f t="array" ref="AC643">100000000/LvacE(AA643)</f>
        <v>17704.234400668101</v>
      </c>
      <c r="AD643" s="10">
        <f t="shared" ref="AD643:AD706" si="437">0.0005/$AA643*AC643+0.005</f>
        <v>6.5676345484112419E-3</v>
      </c>
      <c r="AE643" s="10" t="b">
        <f t="shared" ref="AE643:AE706" si="438">ABS(AB643-AC643)&lt;AD643</f>
        <v>1</v>
      </c>
      <c r="AJ643" t="s">
        <v>4778</v>
      </c>
      <c r="AK643" t="s">
        <v>4802</v>
      </c>
      <c r="AL643">
        <v>28101.77</v>
      </c>
      <c r="AM643">
        <v>45805.95</v>
      </c>
      <c r="AN643" s="10" cm="1">
        <f t="array" ref="AN643">Lair(100000000/($AM643-$AL643))</f>
        <v>5646.8163585054426</v>
      </c>
      <c r="AO643" s="10">
        <f>100000000/($AM643-$AL643)</f>
        <v>5648.3836020645986</v>
      </c>
      <c r="AP643" s="12">
        <v>13500000</v>
      </c>
      <c r="AQ643" s="3">
        <v>0.65900000000000003</v>
      </c>
      <c r="AR643" s="3">
        <f>LN(AU643*100000000/($AM643-$AL643)/AP643)</f>
        <v>-5.6697198358116827</v>
      </c>
      <c r="AS643" s="13">
        <f>EXP(AR$4341*$AM643+AR$4342)*$AP643/(100000000/($AM643-$AL643))</f>
        <v>6.7917109428397895</v>
      </c>
      <c r="AT643" s="3">
        <f>LN(AS643/$C643)</f>
        <v>-3.0949324044675541</v>
      </c>
      <c r="AU643" s="3" cm="1">
        <f t="array" ref="AU643">$C643*EXP(poly_from_str($AO643,AU$4341))</f>
        <v>8.2429287575967916</v>
      </c>
      <c r="AV643" s="13">
        <f>LN(AS643/AU643)</f>
        <v>-0.19365282288896221</v>
      </c>
    </row>
    <row r="644" spans="1:48" x14ac:dyDescent="0.25">
      <c r="A644" t="s">
        <v>1070</v>
      </c>
      <c r="B644" s="2" t="str">
        <f t="shared" si="434"/>
        <v/>
      </c>
      <c r="C644">
        <v>5</v>
      </c>
      <c r="E644" t="s">
        <v>1071</v>
      </c>
      <c r="R644">
        <v>8</v>
      </c>
      <c r="S644" t="s">
        <v>22</v>
      </c>
      <c r="AA644" s="10">
        <f t="shared" si="435"/>
        <v>5644.4620000000004</v>
      </c>
      <c r="AB644" s="3">
        <f t="shared" si="436"/>
        <v>17711.560000000001</v>
      </c>
      <c r="AC644" s="3" cm="1">
        <f t="array" ref="AC644">100000000/LvacE(AA644)</f>
        <v>17711.564483760943</v>
      </c>
      <c r="AD644" s="10">
        <f t="shared" si="437"/>
        <v>6.5689329190063593E-3</v>
      </c>
      <c r="AE644" s="10" t="b">
        <f t="shared" si="438"/>
        <v>1</v>
      </c>
      <c r="AP644"/>
      <c r="AQ644"/>
      <c r="AU644" s="3" cm="1">
        <f t="array" ref="AU644">$C644*EXP(poly_from_str(100000000/$E644,AU$4341))</f>
        <v>0.27574898282902577</v>
      </c>
    </row>
    <row r="645" spans="1:48" x14ac:dyDescent="0.25">
      <c r="A645" t="s">
        <v>1072</v>
      </c>
      <c r="B645" s="2" t="str">
        <f t="shared" si="434"/>
        <v/>
      </c>
      <c r="C645">
        <v>9</v>
      </c>
      <c r="D645" t="s">
        <v>14</v>
      </c>
      <c r="E645" t="s">
        <v>1073</v>
      </c>
      <c r="R645">
        <v>8</v>
      </c>
      <c r="S645" t="s">
        <v>22</v>
      </c>
      <c r="AA645" s="10">
        <f t="shared" si="435"/>
        <v>5640.0050000000001</v>
      </c>
      <c r="AB645" s="3">
        <f t="shared" si="436"/>
        <v>17725.560000000001</v>
      </c>
      <c r="AC645" s="3" cm="1">
        <f t="array" ref="AC645">100000000/LvacE(AA645)</f>
        <v>17725.560861385868</v>
      </c>
      <c r="AD645" s="10">
        <f t="shared" si="437"/>
        <v>6.5714135768838739E-3</v>
      </c>
      <c r="AE645" s="10" t="b">
        <f t="shared" si="438"/>
        <v>1</v>
      </c>
      <c r="AP645"/>
      <c r="AQ645"/>
      <c r="AU645" s="3" cm="1">
        <f t="array" ref="AU645">$C645*EXP(poly_from_str(100000000/$E645,AU$4341))</f>
        <v>0.49972136385973653</v>
      </c>
    </row>
    <row r="646" spans="1:48" x14ac:dyDescent="0.25">
      <c r="A646" t="s">
        <v>1074</v>
      </c>
      <c r="B646" s="2" t="str">
        <f t="shared" si="434"/>
        <v/>
      </c>
      <c r="C646">
        <v>8</v>
      </c>
      <c r="E646" t="s">
        <v>1075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439">$G646&amp;""</f>
        <v>e</v>
      </c>
      <c r="N646" t="str">
        <f t="shared" ref="N646:N647" si="440">$H646&amp;""</f>
        <v>5/2</v>
      </c>
      <c r="O646">
        <v>63576.27</v>
      </c>
      <c r="P646" t="str">
        <f t="shared" ref="P646:P647" si="441">$J646&amp;""</f>
        <v>o</v>
      </c>
      <c r="Q646" t="str">
        <f t="shared" ref="Q646:Q647" si="442">$K646&amp;""</f>
        <v>5/2</v>
      </c>
      <c r="R646">
        <v>8</v>
      </c>
      <c r="AA646" s="10">
        <f t="shared" si="435"/>
        <v>5626.1940000000004</v>
      </c>
      <c r="AB646" s="3">
        <f t="shared" si="436"/>
        <v>17769.07</v>
      </c>
      <c r="AC646" s="3" cm="1">
        <f t="array" ref="AC646">100000000/LvacE(AA646)</f>
        <v>17769.072553269496</v>
      </c>
      <c r="AD646" s="10">
        <f t="shared" si="437"/>
        <v>6.5791379175042216E-3</v>
      </c>
      <c r="AE646" s="10" t="b">
        <f t="shared" si="438"/>
        <v>1</v>
      </c>
      <c r="AJ646" t="s">
        <v>4972</v>
      </c>
      <c r="AK646" t="s">
        <v>4843</v>
      </c>
      <c r="AL646">
        <v>45807.1</v>
      </c>
      <c r="AM646">
        <v>63576.27</v>
      </c>
      <c r="AN646" s="10" cm="1">
        <f t="array" ref="AN646">Lair(100000000/($AM646-$AL646))</f>
        <v>5626.1631523772812</v>
      </c>
      <c r="AO646" s="10">
        <f t="shared" ref="AO646:AO647" si="443">100000000/($AM646-$AL646)</f>
        <v>5627.7248740374489</v>
      </c>
      <c r="AU646" s="3" cm="1">
        <f t="array" ref="AU646">$C646*EXP(poly_from_str($AO646,AU$4341))</f>
        <v>0.45361540957837582</v>
      </c>
    </row>
    <row r="647" spans="1:48" x14ac:dyDescent="0.25">
      <c r="A647" t="s">
        <v>1076</v>
      </c>
      <c r="B647" s="2" t="str">
        <f t="shared" si="434"/>
        <v/>
      </c>
      <c r="C647">
        <v>10</v>
      </c>
      <c r="E647" t="s">
        <v>1077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439"/>
        <v>o</v>
      </c>
      <c r="N647" t="str">
        <f t="shared" si="440"/>
        <v>5/2</v>
      </c>
      <c r="O647">
        <v>41023.980000000003</v>
      </c>
      <c r="P647" t="str">
        <f t="shared" si="441"/>
        <v>e</v>
      </c>
      <c r="Q647" t="str">
        <f t="shared" si="442"/>
        <v>7/2</v>
      </c>
      <c r="R647">
        <v>8</v>
      </c>
      <c r="S647" t="s">
        <v>1078</v>
      </c>
      <c r="AA647" s="10">
        <f t="shared" si="435"/>
        <v>5623.3680000000004</v>
      </c>
      <c r="AB647" s="3">
        <f t="shared" si="436"/>
        <v>17778</v>
      </c>
      <c r="AC647" s="3" cm="1">
        <f t="array" ref="AC647">100000000/LvacE(AA647)</f>
        <v>17778.002234710919</v>
      </c>
      <c r="AD647" s="10">
        <f t="shared" si="437"/>
        <v>6.5807254864621093E-3</v>
      </c>
      <c r="AE647" s="10" t="b">
        <f t="shared" si="438"/>
        <v>1</v>
      </c>
      <c r="AJ647" t="s">
        <v>4990</v>
      </c>
      <c r="AK647" t="s">
        <v>4711</v>
      </c>
      <c r="AL647">
        <v>23245.99</v>
      </c>
      <c r="AM647">
        <v>41023.980000000003</v>
      </c>
      <c r="AN647" s="10" cm="1">
        <f t="array" ref="AN647">Lair(100000000/($AM647-$AL647))</f>
        <v>5623.3718769207508</v>
      </c>
      <c r="AO647" s="10">
        <f t="shared" si="443"/>
        <v>5624.9328523640743</v>
      </c>
      <c r="AU647" s="3" cm="1">
        <f t="array" ref="AU647">$C647*EXP(poly_from_str($AO647,AU$4341))</f>
        <v>0.56941793513573313</v>
      </c>
    </row>
    <row r="648" spans="1:48" x14ac:dyDescent="0.25">
      <c r="A648" t="s">
        <v>1079</v>
      </c>
      <c r="B648" s="2" t="str">
        <f t="shared" si="434"/>
        <v/>
      </c>
      <c r="C648">
        <v>1</v>
      </c>
      <c r="E648" t="s">
        <v>1080</v>
      </c>
      <c r="R648">
        <v>8</v>
      </c>
      <c r="S648" t="s">
        <v>22</v>
      </c>
      <c r="AA648" s="10">
        <f t="shared" si="435"/>
        <v>5618.7340000000004</v>
      </c>
      <c r="AB648" s="3">
        <f t="shared" si="436"/>
        <v>17792.66</v>
      </c>
      <c r="AC648" s="3" cm="1">
        <f t="array" ref="AC648">100000000/LvacE(AA648)</f>
        <v>17792.66433074369</v>
      </c>
      <c r="AD648" s="10">
        <f t="shared" si="437"/>
        <v>6.5833339263563365E-3</v>
      </c>
      <c r="AE648" s="10" t="b">
        <f t="shared" si="438"/>
        <v>1</v>
      </c>
      <c r="AP648"/>
      <c r="AQ648"/>
      <c r="AU648" s="3" cm="1">
        <f t="array" ref="AU648">$C648*EXP(poly_from_str(100000000/$E648,AU$4341))</f>
        <v>5.7342022675750719E-2</v>
      </c>
    </row>
    <row r="649" spans="1:48" x14ac:dyDescent="0.25">
      <c r="A649" t="s">
        <v>1081</v>
      </c>
      <c r="B649" s="2" t="str">
        <f t="shared" si="434"/>
        <v/>
      </c>
      <c r="C649">
        <v>9</v>
      </c>
      <c r="D649" t="s">
        <v>14</v>
      </c>
      <c r="E649" t="s">
        <v>1082</v>
      </c>
      <c r="R649">
        <v>8</v>
      </c>
      <c r="S649" t="s">
        <v>22</v>
      </c>
      <c r="AA649" s="10">
        <f t="shared" si="435"/>
        <v>5613.201</v>
      </c>
      <c r="AB649" s="3">
        <f t="shared" si="436"/>
        <v>17810.2</v>
      </c>
      <c r="AC649" s="3" cm="1">
        <f t="array" ref="AC649">100000000/LvacE(AA649)</f>
        <v>17810.202594582999</v>
      </c>
      <c r="AD649" s="10">
        <f t="shared" si="437"/>
        <v>6.5864568714520469E-3</v>
      </c>
      <c r="AE649" s="10" t="b">
        <f t="shared" si="438"/>
        <v>1</v>
      </c>
      <c r="AP649"/>
      <c r="AQ649"/>
      <c r="AU649" s="3" cm="1">
        <f t="array" ref="AU649">$C649*EXP(poly_from_str(100000000/$E649,AU$4341))</f>
        <v>0.5204032526045842</v>
      </c>
    </row>
    <row r="650" spans="1:48" x14ac:dyDescent="0.25">
      <c r="A650" t="s">
        <v>1083</v>
      </c>
      <c r="B650" s="2" t="str">
        <f t="shared" si="434"/>
        <v/>
      </c>
      <c r="C650">
        <v>9</v>
      </c>
      <c r="E650" t="s">
        <v>1084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435"/>
        <v>5604.5720000000001</v>
      </c>
      <c r="AB650" s="3">
        <f t="shared" si="436"/>
        <v>17837.62</v>
      </c>
      <c r="AC650" s="3" cm="1">
        <f t="array" ref="AC650">100000000/LvacE(AA650)</f>
        <v>17837.623538464195</v>
      </c>
      <c r="AD650" s="10">
        <f t="shared" si="437"/>
        <v>6.5913457386633798E-3</v>
      </c>
      <c r="AE650" s="10" t="b">
        <f t="shared" si="438"/>
        <v>1</v>
      </c>
      <c r="AJ650" t="s">
        <v>4827</v>
      </c>
      <c r="AK650" t="s">
        <v>4794</v>
      </c>
      <c r="AL650">
        <v>20856.86</v>
      </c>
      <c r="AM650">
        <v>38694.51</v>
      </c>
      <c r="AN650" s="10" cm="1">
        <f t="array" ref="AN650">Lair(100000000/($AM650-$AL650))</f>
        <v>5604.5636925020026</v>
      </c>
      <c r="AO650" s="10">
        <f>100000000/($AM650-$AL650)</f>
        <v>5606.1196401992411</v>
      </c>
      <c r="AP650" s="12">
        <v>389000</v>
      </c>
      <c r="AQ650" s="3">
        <v>6.3E-2</v>
      </c>
      <c r="AR650" s="3">
        <f>LN(AU650*100000000/($AM650-$AL650)/AP650)</f>
        <v>-4.8798757187913644</v>
      </c>
      <c r="AS650" s="13">
        <f>EXP(AR$4341*$AM650+AR$4342)*$AP650/(100000000/($AM650-$AL650))</f>
        <v>0.33622941174743948</v>
      </c>
      <c r="AT650" s="3">
        <f>LN(AS650/$C650)</f>
        <v>-3.2871861562807769</v>
      </c>
      <c r="AU650" s="3" cm="1">
        <f t="array" ref="AU650">$C650*EXP(poly_from_str($AO650,AU$4341))</f>
        <v>0.52721061087697807</v>
      </c>
      <c r="AV650" s="13">
        <f>LN(AS650/AU650)</f>
        <v>-0.44980640980132069</v>
      </c>
    </row>
    <row r="651" spans="1:48" x14ac:dyDescent="0.25">
      <c r="A651" t="s">
        <v>1085</v>
      </c>
      <c r="B651" s="2" t="str">
        <f t="shared" si="434"/>
        <v/>
      </c>
      <c r="C651">
        <v>6</v>
      </c>
      <c r="E651" t="s">
        <v>1086</v>
      </c>
      <c r="R651">
        <v>8</v>
      </c>
      <c r="S651" t="s">
        <v>22</v>
      </c>
      <c r="AA651" s="10">
        <f t="shared" si="435"/>
        <v>5601.16</v>
      </c>
      <c r="AB651" s="3">
        <f t="shared" si="436"/>
        <v>17848.490000000002</v>
      </c>
      <c r="AC651" s="3" cm="1">
        <f t="array" ref="AC651">100000000/LvacE(AA651)</f>
        <v>17848.489384667697</v>
      </c>
      <c r="AD651" s="10">
        <f t="shared" si="437"/>
        <v>6.5932850860060859E-3</v>
      </c>
      <c r="AE651" s="10" t="b">
        <f t="shared" si="438"/>
        <v>1</v>
      </c>
      <c r="AP651"/>
      <c r="AQ651"/>
      <c r="AU651" s="3" cm="1">
        <f t="array" ref="AU651">$C651*EXP(poly_from_str(100000000/$E651,AU$4341))</f>
        <v>0.35327427726125099</v>
      </c>
    </row>
    <row r="652" spans="1:48" x14ac:dyDescent="0.25">
      <c r="A652" t="s">
        <v>1087</v>
      </c>
      <c r="B652" s="2" t="str">
        <f t="shared" si="434"/>
        <v/>
      </c>
      <c r="C652">
        <v>9</v>
      </c>
      <c r="D652" t="s">
        <v>14</v>
      </c>
      <c r="E652" t="s">
        <v>1088</v>
      </c>
      <c r="R652">
        <v>8</v>
      </c>
      <c r="S652" t="s">
        <v>22</v>
      </c>
      <c r="AA652" s="10">
        <f t="shared" si="435"/>
        <v>5598.3289999999997</v>
      </c>
      <c r="AB652" s="3">
        <f t="shared" si="436"/>
        <v>17857.509999999998</v>
      </c>
      <c r="AC652" s="3" cm="1">
        <f t="array" ref="AC652">100000000/LvacE(AA652)</f>
        <v>17857.515033419684</v>
      </c>
      <c r="AD652" s="10">
        <f t="shared" si="437"/>
        <v>6.5948968909669012E-3</v>
      </c>
      <c r="AE652" s="10" t="b">
        <f t="shared" si="438"/>
        <v>1</v>
      </c>
      <c r="AP652"/>
      <c r="AQ652"/>
      <c r="AU652" s="3" cm="1">
        <f t="array" ref="AU652">$C652*EXP(poly_from_str(100000000/$E652,AU$4341))</f>
        <v>0.53216403624679154</v>
      </c>
    </row>
    <row r="653" spans="1:48" x14ac:dyDescent="0.25">
      <c r="A653" t="s">
        <v>1089</v>
      </c>
      <c r="B653" s="2" t="str">
        <f t="shared" si="434"/>
        <v/>
      </c>
      <c r="C653">
        <v>8</v>
      </c>
      <c r="E653" t="s">
        <v>1090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435"/>
        <v>5597.6149999999998</v>
      </c>
      <c r="AB653" s="3">
        <f t="shared" si="436"/>
        <v>17859.79</v>
      </c>
      <c r="AC653" s="3" cm="1">
        <f t="array" ref="AC653">100000000/LvacE(AA653)</f>
        <v>17859.792813130618</v>
      </c>
      <c r="AD653" s="10">
        <f t="shared" si="437"/>
        <v>6.5953037868030067E-3</v>
      </c>
      <c r="AE653" s="10" t="b">
        <f t="shared" si="438"/>
        <v>1</v>
      </c>
      <c r="AJ653" t="s">
        <v>4790</v>
      </c>
      <c r="AK653" t="s">
        <v>4752</v>
      </c>
      <c r="AL653">
        <v>22080.94</v>
      </c>
      <c r="AM653">
        <v>39940.720000000001</v>
      </c>
      <c r="AN653" s="10" cm="1">
        <f t="array" ref="AN653">Lair(100000000/($AM653-$AL653))</f>
        <v>5597.619022661117</v>
      </c>
      <c r="AO653" s="10">
        <f>100000000/($AM653-$AL653)</f>
        <v>5599.1731141145065</v>
      </c>
      <c r="AP653" s="12">
        <v>74900</v>
      </c>
      <c r="AQ653" s="3">
        <v>1.4999999999999999E-2</v>
      </c>
      <c r="AR653" s="3"/>
      <c r="AS653" s="13">
        <f>EXP(AR$4341*$AM653+AR$4342)*$AP653/(100000000/($AM653-$AL653))</f>
        <v>5.90322609147595E-2</v>
      </c>
      <c r="AT653" s="3"/>
      <c r="AU653" s="3" cm="1">
        <f t="array" ref="AU653">$C653*EXP(poly_from_str($AO653,AU$4341))</f>
        <v>0.47353927177490962</v>
      </c>
    </row>
    <row r="654" spans="1:48" x14ac:dyDescent="0.25">
      <c r="A654" t="s">
        <v>1091</v>
      </c>
      <c r="B654" s="2" t="str">
        <f t="shared" si="434"/>
        <v/>
      </c>
      <c r="C654">
        <v>6</v>
      </c>
      <c r="D654" t="s">
        <v>143</v>
      </c>
      <c r="E654" t="s">
        <v>1092</v>
      </c>
      <c r="R654">
        <v>8</v>
      </c>
      <c r="S654" t="s">
        <v>22</v>
      </c>
      <c r="AA654" s="10">
        <f t="shared" si="435"/>
        <v>5594.8530000000001</v>
      </c>
      <c r="AB654" s="3">
        <f t="shared" si="436"/>
        <v>17868.61</v>
      </c>
      <c r="AC654" s="3" cm="1">
        <f t="array" ref="AC654">100000000/LvacE(AA654)</f>
        <v>17868.609530421629</v>
      </c>
      <c r="AD654" s="10">
        <f t="shared" si="437"/>
        <v>6.5968792683580458E-3</v>
      </c>
      <c r="AE654" s="10" t="b">
        <f t="shared" si="438"/>
        <v>1</v>
      </c>
      <c r="AP654"/>
      <c r="AQ654"/>
      <c r="AU654" s="3" cm="1">
        <f t="array" ref="AU654">$C654*EXP(poly_from_str(100000000/$E654,AU$4341))</f>
        <v>0.35662836513895257</v>
      </c>
    </row>
    <row r="655" spans="1:48" x14ac:dyDescent="0.25">
      <c r="A655" t="s">
        <v>1093</v>
      </c>
      <c r="B655" s="2" t="str">
        <f t="shared" si="434"/>
        <v/>
      </c>
      <c r="C655">
        <v>20</v>
      </c>
      <c r="E655" t="s">
        <v>1094</v>
      </c>
      <c r="R655">
        <v>8</v>
      </c>
      <c r="S655" t="s">
        <v>22</v>
      </c>
      <c r="AA655" s="10">
        <f t="shared" si="435"/>
        <v>5594.2910000000002</v>
      </c>
      <c r="AB655" s="3">
        <f t="shared" si="436"/>
        <v>17870.400000000001</v>
      </c>
      <c r="AC655" s="3" cm="1">
        <f t="array" ref="AC655">100000000/LvacE(AA655)</f>
        <v>17870.404584445874</v>
      </c>
      <c r="AD655" s="10">
        <f t="shared" si="437"/>
        <v>6.5972001263829389E-3</v>
      </c>
      <c r="AE655" s="10" t="b">
        <f t="shared" si="438"/>
        <v>1</v>
      </c>
      <c r="AP655"/>
      <c r="AQ655"/>
      <c r="AU655" s="3" cm="1">
        <f t="array" ref="AU655">$C655*EXP(poly_from_str(100000000/$E655,AU$4341))</f>
        <v>1.1897583766470792</v>
      </c>
    </row>
    <row r="656" spans="1:48" x14ac:dyDescent="0.25">
      <c r="A656" t="s">
        <v>1095</v>
      </c>
      <c r="B656" s="2" t="str">
        <f t="shared" si="434"/>
        <v/>
      </c>
      <c r="C656">
        <v>9</v>
      </c>
      <c r="E656" t="s">
        <v>1096</v>
      </c>
      <c r="R656">
        <v>8</v>
      </c>
      <c r="S656" t="s">
        <v>22</v>
      </c>
      <c r="AA656" s="10">
        <f t="shared" si="435"/>
        <v>5590.7640000000001</v>
      </c>
      <c r="AB656" s="3">
        <f t="shared" si="436"/>
        <v>17881.68</v>
      </c>
      <c r="AC656" s="3" cm="1">
        <f t="array" ref="AC656">100000000/LvacE(AA656)</f>
        <v>17881.678224979307</v>
      </c>
      <c r="AD656" s="10">
        <f t="shared" si="437"/>
        <v>6.5992159770095205E-3</v>
      </c>
      <c r="AE656" s="10" t="b">
        <f t="shared" si="438"/>
        <v>1</v>
      </c>
      <c r="AP656"/>
      <c r="AQ656"/>
      <c r="AU656" s="3" cm="1">
        <f t="array" ref="AU656">$C656*EXP(poly_from_str(100000000/$E656,AU$4341))</f>
        <v>0.53822308726758972</v>
      </c>
    </row>
    <row r="657" spans="1:48" x14ac:dyDescent="0.25">
      <c r="A657" t="s">
        <v>1097</v>
      </c>
      <c r="B657" s="2" t="str">
        <f t="shared" si="434"/>
        <v/>
      </c>
      <c r="C657">
        <v>4</v>
      </c>
      <c r="E657" t="s">
        <v>1098</v>
      </c>
      <c r="R657">
        <v>8</v>
      </c>
      <c r="S657" t="s">
        <v>22</v>
      </c>
      <c r="AA657" s="10">
        <f t="shared" si="435"/>
        <v>5588.8909999999996</v>
      </c>
      <c r="AB657" s="3">
        <f t="shared" si="436"/>
        <v>17887.669999999998</v>
      </c>
      <c r="AC657" s="3" cm="1">
        <f t="array" ref="AC657">100000000/LvacE(AA657)</f>
        <v>17887.670833503227</v>
      </c>
      <c r="AD657" s="10">
        <f t="shared" si="437"/>
        <v>6.6002880386737935E-3</v>
      </c>
      <c r="AE657" s="10" t="b">
        <f t="shared" si="438"/>
        <v>1</v>
      </c>
      <c r="AP657"/>
      <c r="AQ657"/>
      <c r="AU657" s="3" cm="1">
        <f t="array" ref="AU657">$C657*EXP(poly_from_str(100000000/$E657,AU$4341))</f>
        <v>0.23987987264023738</v>
      </c>
    </row>
    <row r="658" spans="1:48" x14ac:dyDescent="0.25">
      <c r="A658" t="s">
        <v>1099</v>
      </c>
      <c r="B658" s="2" t="str">
        <f t="shared" si="434"/>
        <v/>
      </c>
      <c r="C658">
        <v>100</v>
      </c>
      <c r="E658" t="s">
        <v>1100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435"/>
        <v>5581.7349999999997</v>
      </c>
      <c r="AB658" s="3">
        <f t="shared" si="436"/>
        <v>17910.599999999999</v>
      </c>
      <c r="AC658" s="3" cm="1">
        <f t="array" ref="AC658">100000000/LvacE(AA658)</f>
        <v>17910.603280419222</v>
      </c>
      <c r="AD658" s="10">
        <f t="shared" si="437"/>
        <v>6.6043939098165017E-3</v>
      </c>
      <c r="AE658" s="10" t="b">
        <f t="shared" si="438"/>
        <v>1</v>
      </c>
      <c r="AJ658" t="s">
        <v>4826</v>
      </c>
      <c r="AK658" t="s">
        <v>4813</v>
      </c>
      <c r="AL658">
        <v>1398.34</v>
      </c>
      <c r="AM658">
        <v>19308.93</v>
      </c>
      <c r="AN658" s="10" cm="1">
        <f t="array" ref="AN658">Lair(100000000/($AM658-$AL658))</f>
        <v>5581.7391454232975</v>
      </c>
      <c r="AO658" s="10">
        <f>100000000/($AM658-$AL658)</f>
        <v>5583.2889927132492</v>
      </c>
      <c r="AP658" s="12">
        <v>1660000</v>
      </c>
      <c r="AQ658" s="3">
        <v>0.32300000000000001</v>
      </c>
      <c r="AR658" s="3">
        <f>LN(AU658*100000000/($AM658-$AL658)/AP658)</f>
        <v>-3.8928790724788955</v>
      </c>
      <c r="AS658" s="13">
        <f>EXP(AR$4341*$AM658+AR$4342)*$AP658/(100000000/($AM658-$AL658))</f>
        <v>6.1714739072998368</v>
      </c>
      <c r="AT658" s="3">
        <f>LN(AS658/$C658)</f>
        <v>-2.7852324937300712</v>
      </c>
      <c r="AU658" s="3" cm="1">
        <f t="array" ref="AU658">$C658*EXP(poly_from_str($AO658,AU$4341))</f>
        <v>6.0612483723511446</v>
      </c>
      <c r="AV658" s="13">
        <f>LN(AS658/AU658)</f>
        <v>1.8021911354160904E-2</v>
      </c>
    </row>
    <row r="659" spans="1:48" x14ac:dyDescent="0.25">
      <c r="A659" t="s">
        <v>1101</v>
      </c>
      <c r="B659" s="2" t="str">
        <f t="shared" si="434"/>
        <v/>
      </c>
      <c r="C659">
        <v>4</v>
      </c>
      <c r="E659" t="s">
        <v>1102</v>
      </c>
      <c r="R659">
        <v>8</v>
      </c>
      <c r="S659" t="s">
        <v>22</v>
      </c>
      <c r="AA659" s="10">
        <f t="shared" si="435"/>
        <v>5581.2209999999995</v>
      </c>
      <c r="AB659" s="3">
        <f t="shared" si="436"/>
        <v>17912.25</v>
      </c>
      <c r="AC659" s="3" cm="1">
        <f t="array" ref="AC659">100000000/LvacE(AA659)</f>
        <v>17912.252732086799</v>
      </c>
      <c r="AD659" s="10">
        <f t="shared" si="437"/>
        <v>6.6046894337356294E-3</v>
      </c>
      <c r="AE659" s="10" t="b">
        <f t="shared" si="438"/>
        <v>1</v>
      </c>
      <c r="AP659"/>
      <c r="AQ659"/>
      <c r="AU659" s="3" cm="1">
        <f t="array" ref="AU659">$C659*EXP(poly_from_str(100000000/$E659,AU$4341))</f>
        <v>0.24263654732881185</v>
      </c>
    </row>
    <row r="660" spans="1:48" x14ac:dyDescent="0.25">
      <c r="A660" t="s">
        <v>1103</v>
      </c>
      <c r="B660" s="2" t="str">
        <f t="shared" si="434"/>
        <v/>
      </c>
      <c r="C660">
        <v>9</v>
      </c>
      <c r="E660" t="s">
        <v>1104</v>
      </c>
      <c r="R660">
        <v>8</v>
      </c>
      <c r="S660" t="s">
        <v>22</v>
      </c>
      <c r="AA660" s="10">
        <f t="shared" si="435"/>
        <v>5579.5259999999998</v>
      </c>
      <c r="AB660" s="3">
        <f t="shared" si="436"/>
        <v>17917.689999999999</v>
      </c>
      <c r="AC660" s="3" cm="1">
        <f t="array" ref="AC660">100000000/LvacE(AA660)</f>
        <v>17917.694225193456</v>
      </c>
      <c r="AD660" s="10">
        <f t="shared" si="437"/>
        <v>6.6056645515401718E-3</v>
      </c>
      <c r="AE660" s="10" t="b">
        <f t="shared" si="438"/>
        <v>1</v>
      </c>
      <c r="AP660"/>
      <c r="AQ660"/>
      <c r="AU660" s="3" cm="1">
        <f t="array" ref="AU660">$C660*EXP(poly_from_str(100000000/$E660,AU$4341))</f>
        <v>0.54730920150585649</v>
      </c>
    </row>
    <row r="661" spans="1:48" x14ac:dyDescent="0.25">
      <c r="A661" t="s">
        <v>1105</v>
      </c>
      <c r="B661" s="2" t="str">
        <f t="shared" si="434"/>
        <v/>
      </c>
      <c r="C661">
        <v>5</v>
      </c>
      <c r="E661" t="s">
        <v>1106</v>
      </c>
      <c r="R661">
        <v>8</v>
      </c>
      <c r="S661" t="s">
        <v>22</v>
      </c>
      <c r="AA661" s="10">
        <f t="shared" si="435"/>
        <v>5575.9690000000001</v>
      </c>
      <c r="AB661" s="3">
        <f t="shared" si="436"/>
        <v>17929.12</v>
      </c>
      <c r="AC661" s="3" cm="1">
        <f t="array" ref="AC661">100000000/LvacE(AA661)</f>
        <v>17929.124090390254</v>
      </c>
      <c r="AD661" s="10">
        <f t="shared" si="437"/>
        <v>6.6077137525684107E-3</v>
      </c>
      <c r="AE661" s="10" t="b">
        <f t="shared" si="438"/>
        <v>1</v>
      </c>
      <c r="AP661"/>
      <c r="AQ661"/>
      <c r="AU661" s="3" cm="1">
        <f t="array" ref="AU661">$C661*EXP(poly_from_str(100000000/$E661,AU$4341))</f>
        <v>0.30567066425644496</v>
      </c>
    </row>
    <row r="662" spans="1:48" x14ac:dyDescent="0.25">
      <c r="A662" t="s">
        <v>1107</v>
      </c>
      <c r="B662" s="2" t="str">
        <f t="shared" si="434"/>
        <v/>
      </c>
      <c r="C662">
        <v>1</v>
      </c>
      <c r="E662" t="s">
        <v>1108</v>
      </c>
      <c r="R662">
        <v>8</v>
      </c>
      <c r="S662" t="s">
        <v>22</v>
      </c>
      <c r="AA662" s="10">
        <f t="shared" si="435"/>
        <v>5575.8069999999998</v>
      </c>
      <c r="AB662" s="3">
        <f t="shared" si="436"/>
        <v>17929.64</v>
      </c>
      <c r="AC662" s="3" cm="1">
        <f t="array" ref="AC662">100000000/LvacE(AA662)</f>
        <v>17929.644999348209</v>
      </c>
      <c r="AD662" s="10">
        <f t="shared" si="437"/>
        <v>6.6078071747594754E-3</v>
      </c>
      <c r="AE662" s="10" t="b">
        <f t="shared" si="438"/>
        <v>1</v>
      </c>
      <c r="AP662"/>
      <c r="AQ662"/>
      <c r="AU662" s="3" cm="1">
        <f t="array" ref="AU662">$C662*EXP(poly_from_str(100000000/$E662,AU$4341))</f>
        <v>6.1148799058772921E-2</v>
      </c>
    </row>
    <row r="663" spans="1:48" x14ac:dyDescent="0.25">
      <c r="A663" t="s">
        <v>1109</v>
      </c>
      <c r="B663" s="2" t="str">
        <f t="shared" si="434"/>
        <v/>
      </c>
      <c r="C663">
        <v>10</v>
      </c>
      <c r="D663" t="s">
        <v>14</v>
      </c>
      <c r="E663" t="s">
        <v>1110</v>
      </c>
      <c r="R663">
        <v>8</v>
      </c>
      <c r="S663" t="s">
        <v>22</v>
      </c>
      <c r="AA663" s="10">
        <f t="shared" si="435"/>
        <v>5574.6890000000003</v>
      </c>
      <c r="AB663" s="3">
        <f t="shared" si="436"/>
        <v>17933.240000000002</v>
      </c>
      <c r="AC663" s="3" cm="1">
        <f t="array" ref="AC663">100000000/LvacE(AA663)</f>
        <v>17933.240739667715</v>
      </c>
      <c r="AD663" s="10">
        <f t="shared" si="437"/>
        <v>6.6084521252815828E-3</v>
      </c>
      <c r="AE663" s="10" t="b">
        <f t="shared" si="438"/>
        <v>1</v>
      </c>
      <c r="AP663"/>
      <c r="AQ663"/>
      <c r="AU663" s="3" cm="1">
        <f t="array" ref="AU663">$C663*EXP(poly_from_str(100000000/$E663,AU$4341))</f>
        <v>0.61250374526971108</v>
      </c>
    </row>
    <row r="664" spans="1:48" x14ac:dyDescent="0.25">
      <c r="A664" t="s">
        <v>1111</v>
      </c>
      <c r="B664" s="2" t="str">
        <f t="shared" si="434"/>
        <v/>
      </c>
      <c r="C664">
        <v>9</v>
      </c>
      <c r="E664" t="s">
        <v>1112</v>
      </c>
      <c r="R664">
        <v>8</v>
      </c>
      <c r="S664" t="s">
        <v>22</v>
      </c>
      <c r="AA664" s="10">
        <f t="shared" si="435"/>
        <v>5573.8010000000004</v>
      </c>
      <c r="AB664" s="3">
        <f t="shared" si="436"/>
        <v>17936.099999999999</v>
      </c>
      <c r="AC664" s="3" cm="1">
        <f t="array" ref="AC664">100000000/LvacE(AA664)</f>
        <v>17936.097775933984</v>
      </c>
      <c r="AD664" s="10">
        <f t="shared" si="437"/>
        <v>6.6089646702433384E-3</v>
      </c>
      <c r="AE664" s="10" t="b">
        <f t="shared" si="438"/>
        <v>1</v>
      </c>
      <c r="AP664"/>
      <c r="AQ664"/>
      <c r="AU664" s="3" cm="1">
        <f t="array" ref="AU664">$C664*EXP(poly_from_str(100000000/$E664,AU$4341))</f>
        <v>0.55198008306721369</v>
      </c>
    </row>
    <row r="665" spans="1:48" x14ac:dyDescent="0.25">
      <c r="A665" t="s">
        <v>1113</v>
      </c>
      <c r="B665" s="2" t="str">
        <f t="shared" si="434"/>
        <v/>
      </c>
      <c r="C665">
        <v>4</v>
      </c>
      <c r="E665" t="s">
        <v>1114</v>
      </c>
      <c r="R665">
        <v>8</v>
      </c>
      <c r="S665" t="s">
        <v>22</v>
      </c>
      <c r="AA665" s="10">
        <f t="shared" si="435"/>
        <v>5572.9740000000002</v>
      </c>
      <c r="AB665" s="3">
        <f t="shared" si="436"/>
        <v>17938.759999999998</v>
      </c>
      <c r="AC665" s="3" cm="1">
        <f t="array" ref="AC665">100000000/LvacE(AA665)</f>
        <v>17938.759370627038</v>
      </c>
      <c r="AD665" s="10">
        <f t="shared" si="437"/>
        <v>6.6094422269534214E-3</v>
      </c>
      <c r="AE665" s="10" t="b">
        <f t="shared" si="438"/>
        <v>1</v>
      </c>
      <c r="AP665"/>
      <c r="AQ665"/>
      <c r="AU665" s="3" cm="1">
        <f t="array" ref="AU665">$C665*EXP(poly_from_str(100000000/$E665,AU$4341))</f>
        <v>0.24562503522480675</v>
      </c>
    </row>
    <row r="666" spans="1:48" x14ac:dyDescent="0.25">
      <c r="A666" t="s">
        <v>1115</v>
      </c>
      <c r="B666" s="2" t="str">
        <f t="shared" si="434"/>
        <v/>
      </c>
      <c r="C666">
        <v>1</v>
      </c>
      <c r="E666" t="s">
        <v>1116</v>
      </c>
      <c r="R666">
        <v>8</v>
      </c>
      <c r="S666" t="s">
        <v>22</v>
      </c>
      <c r="AA666" s="10">
        <f t="shared" si="435"/>
        <v>5571.1490000000003</v>
      </c>
      <c r="AB666" s="3">
        <f t="shared" si="436"/>
        <v>17944.64</v>
      </c>
      <c r="AC666" s="3" cm="1">
        <f t="array" ref="AC666">100000000/LvacE(AA666)</f>
        <v>17944.635697737645</v>
      </c>
      <c r="AD666" s="10">
        <f t="shared" si="437"/>
        <v>6.6104968380613811E-3</v>
      </c>
      <c r="AE666" s="10" t="b">
        <f t="shared" si="438"/>
        <v>1</v>
      </c>
      <c r="AP666"/>
      <c r="AQ666"/>
      <c r="AU666" s="3" cm="1">
        <f t="array" ref="AU666">$C666*EXP(poly_from_str(100000000/$E666,AU$4341))</f>
        <v>6.157248706749021E-2</v>
      </c>
    </row>
    <row r="667" spans="1:48" x14ac:dyDescent="0.25">
      <c r="A667" t="s">
        <v>1117</v>
      </c>
      <c r="B667" s="2" t="str">
        <f t="shared" si="434"/>
        <v/>
      </c>
      <c r="C667">
        <v>8</v>
      </c>
      <c r="E667" t="s">
        <v>1118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444">$G667&amp;""</f>
        <v>o</v>
      </c>
      <c r="N667" t="str">
        <f t="shared" ref="N667:N668" si="445">$H667&amp;""</f>
        <v>11/2</v>
      </c>
      <c r="O667">
        <v>19360.099999999999</v>
      </c>
      <c r="P667" t="str">
        <f t="shared" ref="P667:P668" si="446">$J667&amp;""</f>
        <v>e</v>
      </c>
      <c r="Q667" t="str">
        <f t="shared" ref="Q667:Q668" si="447">$K667&amp;""</f>
        <v>13/2</v>
      </c>
      <c r="R667">
        <v>8</v>
      </c>
      <c r="AA667" s="10">
        <f t="shared" si="435"/>
        <v>5565.84</v>
      </c>
      <c r="AB667" s="3">
        <f t="shared" si="436"/>
        <v>17961.75</v>
      </c>
      <c r="AC667" s="3" cm="1">
        <f t="array" ref="AC667">100000000/LvacE(AA667)</f>
        <v>17961.752085236199</v>
      </c>
      <c r="AD667" s="10">
        <f t="shared" si="437"/>
        <v>6.6135706456919531E-3</v>
      </c>
      <c r="AE667" s="10" t="b">
        <f t="shared" si="438"/>
        <v>1</v>
      </c>
      <c r="AJ667" t="s">
        <v>4826</v>
      </c>
      <c r="AK667" t="s">
        <v>4748</v>
      </c>
      <c r="AL667">
        <v>1398.34</v>
      </c>
      <c r="AM667">
        <v>19360.099999999999</v>
      </c>
      <c r="AN667" s="10" cm="1">
        <f t="array" ref="AN667">Lair(100000000/($AM667-$AL667))</f>
        <v>5565.8375539111739</v>
      </c>
      <c r="AO667" s="10">
        <f t="shared" ref="AO667:AO668" si="448">100000000/($AM667-$AL667)</f>
        <v>5567.3831517624112</v>
      </c>
      <c r="AP667" s="12">
        <v>97100</v>
      </c>
      <c r="AQ667" s="3">
        <v>8.5000000000000006E-2</v>
      </c>
      <c r="AR667" s="3">
        <f>LN(AU667*100000000/($AM667-$AL667)/AP667)</f>
        <v>-3.559068813075621</v>
      </c>
      <c r="AS667" s="13">
        <f>EXP(AR$4341*$AM667+AR$4342)*$AP667/(100000000/($AM667-$AL667))</f>
        <v>0.36063783156128548</v>
      </c>
      <c r="AT667" s="3">
        <f>LN(AS667/$C667)</f>
        <v>-3.0993226025801759</v>
      </c>
      <c r="AU667" s="3" cm="1">
        <f t="array" ref="AU667">$C667*EXP(poly_from_str($AO667,AU$4341))</f>
        <v>0.49645989700542187</v>
      </c>
      <c r="AV667" s="13">
        <f>LN(AS667/AU667)</f>
        <v>-0.31962849075236732</v>
      </c>
    </row>
    <row r="668" spans="1:48" x14ac:dyDescent="0.25">
      <c r="A668" t="s">
        <v>1119</v>
      </c>
      <c r="B668" s="2" t="str">
        <f t="shared" si="434"/>
        <v/>
      </c>
      <c r="C668">
        <v>60</v>
      </c>
      <c r="E668" t="s">
        <v>1120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444"/>
        <v>o</v>
      </c>
      <c r="N668" t="str">
        <f t="shared" si="445"/>
        <v>5/2</v>
      </c>
      <c r="O668">
        <v>37011.919999999998</v>
      </c>
      <c r="P668" t="str">
        <f t="shared" si="446"/>
        <v>e</v>
      </c>
      <c r="Q668" t="str">
        <f t="shared" si="447"/>
        <v>5/2</v>
      </c>
      <c r="R668">
        <v>8</v>
      </c>
      <c r="AA668" s="10">
        <f t="shared" si="435"/>
        <v>5564.5730000000003</v>
      </c>
      <c r="AB668" s="3">
        <f t="shared" si="436"/>
        <v>17965.84</v>
      </c>
      <c r="AC668" s="3" cm="1">
        <f t="array" ref="AC668">100000000/LvacE(AA668)</f>
        <v>17965.841761404256</v>
      </c>
      <c r="AD668" s="10">
        <f t="shared" si="437"/>
        <v>6.6143055146732962E-3</v>
      </c>
      <c r="AE668" s="10" t="b">
        <f t="shared" si="438"/>
        <v>1</v>
      </c>
      <c r="AJ668" t="s">
        <v>4983</v>
      </c>
      <c r="AK668" t="s">
        <v>4768</v>
      </c>
      <c r="AL668">
        <v>19046.09</v>
      </c>
      <c r="AM668">
        <v>37011.919999999998</v>
      </c>
      <c r="AN668" s="10" cm="1">
        <f t="array" ref="AN668">Lair(100000000/($AM668-$AL668))</f>
        <v>5564.5766493972851</v>
      </c>
      <c r="AO668" s="10">
        <f t="shared" si="448"/>
        <v>5566.1219103153044</v>
      </c>
      <c r="AU668" s="3" cm="1">
        <f t="array" ref="AU668">$C668*EXP(poly_from_str($AO668,AU$4341))</f>
        <v>3.7303802769339072</v>
      </c>
    </row>
    <row r="669" spans="1:48" x14ac:dyDescent="0.25">
      <c r="A669" t="s">
        <v>1121</v>
      </c>
      <c r="B669" s="2" t="str">
        <f t="shared" si="434"/>
        <v/>
      </c>
      <c r="C669">
        <v>9</v>
      </c>
      <c r="D669" t="s">
        <v>14</v>
      </c>
      <c r="E669" t="s">
        <v>1122</v>
      </c>
      <c r="R669">
        <v>8</v>
      </c>
      <c r="S669" t="s">
        <v>22</v>
      </c>
      <c r="AA669" s="10">
        <f t="shared" si="435"/>
        <v>5564.14</v>
      </c>
      <c r="AB669" s="3">
        <f t="shared" si="436"/>
        <v>17967.240000000002</v>
      </c>
      <c r="AC669" s="3" cm="1">
        <f t="array" ref="AC669">100000000/LvacE(AA669)</f>
        <v>17967.239844127085</v>
      </c>
      <c r="AD669" s="10">
        <f t="shared" si="437"/>
        <v>6.614556772846036E-3</v>
      </c>
      <c r="AE669" s="10" t="b">
        <f t="shared" si="438"/>
        <v>1</v>
      </c>
      <c r="AP669"/>
      <c r="AQ669"/>
      <c r="AU669" s="3" cm="1">
        <f t="array" ref="AU669">$C669*EXP(poly_from_str(100000000/$E669,AU$4341))</f>
        <v>0.55991738843944638</v>
      </c>
    </row>
    <row r="670" spans="1:48" x14ac:dyDescent="0.25">
      <c r="A670" t="s">
        <v>1123</v>
      </c>
      <c r="B670" s="2" t="str">
        <f t="shared" si="434"/>
        <v/>
      </c>
      <c r="C670">
        <v>10</v>
      </c>
      <c r="D670" t="s">
        <v>14</v>
      </c>
      <c r="E670" t="s">
        <v>1124</v>
      </c>
      <c r="R670">
        <v>8</v>
      </c>
      <c r="S670" t="s">
        <v>22</v>
      </c>
      <c r="AA670" s="10">
        <f t="shared" si="435"/>
        <v>5560.29</v>
      </c>
      <c r="AB670" s="3">
        <f t="shared" si="436"/>
        <v>17979.68</v>
      </c>
      <c r="AC670" s="3" cm="1">
        <f t="array" ref="AC670">100000000/LvacE(AA670)</f>
        <v>17979.680408925196</v>
      </c>
      <c r="AD670" s="10">
        <f t="shared" si="437"/>
        <v>6.616793405463132E-3</v>
      </c>
      <c r="AE670" s="10" t="b">
        <f t="shared" si="438"/>
        <v>1</v>
      </c>
      <c r="AP670"/>
      <c r="AQ670"/>
      <c r="AU670" s="3" cm="1">
        <f t="array" ref="AU670">$C670*EXP(poly_from_str(100000000/$E670,AU$4341))</f>
        <v>0.62566706190743571</v>
      </c>
    </row>
    <row r="671" spans="1:48" x14ac:dyDescent="0.25">
      <c r="A671" t="s">
        <v>1125</v>
      </c>
      <c r="B671" s="2" t="str">
        <f t="shared" si="434"/>
        <v/>
      </c>
      <c r="C671">
        <v>10</v>
      </c>
      <c r="E671" t="s">
        <v>1126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449">$G671&amp;""</f>
        <v>o</v>
      </c>
      <c r="N671" t="str">
        <f t="shared" ref="N671:N672" si="450">$H671&amp;""</f>
        <v>3/2</v>
      </c>
      <c r="O671">
        <v>44903.42</v>
      </c>
      <c r="P671" t="str">
        <f t="shared" ref="P671:P672" si="451">$J671&amp;""</f>
        <v>e</v>
      </c>
      <c r="Q671" t="str">
        <f t="shared" ref="Q671:Q672" si="452">$K671&amp;""</f>
        <v>5/2</v>
      </c>
      <c r="R671">
        <v>8</v>
      </c>
      <c r="S671" t="s">
        <v>6</v>
      </c>
      <c r="AA671" s="10">
        <f t="shared" si="435"/>
        <v>5559.5990000000002</v>
      </c>
      <c r="AB671" s="3">
        <f t="shared" si="436"/>
        <v>17981.91</v>
      </c>
      <c r="AC671" s="3" cm="1">
        <f t="array" ref="AC671">100000000/LvacE(AA671)</f>
        <v>17981.915071678537</v>
      </c>
      <c r="AD671" s="10">
        <f t="shared" si="437"/>
        <v>6.6171953293464635E-3</v>
      </c>
      <c r="AE671" s="10" t="b">
        <f t="shared" si="438"/>
        <v>1</v>
      </c>
      <c r="AJ671" t="s">
        <v>4981</v>
      </c>
      <c r="AK671" t="s">
        <v>4765</v>
      </c>
      <c r="AL671">
        <v>26921.49</v>
      </c>
      <c r="AM671">
        <v>44903.42</v>
      </c>
      <c r="AN671" s="10" cm="1">
        <f t="array" ref="AN671">Lair(100000000/($AM671-$AL671))</f>
        <v>5559.5943909108582</v>
      </c>
      <c r="AO671" s="10">
        <f t="shared" ref="AO671:AO672" si="453">100000000/($AM671-$AL671)</f>
        <v>5561.1383205251059</v>
      </c>
      <c r="AU671" s="3" cm="1">
        <f t="array" ref="AU671">$C671*EXP(poly_from_str($AO671,AU$4341))</f>
        <v>0.62630750852983252</v>
      </c>
    </row>
    <row r="672" spans="1:48" x14ac:dyDescent="0.25">
      <c r="A672" t="s">
        <v>1127</v>
      </c>
      <c r="B672" s="2" t="str">
        <f t="shared" si="434"/>
        <v/>
      </c>
      <c r="C672">
        <v>8</v>
      </c>
      <c r="E672" t="s">
        <v>1128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449"/>
        <v>o</v>
      </c>
      <c r="N672" t="str">
        <f t="shared" si="450"/>
        <v>1/2</v>
      </c>
      <c r="O672">
        <v>36683.21</v>
      </c>
      <c r="P672" t="str">
        <f t="shared" si="451"/>
        <v>e</v>
      </c>
      <c r="Q672" t="str">
        <f t="shared" si="452"/>
        <v>1/2</v>
      </c>
      <c r="R672">
        <v>8</v>
      </c>
      <c r="AA672" s="10">
        <f t="shared" si="435"/>
        <v>5557.2269999999999</v>
      </c>
      <c r="AB672" s="3">
        <f t="shared" si="436"/>
        <v>17989.59</v>
      </c>
      <c r="AC672" s="3" cm="1">
        <f t="array" ref="AC672">100000000/LvacE(AA672)</f>
        <v>17989.590240373062</v>
      </c>
      <c r="AD672" s="10">
        <f t="shared" si="437"/>
        <v>6.6185761568110374E-3</v>
      </c>
      <c r="AE672" s="10" t="b">
        <f t="shared" si="438"/>
        <v>1</v>
      </c>
      <c r="AJ672" t="s">
        <v>4795</v>
      </c>
      <c r="AK672" t="s">
        <v>4775</v>
      </c>
      <c r="AL672">
        <v>18693.650000000001</v>
      </c>
      <c r="AM672">
        <v>36683.21</v>
      </c>
      <c r="AN672" s="10" cm="1">
        <f t="array" ref="AN672">Lair(100000000/($AM672-$AL672))</f>
        <v>5557.2363482086585</v>
      </c>
      <c r="AO672" s="10">
        <f t="shared" si="453"/>
        <v>5558.779647751252</v>
      </c>
      <c r="AU672" s="3" cm="1">
        <f t="array" ref="AU672">$C672*EXP(poly_from_str($AO672,AU$4341))</f>
        <v>0.50278486073782158</v>
      </c>
    </row>
    <row r="673" spans="1:48" x14ac:dyDescent="0.25">
      <c r="A673" t="s">
        <v>1129</v>
      </c>
      <c r="B673" s="2" t="str">
        <f t="shared" si="434"/>
        <v/>
      </c>
      <c r="C673">
        <v>3</v>
      </c>
      <c r="E673" t="s">
        <v>1130</v>
      </c>
      <c r="R673">
        <v>8</v>
      </c>
      <c r="S673" t="s">
        <v>22</v>
      </c>
      <c r="AA673" s="10">
        <f t="shared" si="435"/>
        <v>5555.2309999999998</v>
      </c>
      <c r="AB673" s="3">
        <f t="shared" si="436"/>
        <v>17996.05</v>
      </c>
      <c r="AC673" s="3" cm="1">
        <f t="array" ref="AC673">100000000/LvacE(AA673)</f>
        <v>17996.05385004068</v>
      </c>
      <c r="AD673" s="10">
        <f t="shared" si="437"/>
        <v>6.619739471683597E-3</v>
      </c>
      <c r="AE673" s="10" t="b">
        <f t="shared" si="438"/>
        <v>1</v>
      </c>
      <c r="AP673"/>
      <c r="AQ673"/>
      <c r="AU673" s="3" cm="1">
        <f t="array" ref="AU673">$C673*EXP(poly_from_str(100000000/$E673,AU$4341))</f>
        <v>0.1890995904500159</v>
      </c>
    </row>
    <row r="674" spans="1:48" x14ac:dyDescent="0.25">
      <c r="A674" t="s">
        <v>1131</v>
      </c>
      <c r="B674" s="2" t="str">
        <f t="shared" si="434"/>
        <v/>
      </c>
      <c r="C674">
        <v>2</v>
      </c>
      <c r="E674" t="s">
        <v>1132</v>
      </c>
      <c r="R674">
        <v>8</v>
      </c>
      <c r="S674" t="s">
        <v>22</v>
      </c>
      <c r="AA674" s="10">
        <f t="shared" si="435"/>
        <v>5554.4870000000001</v>
      </c>
      <c r="AB674" s="3">
        <f t="shared" si="436"/>
        <v>17998.46</v>
      </c>
      <c r="AC674" s="3" cm="1">
        <f t="array" ref="AC674">100000000/LvacE(AA674)</f>
        <v>17998.464319866409</v>
      </c>
      <c r="AD674" s="10">
        <f t="shared" si="437"/>
        <v>6.6201734129422221E-3</v>
      </c>
      <c r="AE674" s="10" t="b">
        <f t="shared" si="438"/>
        <v>1</v>
      </c>
      <c r="AP674"/>
      <c r="AQ674"/>
      <c r="AU674" s="3" cm="1">
        <f t="array" ref="AU674">$C674*EXP(poly_from_str(100000000/$E674,AU$4341))</f>
        <v>0.12620395130205594</v>
      </c>
    </row>
    <row r="675" spans="1:48" x14ac:dyDescent="0.25">
      <c r="A675" t="s">
        <v>1133</v>
      </c>
      <c r="B675" s="2" t="str">
        <f t="shared" si="434"/>
        <v/>
      </c>
      <c r="C675">
        <v>4</v>
      </c>
      <c r="E675" t="s">
        <v>1134</v>
      </c>
      <c r="R675">
        <v>8</v>
      </c>
      <c r="S675" t="s">
        <v>22</v>
      </c>
      <c r="AA675" s="10">
        <f t="shared" si="435"/>
        <v>5553.5910000000003</v>
      </c>
      <c r="AB675" s="3">
        <f t="shared" si="436"/>
        <v>18001.37</v>
      </c>
      <c r="AC675" s="3" cm="1">
        <f t="array" ref="AC675">100000000/LvacE(AA675)</f>
        <v>18001.368108503852</v>
      </c>
      <c r="AD675" s="10">
        <f t="shared" si="437"/>
        <v>6.6206962403698661E-3</v>
      </c>
      <c r="AE675" s="10" t="b">
        <f t="shared" si="438"/>
        <v>1</v>
      </c>
      <c r="AP675"/>
      <c r="AQ675"/>
      <c r="AU675" s="3" cm="1">
        <f t="array" ref="AU675">$C675*EXP(poly_from_str(100000000/$E675,AU$4341))</f>
        <v>0.25274023159738879</v>
      </c>
    </row>
    <row r="676" spans="1:48" x14ac:dyDescent="0.25">
      <c r="A676" t="s">
        <v>1135</v>
      </c>
      <c r="B676" s="2" t="str">
        <f t="shared" si="434"/>
        <v/>
      </c>
      <c r="C676">
        <v>80</v>
      </c>
      <c r="E676" t="s">
        <v>1136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AA676" s="10">
        <f t="shared" si="435"/>
        <v>5550.5789999999997</v>
      </c>
      <c r="AB676" s="3">
        <f t="shared" si="436"/>
        <v>18011.14</v>
      </c>
      <c r="AC676" s="3" cm="1">
        <f t="array" ref="AC676">100000000/LvacE(AA676)</f>
        <v>18011.136377729195</v>
      </c>
      <c r="AD676" s="10">
        <f t="shared" si="437"/>
        <v>6.6224556373064144E-3</v>
      </c>
      <c r="AE676" s="10" t="b">
        <f t="shared" si="438"/>
        <v>1</v>
      </c>
      <c r="AJ676" t="s">
        <v>4760</v>
      </c>
      <c r="AK676" t="s">
        <v>4706</v>
      </c>
      <c r="AL676">
        <v>12494.63</v>
      </c>
      <c r="AM676">
        <v>30505.72</v>
      </c>
      <c r="AN676" s="10" cm="1">
        <f t="array" ref="AN676">Lair(100000000/($AM676-$AL676))</f>
        <v>5550.5932990244655</v>
      </c>
      <c r="AO676" s="10">
        <f>100000000/($AM676-$AL676)</f>
        <v>5552.1348236003469</v>
      </c>
      <c r="AP676" s="12">
        <v>1750000</v>
      </c>
      <c r="AQ676" s="3">
        <v>4.4999999999999998E-2</v>
      </c>
      <c r="AR676" s="3"/>
      <c r="AS676" s="13">
        <f>EXP(AR$4341*$AM676+AR$4342)*$AP676/(100000000/($AM676-$AL676))</f>
        <v>2.8237014310542352</v>
      </c>
      <c r="AT676" s="3"/>
      <c r="AU676" s="3" cm="1">
        <f t="array" ref="AU676">$C676*EXP(poly_from_str($AO676,AU$4341))</f>
        <v>5.0770267196986216</v>
      </c>
    </row>
    <row r="677" spans="1:48" x14ac:dyDescent="0.25">
      <c r="A677" t="s">
        <v>1137</v>
      </c>
      <c r="B677" s="2" t="str">
        <f t="shared" si="434"/>
        <v/>
      </c>
      <c r="C677">
        <v>20</v>
      </c>
      <c r="E677" t="s">
        <v>1138</v>
      </c>
      <c r="R677">
        <v>8</v>
      </c>
      <c r="S677" t="s">
        <v>22</v>
      </c>
      <c r="AA677" s="10">
        <f t="shared" si="435"/>
        <v>5541.0119999999997</v>
      </c>
      <c r="AB677" s="3">
        <f t="shared" si="436"/>
        <v>18042.23</v>
      </c>
      <c r="AC677" s="3" cm="1">
        <f t="array" ref="AC677">100000000/LvacE(AA677)</f>
        <v>18042.233715641254</v>
      </c>
      <c r="AD677" s="10">
        <f t="shared" si="437"/>
        <v>6.6280630429641062E-3</v>
      </c>
      <c r="AE677" s="10" t="b">
        <f t="shared" si="438"/>
        <v>1</v>
      </c>
      <c r="AP677"/>
      <c r="AQ677"/>
      <c r="AU677" s="3" cm="1">
        <f t="array" ref="AU677">$C677*EXP(poly_from_str(100000000/$E677,AU$4341))</f>
        <v>1.287106678118108</v>
      </c>
    </row>
    <row r="678" spans="1:48" x14ac:dyDescent="0.25">
      <c r="A678" t="s">
        <v>1139</v>
      </c>
      <c r="B678" s="2" t="str">
        <f t="shared" si="434"/>
        <v/>
      </c>
      <c r="C678">
        <v>40</v>
      </c>
      <c r="E678" t="s">
        <v>1140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435"/>
        <v>5534.5240000000003</v>
      </c>
      <c r="AB678" s="3">
        <f t="shared" si="436"/>
        <v>18063.38</v>
      </c>
      <c r="AC678" s="3" cm="1">
        <f t="array" ref="AC678">100000000/LvacE(AA678)</f>
        <v>18063.384003009498</v>
      </c>
      <c r="AD678" s="10">
        <f t="shared" si="437"/>
        <v>6.6318823446252558E-3</v>
      </c>
      <c r="AE678" s="10" t="b">
        <f t="shared" si="438"/>
        <v>1</v>
      </c>
      <c r="AJ678" t="s">
        <v>4757</v>
      </c>
      <c r="AK678" t="s">
        <v>4744</v>
      </c>
      <c r="AL678">
        <v>0</v>
      </c>
      <c r="AM678">
        <v>18063.36</v>
      </c>
      <c r="AN678" s="10" cm="1">
        <f t="array" ref="AN678">Lair(100000000/($AM678-$AL678))</f>
        <v>5534.5313607537373</v>
      </c>
      <c r="AO678" s="10">
        <f>100000000/($AM678-$AL678)</f>
        <v>5536.0685941043084</v>
      </c>
      <c r="AP678" s="12">
        <v>427000</v>
      </c>
      <c r="AQ678" s="3">
        <v>0.20300000000000001</v>
      </c>
      <c r="AR678" s="3">
        <f>LN(AU678*100000000/($AM678-$AL678)/AP678)</f>
        <v>-3.390557439567325</v>
      </c>
      <c r="AS678" s="13">
        <f>EXP(AR$4341*$AM678+AR$4342)*$AP678/(100000000/($AM678-$AL678))</f>
        <v>1.757897048833805</v>
      </c>
      <c r="AT678" s="3">
        <f>LN(AS678/$C678)</f>
        <v>-3.1247612180937279</v>
      </c>
      <c r="AU678" s="3" cm="1">
        <f t="array" ref="AU678">$C678*EXP(poly_from_str($AO678,AU$4341))</f>
        <v>2.5985197731084329</v>
      </c>
      <c r="AV678" s="13">
        <f>LN(AS678/AU678)</f>
        <v>-0.3908237288489611</v>
      </c>
    </row>
    <row r="679" spans="1:48" x14ac:dyDescent="0.25">
      <c r="A679" t="s">
        <v>1141</v>
      </c>
      <c r="B679" s="2" t="str">
        <f t="shared" si="434"/>
        <v/>
      </c>
      <c r="C679">
        <v>1</v>
      </c>
      <c r="E679" t="s">
        <v>1142</v>
      </c>
      <c r="R679">
        <v>8</v>
      </c>
      <c r="S679" t="s">
        <v>22</v>
      </c>
      <c r="AA679" s="10">
        <f t="shared" si="435"/>
        <v>5521.3919999999998</v>
      </c>
      <c r="AB679" s="3">
        <f t="shared" si="436"/>
        <v>18106.34</v>
      </c>
      <c r="AC679" s="3" cm="1">
        <f t="array" ref="AC679">100000000/LvacE(AA679)</f>
        <v>18106.34524111616</v>
      </c>
      <c r="AD679" s="10">
        <f t="shared" si="437"/>
        <v>6.6396540257525789E-3</v>
      </c>
      <c r="AE679" s="10" t="b">
        <f t="shared" si="438"/>
        <v>1</v>
      </c>
      <c r="AP679"/>
      <c r="AQ679"/>
      <c r="AU679" s="3" cm="1">
        <f t="array" ref="AU679">$C679*EXP(poly_from_str(100000000/$E679,AU$4341))</f>
        <v>6.6203395360084585E-2</v>
      </c>
    </row>
    <row r="680" spans="1:48" x14ac:dyDescent="0.25">
      <c r="A680" t="s">
        <v>1143</v>
      </c>
      <c r="B680" s="2" t="str">
        <f t="shared" si="434"/>
        <v/>
      </c>
      <c r="C680">
        <v>1</v>
      </c>
      <c r="E680" t="s">
        <v>1144</v>
      </c>
      <c r="R680">
        <v>8</v>
      </c>
      <c r="S680" t="s">
        <v>22</v>
      </c>
      <c r="AA680" s="10">
        <f t="shared" si="435"/>
        <v>5514.7879999999996</v>
      </c>
      <c r="AB680" s="3">
        <f t="shared" si="436"/>
        <v>18128.03</v>
      </c>
      <c r="AC680" s="3" cm="1">
        <f t="array" ref="AC680">100000000/LvacE(AA680)</f>
        <v>18128.027494071139</v>
      </c>
      <c r="AD680" s="10">
        <f t="shared" si="437"/>
        <v>6.643583352077282E-3</v>
      </c>
      <c r="AE680" s="10" t="b">
        <f t="shared" si="438"/>
        <v>1</v>
      </c>
      <c r="AP680"/>
      <c r="AQ680"/>
      <c r="AU680" s="3" cm="1">
        <f t="array" ref="AU680">$C680*EXP(poly_from_str(100000000/$E680,AU$4341))</f>
        <v>6.6831235175250137E-2</v>
      </c>
    </row>
    <row r="681" spans="1:48" x14ac:dyDescent="0.25">
      <c r="A681" t="s">
        <v>1145</v>
      </c>
      <c r="B681" s="2" t="str">
        <f t="shared" si="434"/>
        <v/>
      </c>
      <c r="C681">
        <v>15</v>
      </c>
      <c r="E681" t="s">
        <v>1146</v>
      </c>
      <c r="R681">
        <v>8</v>
      </c>
      <c r="S681" t="s">
        <v>22</v>
      </c>
      <c r="AA681" s="10">
        <f t="shared" si="435"/>
        <v>5510.3320000000003</v>
      </c>
      <c r="AB681" s="3">
        <f t="shared" si="436"/>
        <v>18142.689999999999</v>
      </c>
      <c r="AC681" s="3" cm="1">
        <f t="array" ref="AC681">100000000/LvacE(AA681)</f>
        <v>18142.686797201466</v>
      </c>
      <c r="AD681" s="10">
        <f t="shared" si="437"/>
        <v>6.6462426217877135E-3</v>
      </c>
      <c r="AE681" s="10" t="b">
        <f t="shared" si="438"/>
        <v>1</v>
      </c>
      <c r="AP681"/>
      <c r="AQ681"/>
      <c r="AU681" s="3" cm="1">
        <f t="array" ref="AU681">$C681*EXP(poly_from_str(100000000/$E681,AU$4341))</f>
        <v>1.0088424507503124</v>
      </c>
    </row>
    <row r="682" spans="1:48" x14ac:dyDescent="0.25">
      <c r="A682" t="s">
        <v>1147</v>
      </c>
      <c r="B682" s="2" t="str">
        <f t="shared" si="434"/>
        <v/>
      </c>
      <c r="C682">
        <v>3</v>
      </c>
      <c r="E682" t="s">
        <v>1148</v>
      </c>
      <c r="R682">
        <v>8</v>
      </c>
      <c r="S682" t="s">
        <v>22</v>
      </c>
      <c r="AA682" s="10">
        <f t="shared" si="435"/>
        <v>5509.8559999999998</v>
      </c>
      <c r="AB682" s="3">
        <f t="shared" si="436"/>
        <v>18144.25</v>
      </c>
      <c r="AC682" s="3" cm="1">
        <f t="array" ref="AC682">100000000/LvacE(AA682)</f>
        <v>18144.25413880869</v>
      </c>
      <c r="AD682" s="10">
        <f t="shared" si="437"/>
        <v>6.6465270724687447E-3</v>
      </c>
      <c r="AE682" s="10" t="b">
        <f t="shared" si="438"/>
        <v>1</v>
      </c>
      <c r="AP682"/>
      <c r="AQ682"/>
      <c r="AU682" s="3" cm="1">
        <f t="array" ref="AU682">$C682*EXP(poly_from_str(100000000/$E682,AU$4341))</f>
        <v>0.20190421594548755</v>
      </c>
    </row>
    <row r="683" spans="1:48" x14ac:dyDescent="0.25">
      <c r="A683" t="s">
        <v>1149</v>
      </c>
      <c r="B683" s="2" t="str">
        <f t="shared" si="434"/>
        <v/>
      </c>
      <c r="C683">
        <v>5</v>
      </c>
      <c r="E683" t="s">
        <v>1150</v>
      </c>
      <c r="R683">
        <v>8</v>
      </c>
      <c r="S683" t="s">
        <v>22</v>
      </c>
      <c r="AA683" s="10">
        <f t="shared" si="435"/>
        <v>5508.6369999999997</v>
      </c>
      <c r="AB683" s="3">
        <f t="shared" si="436"/>
        <v>18148.27</v>
      </c>
      <c r="AC683" s="3" cm="1">
        <f t="array" ref="AC683">100000000/LvacE(AA683)</f>
        <v>18148.269217159755</v>
      </c>
      <c r="AD683" s="10">
        <f t="shared" si="437"/>
        <v>6.6472558653946304E-3</v>
      </c>
      <c r="AE683" s="10" t="b">
        <f t="shared" si="438"/>
        <v>1</v>
      </c>
      <c r="AP683"/>
      <c r="AQ683"/>
      <c r="AU683" s="3" cm="1">
        <f t="array" ref="AU683">$C683*EXP(poly_from_str(100000000/$E683,AU$4341))</f>
        <v>0.33709005266626269</v>
      </c>
    </row>
    <row r="684" spans="1:48" x14ac:dyDescent="0.25">
      <c r="A684" t="s">
        <v>1151</v>
      </c>
      <c r="B684" s="2" t="str">
        <f t="shared" si="434"/>
        <v/>
      </c>
      <c r="C684">
        <v>8</v>
      </c>
      <c r="E684" t="s">
        <v>1152</v>
      </c>
      <c r="R684">
        <v>8</v>
      </c>
      <c r="S684" t="s">
        <v>22</v>
      </c>
      <c r="AA684" s="10">
        <f t="shared" si="435"/>
        <v>5502.8729999999996</v>
      </c>
      <c r="AB684" s="3">
        <f t="shared" si="436"/>
        <v>18167.28</v>
      </c>
      <c r="AC684" s="3" cm="1">
        <f t="array" ref="AC684">100000000/LvacE(AA684)</f>
        <v>18167.278469715486</v>
      </c>
      <c r="AD684" s="10">
        <f t="shared" si="437"/>
        <v>6.6507084998795622E-3</v>
      </c>
      <c r="AE684" s="10" t="b">
        <f t="shared" si="438"/>
        <v>1</v>
      </c>
      <c r="AP684"/>
      <c r="AQ684"/>
      <c r="AU684" s="3" cm="1">
        <f t="array" ref="AU684">$C684*EXP(poly_from_str(100000000/$E684,AU$4341))</f>
        <v>0.54375823999109429</v>
      </c>
    </row>
    <row r="685" spans="1:48" x14ac:dyDescent="0.25">
      <c r="A685" t="s">
        <v>1153</v>
      </c>
      <c r="B685" s="2" t="str">
        <f t="shared" si="434"/>
        <v/>
      </c>
      <c r="C685">
        <v>1</v>
      </c>
      <c r="E685" t="s">
        <v>1154</v>
      </c>
      <c r="R685">
        <v>8</v>
      </c>
      <c r="S685" t="s">
        <v>22</v>
      </c>
      <c r="AA685" s="10">
        <f t="shared" si="435"/>
        <v>5501.53</v>
      </c>
      <c r="AB685" s="3">
        <f t="shared" si="436"/>
        <v>18171.71</v>
      </c>
      <c r="AC685" s="3" cm="1">
        <f t="array" ref="AC685">100000000/LvacE(AA685)</f>
        <v>18171.713307521841</v>
      </c>
      <c r="AD685" s="10">
        <f t="shared" si="437"/>
        <v>6.6515145157366989E-3</v>
      </c>
      <c r="AE685" s="10" t="b">
        <f t="shared" si="438"/>
        <v>1</v>
      </c>
      <c r="AP685"/>
      <c r="AQ685"/>
      <c r="AU685" s="3" cm="1">
        <f t="array" ref="AU685">$C685*EXP(poly_from_str(100000000/$E685,AU$4341))</f>
        <v>6.8098437867401315E-2</v>
      </c>
    </row>
    <row r="686" spans="1:48" x14ac:dyDescent="0.25">
      <c r="A686" t="s">
        <v>1155</v>
      </c>
      <c r="B686" s="2" t="str">
        <f t="shared" si="434"/>
        <v/>
      </c>
      <c r="C686">
        <v>1</v>
      </c>
      <c r="D686" t="s">
        <v>1156</v>
      </c>
      <c r="E686" t="s">
        <v>1157</v>
      </c>
      <c r="R686">
        <v>8</v>
      </c>
      <c r="S686" t="s">
        <v>22</v>
      </c>
      <c r="AA686" s="10">
        <f t="shared" si="435"/>
        <v>5491.5479999999998</v>
      </c>
      <c r="AB686" s="3">
        <f t="shared" si="436"/>
        <v>18204.740000000002</v>
      </c>
      <c r="AC686" s="3" cm="1">
        <f t="array" ref="AC686">100000000/LvacE(AA686)</f>
        <v>18204.743719072529</v>
      </c>
      <c r="AD686" s="10">
        <f t="shared" si="437"/>
        <v>6.6575238638606577E-3</v>
      </c>
      <c r="AE686" s="10" t="b">
        <f t="shared" si="438"/>
        <v>1</v>
      </c>
      <c r="AP686"/>
      <c r="AQ686"/>
      <c r="AU686" s="3" cm="1">
        <f t="array" ref="AU686">$C686*EXP(poly_from_str(100000000/$E686,AU$4341))</f>
        <v>6.9058383959136369E-2</v>
      </c>
    </row>
    <row r="687" spans="1:48" x14ac:dyDescent="0.25">
      <c r="A687" t="s">
        <v>1158</v>
      </c>
      <c r="B687" s="2" t="str">
        <f t="shared" si="434"/>
        <v/>
      </c>
      <c r="C687">
        <v>8</v>
      </c>
      <c r="E687" t="s">
        <v>1159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454">$G687&amp;""</f>
        <v>o</v>
      </c>
      <c r="N687" t="str">
        <f t="shared" ref="N687:N690" si="455">$H687&amp;""</f>
        <v>9/2</v>
      </c>
      <c r="O687">
        <v>18241.54</v>
      </c>
      <c r="P687" t="str">
        <f t="shared" ref="P687:P690" si="456">$J687&amp;""</f>
        <v>e</v>
      </c>
      <c r="Q687" t="str">
        <f t="shared" ref="Q687:Q690" si="457">$K687&amp;""</f>
        <v>11/2</v>
      </c>
      <c r="R687">
        <v>8</v>
      </c>
      <c r="S687" t="s">
        <v>6</v>
      </c>
      <c r="AA687" s="10">
        <f t="shared" si="435"/>
        <v>5480.47</v>
      </c>
      <c r="AB687" s="3">
        <f t="shared" si="436"/>
        <v>18241.54</v>
      </c>
      <c r="AC687" s="3" cm="1">
        <f t="array" ref="AC687">100000000/LvacE(AA687)</f>
        <v>18241.541652800108</v>
      </c>
      <c r="AD687" s="10">
        <f t="shared" si="437"/>
        <v>6.6642315032105007E-3</v>
      </c>
      <c r="AE687" s="10" t="b">
        <f t="shared" si="438"/>
        <v>1</v>
      </c>
      <c r="AJ687" t="s">
        <v>4757</v>
      </c>
      <c r="AK687" t="s">
        <v>4724</v>
      </c>
      <c r="AL687">
        <v>0</v>
      </c>
      <c r="AM687">
        <v>18241.54</v>
      </c>
      <c r="AN687" s="10" cm="1">
        <f t="array" ref="AN687">Lair(100000000/($AM687-$AL687))</f>
        <v>5480.4705024553341</v>
      </c>
      <c r="AO687" s="10">
        <f t="shared" ref="AO687:AO690" si="458">100000000/($AM687-$AL687)</f>
        <v>5481.993296618597</v>
      </c>
      <c r="AP687" s="12">
        <v>100000</v>
      </c>
      <c r="AQ687" s="3">
        <v>4.7E-2</v>
      </c>
      <c r="AR687" s="3"/>
      <c r="AS687" s="13">
        <f t="shared" ref="AS687:AS690" si="459">EXP(AR$4341*$AM687+AR$4342)*$AP687/(100000000/($AM687-$AL687))</f>
        <v>0.41022413858390527</v>
      </c>
      <c r="AT687" s="3"/>
      <c r="AU687" s="3" cm="1">
        <f t="array" ref="AU687">$C687*EXP(poly_from_str($AO687,AU$4341))</f>
        <v>0.56102919840570242</v>
      </c>
    </row>
    <row r="688" spans="1:48" x14ac:dyDescent="0.25">
      <c r="A688" t="s">
        <v>1160</v>
      </c>
      <c r="B688" s="2" t="str">
        <f t="shared" si="434"/>
        <v/>
      </c>
      <c r="C688">
        <v>20</v>
      </c>
      <c r="E688" t="s">
        <v>1161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454"/>
        <v>o</v>
      </c>
      <c r="N688" t="str">
        <f t="shared" si="455"/>
        <v>9/2</v>
      </c>
      <c r="O688">
        <v>35024.49</v>
      </c>
      <c r="P688" t="str">
        <f t="shared" si="456"/>
        <v>e</v>
      </c>
      <c r="Q688" t="str">
        <f t="shared" si="457"/>
        <v>7/2</v>
      </c>
      <c r="R688">
        <v>8</v>
      </c>
      <c r="AA688" s="10">
        <f t="shared" si="435"/>
        <v>5474.7640000000001</v>
      </c>
      <c r="AB688" s="3">
        <f t="shared" si="436"/>
        <v>18260.55</v>
      </c>
      <c r="AC688" s="3" cm="1">
        <f t="array" ref="AC688">100000000/LvacE(AA688)</f>
        <v>18260.553451100041</v>
      </c>
      <c r="AD688" s="10">
        <f t="shared" si="437"/>
        <v>6.6677023385026315E-3</v>
      </c>
      <c r="AE688" s="10" t="b">
        <f t="shared" si="438"/>
        <v>1</v>
      </c>
      <c r="AJ688" t="s">
        <v>4985</v>
      </c>
      <c r="AK688" t="s">
        <v>4770</v>
      </c>
      <c r="AL688">
        <v>16763.98</v>
      </c>
      <c r="AM688">
        <v>35024.49</v>
      </c>
      <c r="AN688" s="10" cm="1">
        <f t="array" ref="AN688">Lair(100000000/($AM688-$AL688))</f>
        <v>5474.7770332505661</v>
      </c>
      <c r="AO688" s="10">
        <f t="shared" si="458"/>
        <v>5476.2983071119052</v>
      </c>
      <c r="AP688" s="12">
        <v>999000</v>
      </c>
      <c r="AQ688" s="3">
        <v>5.1999999999999998E-2</v>
      </c>
      <c r="AR688" s="3">
        <f t="shared" ref="AR688:AR690" si="460">LN(AU688*100000000/($AM688-$AL688)/AP688)</f>
        <v>-4.8601809152902948</v>
      </c>
      <c r="AS688" s="13">
        <f t="shared" si="459"/>
        <v>1.1642375141543755</v>
      </c>
      <c r="AT688" s="3">
        <f t="shared" ref="AT688:AT690" si="461">LN(AS688/$C688)</f>
        <v>-2.8436658950993028</v>
      </c>
      <c r="AU688" s="3" cm="1">
        <f t="array" ref="AU688">$C688*EXP(poly_from_str($AO688,AU$4341))</f>
        <v>1.413606841875942</v>
      </c>
      <c r="AV688" s="13">
        <f t="shared" ref="AV688:AV690" si="462">LN(AS688/AU688)</f>
        <v>-0.19407810359369307</v>
      </c>
    </row>
    <row r="689" spans="1:48" x14ac:dyDescent="0.25">
      <c r="A689" t="s">
        <v>1162</v>
      </c>
      <c r="B689" s="2" t="str">
        <f t="shared" si="434"/>
        <v/>
      </c>
      <c r="C689">
        <v>20</v>
      </c>
      <c r="E689" t="s">
        <v>1163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454"/>
        <v>o</v>
      </c>
      <c r="N689" t="str">
        <f t="shared" si="455"/>
        <v>11/2</v>
      </c>
      <c r="O689">
        <v>19700.900000000001</v>
      </c>
      <c r="P689" t="str">
        <f t="shared" si="456"/>
        <v>e</v>
      </c>
      <c r="Q689" t="str">
        <f t="shared" si="457"/>
        <v>11/2</v>
      </c>
      <c r="R689">
        <v>8</v>
      </c>
      <c r="AA689" s="10">
        <f t="shared" si="435"/>
        <v>5462.1980000000003</v>
      </c>
      <c r="AB689" s="3">
        <f t="shared" si="436"/>
        <v>18302.560000000001</v>
      </c>
      <c r="AC689" s="3" cm="1">
        <f t="array" ref="AC689">100000000/LvacE(AA689)</f>
        <v>18302.562110994299</v>
      </c>
      <c r="AD689" s="10">
        <f t="shared" si="437"/>
        <v>6.6753843517750816E-3</v>
      </c>
      <c r="AE689" s="10" t="b">
        <f t="shared" si="438"/>
        <v>1</v>
      </c>
      <c r="AJ689" t="s">
        <v>4826</v>
      </c>
      <c r="AK689" t="s">
        <v>4962</v>
      </c>
      <c r="AL689">
        <v>1398.34</v>
      </c>
      <c r="AM689">
        <v>19700.900000000001</v>
      </c>
      <c r="AN689" s="10" cm="1">
        <f t="array" ref="AN689">Lair(100000000/($AM689-$AL689))</f>
        <v>5462.1986357631386</v>
      </c>
      <c r="AO689" s="10">
        <f t="shared" si="458"/>
        <v>5463.7165511272733</v>
      </c>
      <c r="AP689" s="12">
        <v>255000</v>
      </c>
      <c r="AQ689" s="3">
        <v>0.126</v>
      </c>
      <c r="AR689" s="3">
        <f t="shared" si="460"/>
        <v>-3.4798489872472049</v>
      </c>
      <c r="AS689" s="13">
        <f t="shared" si="459"/>
        <v>0.94069253120291552</v>
      </c>
      <c r="AT689" s="3">
        <f t="shared" si="461"/>
        <v>-3.0568712132060742</v>
      </c>
      <c r="AU689" s="3" cm="1">
        <f t="array" ref="AU689">$C689*EXP(poly_from_str($AO689,AU$4341))</f>
        <v>1.4380460935253923</v>
      </c>
      <c r="AV689" s="13">
        <f t="shared" si="462"/>
        <v>-0.42442425234917824</v>
      </c>
    </row>
    <row r="690" spans="1:48" x14ac:dyDescent="0.25">
      <c r="A690" t="s">
        <v>1164</v>
      </c>
      <c r="B690" s="2" t="str">
        <f t="shared" si="434"/>
        <v/>
      </c>
      <c r="C690">
        <v>2</v>
      </c>
      <c r="D690" t="s">
        <v>14</v>
      </c>
      <c r="E690" t="s">
        <v>1165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454"/>
        <v>e</v>
      </c>
      <c r="N690" t="str">
        <f t="shared" si="455"/>
        <v>9/2</v>
      </c>
      <c r="O690">
        <v>58174.15</v>
      </c>
      <c r="P690" t="str">
        <f t="shared" si="456"/>
        <v>o</v>
      </c>
      <c r="Q690" t="str">
        <f t="shared" si="457"/>
        <v>9/2</v>
      </c>
      <c r="R690">
        <v>8</v>
      </c>
      <c r="AA690" s="10">
        <f t="shared" si="435"/>
        <v>5461.7830000000004</v>
      </c>
      <c r="AB690" s="3">
        <f t="shared" si="436"/>
        <v>18303.95</v>
      </c>
      <c r="AC690" s="3" cm="1">
        <f t="array" ref="AC690">100000000/LvacE(AA690)</f>
        <v>18303.952770512897</v>
      </c>
      <c r="AD690" s="10">
        <f t="shared" si="437"/>
        <v>6.6756389598884554E-3</v>
      </c>
      <c r="AE690" s="10" t="b">
        <f t="shared" si="438"/>
        <v>1</v>
      </c>
      <c r="AJ690" t="s">
        <v>4731</v>
      </c>
      <c r="AK690" t="s">
        <v>4698</v>
      </c>
      <c r="AL690">
        <v>39870.17</v>
      </c>
      <c r="AM690">
        <v>58174.15</v>
      </c>
      <c r="AN690" s="10" cm="1">
        <f t="array" ref="AN690">Lair(100000000/($AM690-$AL690))</f>
        <v>5461.7748805680949</v>
      </c>
      <c r="AO690" s="10">
        <f t="shared" si="458"/>
        <v>5463.2926827935771</v>
      </c>
      <c r="AP690" s="12">
        <v>896000</v>
      </c>
      <c r="AQ690" s="3">
        <v>0.21</v>
      </c>
      <c r="AR690" s="3">
        <f t="shared" si="460"/>
        <v>-7.038615308989395</v>
      </c>
      <c r="AS690" s="13">
        <f t="shared" si="459"/>
        <v>0.18421029898209784</v>
      </c>
      <c r="AT690" s="3">
        <f t="shared" si="461"/>
        <v>-2.3848244253289623</v>
      </c>
      <c r="AU690" s="3" cm="1">
        <f t="array" ref="AU690">$C690*EXP(poly_from_str($AO690,AU$4341))</f>
        <v>0.14388706478094968</v>
      </c>
      <c r="AV690" s="13">
        <f t="shared" si="462"/>
        <v>0.24704931469409072</v>
      </c>
    </row>
    <row r="691" spans="1:48" x14ac:dyDescent="0.25">
      <c r="A691" t="s">
        <v>1166</v>
      </c>
      <c r="B691" s="2" t="str">
        <f t="shared" si="434"/>
        <v/>
      </c>
      <c r="C691">
        <v>2</v>
      </c>
      <c r="E691" t="s">
        <v>1167</v>
      </c>
      <c r="R691">
        <v>8</v>
      </c>
      <c r="S691" t="s">
        <v>22</v>
      </c>
      <c r="AA691" s="10">
        <f t="shared" si="435"/>
        <v>5454.3559999999998</v>
      </c>
      <c r="AB691" s="3">
        <f t="shared" si="436"/>
        <v>18328.88</v>
      </c>
      <c r="AC691" s="3" cm="1">
        <f t="array" ref="AC691">100000000/LvacE(AA691)</f>
        <v>18328.876331207524</v>
      </c>
      <c r="AD691" s="10">
        <f t="shared" si="437"/>
        <v>6.6802053561600605E-3</v>
      </c>
      <c r="AE691" s="10" t="b">
        <f t="shared" si="438"/>
        <v>1</v>
      </c>
      <c r="AP691"/>
      <c r="AQ691"/>
      <c r="AU691" s="3" cm="1">
        <f t="array" ref="AU691">$C691*EXP(poly_from_str(100000000/$E691,AU$4341))</f>
        <v>0.1453318108580032</v>
      </c>
    </row>
    <row r="692" spans="1:48" x14ac:dyDescent="0.25">
      <c r="A692" t="s">
        <v>1168</v>
      </c>
      <c r="B692" s="2" t="str">
        <f t="shared" si="434"/>
        <v/>
      </c>
      <c r="C692">
        <v>2</v>
      </c>
      <c r="E692" t="s">
        <v>1169</v>
      </c>
      <c r="R692">
        <v>8</v>
      </c>
      <c r="S692" t="s">
        <v>22</v>
      </c>
      <c r="AA692" s="10">
        <f t="shared" si="435"/>
        <v>5454.2259999999997</v>
      </c>
      <c r="AB692" s="3">
        <f t="shared" si="436"/>
        <v>18329.310000000001</v>
      </c>
      <c r="AC692" s="3" cm="1">
        <f t="array" ref="AC692">100000000/LvacE(AA692)</f>
        <v>18329.313190238314</v>
      </c>
      <c r="AD692" s="10">
        <f t="shared" si="437"/>
        <v>6.6802854511564353E-3</v>
      </c>
      <c r="AE692" s="10" t="b">
        <f t="shared" si="438"/>
        <v>1</v>
      </c>
      <c r="AP692"/>
      <c r="AQ692"/>
      <c r="AU692" s="3" cm="1">
        <f t="array" ref="AU692">$C692*EXP(poly_from_str(100000000/$E692,AU$4341))</f>
        <v>0.14535673931473586</v>
      </c>
    </row>
    <row r="693" spans="1:48" x14ac:dyDescent="0.25">
      <c r="A693" t="s">
        <v>1170</v>
      </c>
      <c r="B693" s="2" t="str">
        <f t="shared" si="434"/>
        <v/>
      </c>
      <c r="C693">
        <v>50</v>
      </c>
      <c r="E693" t="s">
        <v>1171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463">$G693&amp;""</f>
        <v>o</v>
      </c>
      <c r="N693" t="str">
        <f t="shared" ref="N693:N695" si="464">$H693&amp;""</f>
        <v>13/2</v>
      </c>
      <c r="O693">
        <v>21238.78</v>
      </c>
      <c r="P693" t="str">
        <f t="shared" ref="P693:P695" si="465">$J693&amp;""</f>
        <v>e</v>
      </c>
      <c r="Q693" t="str">
        <f t="shared" ref="Q693:Q695" si="466">$K693&amp;""</f>
        <v>13/2</v>
      </c>
      <c r="R693">
        <v>8</v>
      </c>
      <c r="S693" t="s">
        <v>420</v>
      </c>
      <c r="AA693" s="10">
        <f t="shared" si="435"/>
        <v>5449.3670000000002</v>
      </c>
      <c r="AB693" s="3">
        <f t="shared" si="436"/>
        <v>18345.66</v>
      </c>
      <c r="AC693" s="3" cm="1">
        <f t="array" ref="AC693">100000000/LvacE(AA693)</f>
        <v>18345.656585377707</v>
      </c>
      <c r="AD693" s="10">
        <f t="shared" si="437"/>
        <v>6.683283268072944E-3</v>
      </c>
      <c r="AE693" s="10" t="b">
        <f t="shared" si="438"/>
        <v>1</v>
      </c>
      <c r="AJ693" t="s">
        <v>4977</v>
      </c>
      <c r="AK693" t="s">
        <v>4696</v>
      </c>
      <c r="AL693">
        <v>2893.14</v>
      </c>
      <c r="AM693">
        <v>21238.78</v>
      </c>
      <c r="AN693" s="10" cm="1">
        <f t="array" ref="AN693">Lair(100000000/($AM693-$AL693))</f>
        <v>5449.3719322159204</v>
      </c>
      <c r="AO693" s="10">
        <f t="shared" ref="AO693:AO695" si="467">100000000/($AM693-$AL693)</f>
        <v>5450.8864231501329</v>
      </c>
      <c r="AP693" s="12">
        <v>1450000</v>
      </c>
      <c r="AQ693" s="3">
        <v>0.39800000000000002</v>
      </c>
      <c r="AR693" s="3">
        <f>LN(AU693*100000000/($AM693-$AL693)/AP693)</f>
        <v>-4.2867414269411483</v>
      </c>
      <c r="AS693" s="13">
        <f>EXP(AR$4341*$AM693+AR$4342)*$AP693/(100000000/($AM693-$AL693))</f>
        <v>4.7771992452827403</v>
      </c>
      <c r="AT693" s="3">
        <f>LN(AS693/$C693)</f>
        <v>-2.3481685625992066</v>
      </c>
      <c r="AU693" s="3" cm="1">
        <f t="array" ref="AU693">$C693*EXP(poly_from_str($AO693,AU$4341))</f>
        <v>3.6575706367437588</v>
      </c>
      <c r="AV693" s="13">
        <f>LN(AS693/AU693)</f>
        <v>0.26705527625468689</v>
      </c>
    </row>
    <row r="694" spans="1:48" x14ac:dyDescent="0.25">
      <c r="A694" t="s">
        <v>1172</v>
      </c>
      <c r="B694" s="2" t="str">
        <f t="shared" si="434"/>
        <v/>
      </c>
      <c r="C694">
        <v>10</v>
      </c>
      <c r="E694" t="s">
        <v>1173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463"/>
        <v>o</v>
      </c>
      <c r="N694" t="str">
        <f t="shared" si="464"/>
        <v>7/2</v>
      </c>
      <c r="O694">
        <v>29267.86</v>
      </c>
      <c r="P694" t="str">
        <f t="shared" si="465"/>
        <v>e</v>
      </c>
      <c r="Q694" t="str">
        <f t="shared" si="466"/>
        <v>5/2</v>
      </c>
      <c r="R694">
        <v>8</v>
      </c>
      <c r="AA694" s="10">
        <f t="shared" si="435"/>
        <v>5430.67</v>
      </c>
      <c r="AB694" s="3">
        <f t="shared" si="436"/>
        <v>18408.82</v>
      </c>
      <c r="AC694" s="3" cm="1">
        <f t="array" ref="AC694">100000000/LvacE(AA694)</f>
        <v>18408.817293969838</v>
      </c>
      <c r="AD694" s="10">
        <f t="shared" si="437"/>
        <v>6.6948937510445151E-3</v>
      </c>
      <c r="AE694" s="10" t="b">
        <f t="shared" si="438"/>
        <v>1</v>
      </c>
      <c r="AJ694" t="s">
        <v>4817</v>
      </c>
      <c r="AK694" t="s">
        <v>4700</v>
      </c>
      <c r="AL694">
        <v>10859.06</v>
      </c>
      <c r="AM694">
        <v>29267.86</v>
      </c>
      <c r="AN694" s="10" cm="1">
        <f t="array" ref="AN694">Lair(100000000/($AM694-$AL694))</f>
        <v>5430.6751073739943</v>
      </c>
      <c r="AO694" s="10">
        <f t="shared" si="467"/>
        <v>5432.1846073616953</v>
      </c>
      <c r="AU694" s="3" cm="1">
        <f t="array" ref="AU694">$C694*EXP(poly_from_str($AO694,AU$4341))</f>
        <v>0.7497377662906981</v>
      </c>
    </row>
    <row r="695" spans="1:48" x14ac:dyDescent="0.25">
      <c r="A695" t="s">
        <v>1174</v>
      </c>
      <c r="B695" s="2" t="str">
        <f t="shared" si="434"/>
        <v/>
      </c>
      <c r="C695">
        <v>100</v>
      </c>
      <c r="E695" t="s">
        <v>1175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463"/>
        <v>o</v>
      </c>
      <c r="N695" t="str">
        <f t="shared" si="464"/>
        <v>11/2</v>
      </c>
      <c r="O695">
        <v>35828.46</v>
      </c>
      <c r="P695" t="str">
        <f t="shared" si="465"/>
        <v>e</v>
      </c>
      <c r="Q695" t="str">
        <f t="shared" si="466"/>
        <v>9/2</v>
      </c>
      <c r="R695">
        <v>8</v>
      </c>
      <c r="AA695" s="10">
        <f t="shared" si="435"/>
        <v>5427.7</v>
      </c>
      <c r="AB695" s="3">
        <f t="shared" si="436"/>
        <v>18418.89</v>
      </c>
      <c r="AC695" s="3" cm="1">
        <f t="array" ref="AC695">100000000/LvacE(AA695)</f>
        <v>18418.890360614179</v>
      </c>
      <c r="AD695" s="10">
        <f t="shared" si="437"/>
        <v>6.6967491166252911E-3</v>
      </c>
      <c r="AE695" s="10" t="b">
        <f t="shared" si="438"/>
        <v>1</v>
      </c>
      <c r="AJ695" t="s">
        <v>4980</v>
      </c>
      <c r="AK695" t="s">
        <v>4773</v>
      </c>
      <c r="AL695">
        <v>17409.580000000002</v>
      </c>
      <c r="AM695">
        <v>35828.46</v>
      </c>
      <c r="AN695" s="10" cm="1">
        <f t="array" ref="AN695">Lair(100000000/($AM695-$AL695))</f>
        <v>5427.7030586190449</v>
      </c>
      <c r="AO695" s="10">
        <f t="shared" si="467"/>
        <v>5429.2117653190644</v>
      </c>
      <c r="AP695" s="12">
        <v>6330000</v>
      </c>
      <c r="AQ695" s="3">
        <v>0.223</v>
      </c>
      <c r="AR695" s="3">
        <f>LN(AU695*100000000/($AM695-$AL695)/AP695)</f>
        <v>-5.0428542241935492</v>
      </c>
      <c r="AS695" s="13">
        <f>EXP(AR$4341*$AM695+AR$4342)*$AP695/(100000000/($AM695-$AL695))</f>
        <v>7.0053013086044729</v>
      </c>
      <c r="AT695" s="3">
        <f>LN(AS695/$C695)</f>
        <v>-2.6585029937616462</v>
      </c>
      <c r="AU695" s="3" cm="1">
        <f t="array" ref="AU695">$C695*EXP(poly_from_str($AO695,AU$4341))</f>
        <v>7.5263284289320591</v>
      </c>
      <c r="AV695" s="13">
        <f>LN(AS695/AU695)</f>
        <v>-7.1740138234206829E-2</v>
      </c>
    </row>
    <row r="696" spans="1:48" x14ac:dyDescent="0.25">
      <c r="A696" t="s">
        <v>1176</v>
      </c>
      <c r="B696" s="2" t="str">
        <f t="shared" si="434"/>
        <v/>
      </c>
      <c r="C696">
        <v>3</v>
      </c>
      <c r="E696" t="s">
        <v>1177</v>
      </c>
      <c r="R696">
        <v>8</v>
      </c>
      <c r="S696" t="s">
        <v>22</v>
      </c>
      <c r="AA696" s="10">
        <f t="shared" si="435"/>
        <v>5418.9459999999999</v>
      </c>
      <c r="AB696" s="3">
        <f t="shared" si="436"/>
        <v>18448.64</v>
      </c>
      <c r="AC696" s="3" cm="1">
        <f t="array" ref="AC696">100000000/LvacE(AA696)</f>
        <v>18448.644704222708</v>
      </c>
      <c r="AD696" s="10">
        <f t="shared" si="437"/>
        <v>6.7022355181452914E-3</v>
      </c>
      <c r="AE696" s="10" t="b">
        <f t="shared" si="438"/>
        <v>1</v>
      </c>
      <c r="AP696"/>
      <c r="AQ696"/>
      <c r="AU696" s="3" cm="1">
        <f t="array" ref="AU696">$C696*EXP(poly_from_str(100000000/$E696,AU$4341))</f>
        <v>0.22834612744473526</v>
      </c>
    </row>
    <row r="697" spans="1:48" x14ac:dyDescent="0.25">
      <c r="A697" t="s">
        <v>1178</v>
      </c>
      <c r="B697" s="2" t="str">
        <f t="shared" si="434"/>
        <v/>
      </c>
      <c r="C697">
        <v>1</v>
      </c>
      <c r="E697" t="s">
        <v>1179</v>
      </c>
      <c r="R697">
        <v>8</v>
      </c>
      <c r="S697" t="s">
        <v>22</v>
      </c>
      <c r="AA697" s="10">
        <f t="shared" si="435"/>
        <v>5414.8519999999999</v>
      </c>
      <c r="AB697" s="3">
        <f t="shared" si="436"/>
        <v>18462.59</v>
      </c>
      <c r="AC697" s="3" cm="1">
        <f t="array" ref="AC697">100000000/LvacE(AA697)</f>
        <v>18462.592991923608</v>
      </c>
      <c r="AD697" s="10">
        <f t="shared" si="437"/>
        <v>6.7048104908429274E-3</v>
      </c>
      <c r="AE697" s="10" t="b">
        <f t="shared" si="438"/>
        <v>1</v>
      </c>
      <c r="AP697"/>
      <c r="AQ697"/>
      <c r="AU697" s="3" cm="1">
        <f t="array" ref="AU697">$C697*EXP(poly_from_str(100000000/$E697,AU$4341))</f>
        <v>7.6513294142188007E-2</v>
      </c>
    </row>
    <row r="698" spans="1:48" x14ac:dyDescent="0.25">
      <c r="A698" t="s">
        <v>1180</v>
      </c>
      <c r="B698" s="2" t="str">
        <f t="shared" si="434"/>
        <v/>
      </c>
      <c r="C698">
        <v>1</v>
      </c>
      <c r="E698" t="s">
        <v>1181</v>
      </c>
      <c r="R698">
        <v>8</v>
      </c>
      <c r="S698" t="s">
        <v>22</v>
      </c>
      <c r="AA698" s="10">
        <f t="shared" si="435"/>
        <v>5414.402</v>
      </c>
      <c r="AB698" s="3">
        <f t="shared" si="436"/>
        <v>18464.13</v>
      </c>
      <c r="AC698" s="3" cm="1">
        <f t="array" ref="AC698">100000000/LvacE(AA698)</f>
        <v>18464.127431854333</v>
      </c>
      <c r="AD698" s="10">
        <f t="shared" si="437"/>
        <v>6.7050938803448965E-3</v>
      </c>
      <c r="AE698" s="10" t="b">
        <f t="shared" si="438"/>
        <v>1</v>
      </c>
      <c r="AP698"/>
      <c r="AQ698"/>
      <c r="AU698" s="3" cm="1">
        <f t="array" ref="AU698">$C698*EXP(poly_from_str(100000000/$E698,AU$4341))</f>
        <v>7.6557158752386653E-2</v>
      </c>
    </row>
    <row r="699" spans="1:48" x14ac:dyDescent="0.25">
      <c r="A699" t="s">
        <v>1182</v>
      </c>
      <c r="B699" s="2" t="str">
        <f t="shared" si="434"/>
        <v/>
      </c>
      <c r="C699">
        <v>1</v>
      </c>
      <c r="D699" t="s">
        <v>134</v>
      </c>
      <c r="E699" t="s">
        <v>1183</v>
      </c>
      <c r="R699">
        <v>8</v>
      </c>
      <c r="S699" t="s">
        <v>22</v>
      </c>
      <c r="AA699" s="10">
        <f t="shared" si="435"/>
        <v>5410.7520000000004</v>
      </c>
      <c r="AB699" s="3">
        <f t="shared" si="436"/>
        <v>18476.580000000002</v>
      </c>
      <c r="AC699" s="3" cm="1">
        <f t="array" ref="AC699">100000000/LvacE(AA699)</f>
        <v>18476.582875434186</v>
      </c>
      <c r="AD699" s="10">
        <f t="shared" si="437"/>
        <v>6.707395097338982E-3</v>
      </c>
      <c r="AE699" s="10" t="b">
        <f t="shared" si="438"/>
        <v>1</v>
      </c>
      <c r="AP699"/>
      <c r="AQ699"/>
      <c r="AU699" s="3" cm="1">
        <f t="array" ref="AU699">$C699*EXP(poly_from_str(100000000/$E699,AU$4341))</f>
        <v>7.6911295297360502E-2</v>
      </c>
    </row>
    <row r="700" spans="1:48" x14ac:dyDescent="0.25">
      <c r="A700" t="s">
        <v>1184</v>
      </c>
      <c r="B700" s="2" t="str">
        <f t="shared" si="434"/>
        <v/>
      </c>
      <c r="C700">
        <v>0</v>
      </c>
      <c r="E700" t="s">
        <v>1185</v>
      </c>
      <c r="R700">
        <v>8</v>
      </c>
      <c r="S700" t="s">
        <v>22</v>
      </c>
      <c r="AA700" s="10">
        <f t="shared" si="435"/>
        <v>5410.6369999999997</v>
      </c>
      <c r="AB700" s="3">
        <f t="shared" si="436"/>
        <v>18476.98</v>
      </c>
      <c r="AC700" s="3" cm="1">
        <f t="array" ref="AC700">100000000/LvacE(AA700)</f>
        <v>18476.975580287715</v>
      </c>
      <c r="AD700" s="10">
        <f t="shared" si="437"/>
        <v>6.7074676771226496E-3</v>
      </c>
      <c r="AE700" s="10" t="b">
        <f t="shared" si="438"/>
        <v>1</v>
      </c>
      <c r="AP700"/>
      <c r="AQ700"/>
      <c r="AU700" s="3" cm="1">
        <f t="array" ref="AU700">$C700*EXP(poly_from_str(100000000/$E700,AU$4341))</f>
        <v>0</v>
      </c>
    </row>
    <row r="701" spans="1:48" x14ac:dyDescent="0.25">
      <c r="A701" t="s">
        <v>1186</v>
      </c>
      <c r="B701" s="2" t="str">
        <f t="shared" si="434"/>
        <v/>
      </c>
      <c r="C701">
        <v>5</v>
      </c>
      <c r="D701" t="s">
        <v>14</v>
      </c>
      <c r="E701" t="s">
        <v>1187</v>
      </c>
      <c r="R701">
        <v>8</v>
      </c>
      <c r="S701" t="s">
        <v>22</v>
      </c>
      <c r="AA701" s="10">
        <f t="shared" si="435"/>
        <v>5410.13</v>
      </c>
      <c r="AB701" s="3">
        <f t="shared" si="436"/>
        <v>18478.71</v>
      </c>
      <c r="AC701" s="3" cm="1">
        <f t="array" ref="AC701">100000000/LvacE(AA701)</f>
        <v>18478.707095513164</v>
      </c>
      <c r="AD701" s="10">
        <f t="shared" si="437"/>
        <v>6.7077877144831235E-3</v>
      </c>
      <c r="AE701" s="10" t="b">
        <f t="shared" si="438"/>
        <v>1</v>
      </c>
      <c r="AP701"/>
      <c r="AQ701"/>
      <c r="AU701" s="3" cm="1">
        <f t="array" ref="AU701">$C701*EXP(poly_from_str(100000000/$E701,AU$4341))</f>
        <v>0.38485897090664883</v>
      </c>
    </row>
    <row r="702" spans="1:48" x14ac:dyDescent="0.25">
      <c r="A702" t="s">
        <v>1188</v>
      </c>
      <c r="B702" s="2" t="str">
        <f t="shared" si="434"/>
        <v/>
      </c>
      <c r="C702">
        <v>8</v>
      </c>
      <c r="E702" t="s">
        <v>1189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435"/>
        <v>5402.7259999999997</v>
      </c>
      <c r="AB702" s="3">
        <f t="shared" si="436"/>
        <v>18504.03</v>
      </c>
      <c r="AC702" s="3" cm="1">
        <f t="array" ref="AC702">100000000/LvacE(AA702)</f>
        <v>18504.030390244687</v>
      </c>
      <c r="AD702" s="10">
        <f t="shared" si="437"/>
        <v>6.7124716661778414E-3</v>
      </c>
      <c r="AE702" s="10" t="b">
        <f t="shared" si="438"/>
        <v>1</v>
      </c>
      <c r="AJ702" t="s">
        <v>4795</v>
      </c>
      <c r="AK702" t="s">
        <v>4787</v>
      </c>
      <c r="AL702">
        <v>18693.650000000001</v>
      </c>
      <c r="AM702">
        <v>37197.64</v>
      </c>
      <c r="AN702" s="10" cm="1">
        <f t="array" ref="AN702">Lair(100000000/($AM702-$AL702))</f>
        <v>5402.7377984514205</v>
      </c>
      <c r="AO702" s="10">
        <f>100000000/($AM702-$AL702)</f>
        <v>5404.2398423258992</v>
      </c>
      <c r="AU702" s="3" cm="1">
        <f t="array" ref="AU702">$C702*EXP(poly_from_str($AO702,AU$4341))</f>
        <v>0.62150188691602626</v>
      </c>
    </row>
    <row r="703" spans="1:48" x14ac:dyDescent="0.25">
      <c r="A703" t="s">
        <v>1190</v>
      </c>
      <c r="B703" s="2" t="str">
        <f t="shared" si="434"/>
        <v/>
      </c>
      <c r="C703">
        <v>6</v>
      </c>
      <c r="E703" t="s">
        <v>1191</v>
      </c>
      <c r="R703">
        <v>8</v>
      </c>
      <c r="S703" t="s">
        <v>22</v>
      </c>
      <c r="AA703" s="10">
        <f t="shared" si="435"/>
        <v>5390.0649999999996</v>
      </c>
      <c r="AB703" s="3">
        <f t="shared" si="436"/>
        <v>18547.490000000002</v>
      </c>
      <c r="AC703" s="3" cm="1">
        <f t="array" ref="AC703">100000000/LvacE(AA703)</f>
        <v>18547.494969366977</v>
      </c>
      <c r="AD703" s="10">
        <f t="shared" si="437"/>
        <v>6.7205260947100802E-3</v>
      </c>
      <c r="AE703" s="10" t="b">
        <f t="shared" si="438"/>
        <v>1</v>
      </c>
      <c r="AP703"/>
      <c r="AQ703"/>
      <c r="AU703" s="3" cm="1">
        <f t="array" ref="AU703">$C703*EXP(poly_from_str(100000000/$E703,AU$4341))</f>
        <v>0.47345820253822346</v>
      </c>
    </row>
    <row r="704" spans="1:48" x14ac:dyDescent="0.25">
      <c r="A704" t="s">
        <v>1192</v>
      </c>
      <c r="B704" s="2" t="str">
        <f t="shared" si="434"/>
        <v/>
      </c>
      <c r="C704">
        <v>6</v>
      </c>
      <c r="E704" t="s">
        <v>1193</v>
      </c>
      <c r="R704">
        <v>8</v>
      </c>
      <c r="S704" t="s">
        <v>22</v>
      </c>
      <c r="AA704" s="10">
        <f t="shared" si="435"/>
        <v>5368.5959999999995</v>
      </c>
      <c r="AB704" s="3">
        <f t="shared" si="436"/>
        <v>18621.669999999998</v>
      </c>
      <c r="AC704" s="3" cm="1">
        <f t="array" ref="AC704">100000000/LvacE(AA704)</f>
        <v>18621.665512078129</v>
      </c>
      <c r="AD704" s="10">
        <f t="shared" si="437"/>
        <v>6.734314289255341E-3</v>
      </c>
      <c r="AE704" s="10" t="b">
        <f t="shared" si="438"/>
        <v>1</v>
      </c>
      <c r="AP704"/>
      <c r="AQ704"/>
      <c r="AU704" s="3" cm="1">
        <f t="array" ref="AU704">$C704*EXP(poly_from_str(100000000/$E704,AU$4341))</f>
        <v>0.48575230491916943</v>
      </c>
    </row>
    <row r="705" spans="1:48" x14ac:dyDescent="0.25">
      <c r="A705" t="s">
        <v>1194</v>
      </c>
      <c r="B705" s="2" t="str">
        <f t="shared" si="434"/>
        <v/>
      </c>
      <c r="C705">
        <v>1</v>
      </c>
      <c r="E705" t="s">
        <v>1195</v>
      </c>
      <c r="R705">
        <v>8</v>
      </c>
      <c r="S705" t="s">
        <v>22</v>
      </c>
      <c r="AA705" s="10">
        <f t="shared" si="435"/>
        <v>5368.1379999999999</v>
      </c>
      <c r="AB705" s="3">
        <f t="shared" si="436"/>
        <v>18623.25</v>
      </c>
      <c r="AC705" s="3" cm="1">
        <f t="array" ref="AC705">100000000/LvacE(AA705)</f>
        <v>18623.25426154647</v>
      </c>
      <c r="AD705" s="10">
        <f t="shared" si="437"/>
        <v>6.7346102374367493E-3</v>
      </c>
      <c r="AE705" s="10" t="b">
        <f t="shared" si="438"/>
        <v>1</v>
      </c>
      <c r="AP705"/>
      <c r="AQ705"/>
      <c r="AU705" s="3" cm="1">
        <f t="array" ref="AU705">$C705*EXP(poly_from_str(100000000/$E705,AU$4341))</f>
        <v>8.1001817338436907E-2</v>
      </c>
    </row>
    <row r="706" spans="1:48" x14ac:dyDescent="0.25">
      <c r="A706" t="s">
        <v>1196</v>
      </c>
      <c r="B706" s="2" t="str">
        <f t="shared" si="434"/>
        <v/>
      </c>
      <c r="C706">
        <v>7</v>
      </c>
      <c r="E706" t="s">
        <v>1197</v>
      </c>
      <c r="R706">
        <v>8</v>
      </c>
      <c r="S706" t="s">
        <v>22</v>
      </c>
      <c r="AA706" s="10">
        <f t="shared" si="435"/>
        <v>5367.3580000000002</v>
      </c>
      <c r="AB706" s="3">
        <f t="shared" si="436"/>
        <v>18625.96</v>
      </c>
      <c r="AC706" s="3" cm="1">
        <f t="array" ref="AC706">100000000/LvacE(AA706)</f>
        <v>18625.960616157292</v>
      </c>
      <c r="AD706" s="10">
        <f t="shared" si="437"/>
        <v>6.7351144283795952E-3</v>
      </c>
      <c r="AE706" s="10" t="b">
        <f t="shared" si="438"/>
        <v>1</v>
      </c>
      <c r="AP706"/>
      <c r="AQ706"/>
      <c r="AU706" s="3" cm="1">
        <f t="array" ref="AU706">$C706*EXP(poly_from_str(100000000/$E706,AU$4341))</f>
        <v>0.56752979286232452</v>
      </c>
    </row>
    <row r="707" spans="1:48" x14ac:dyDescent="0.25">
      <c r="A707" t="s">
        <v>1198</v>
      </c>
      <c r="B707" s="2" t="str">
        <f t="shared" ref="B707:B770" si="468">IF(OR(A707=A706,A707=A708),IF(B706="",1,B706+1),"")</f>
        <v/>
      </c>
      <c r="C707">
        <v>4</v>
      </c>
      <c r="E707" t="s">
        <v>1199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469">$G707&amp;""</f>
        <v>e</v>
      </c>
      <c r="N707" t="str">
        <f t="shared" ref="N707:N709" si="470">$H707&amp;""</f>
        <v>7/2</v>
      </c>
      <c r="O707">
        <v>39940.720000000001</v>
      </c>
      <c r="P707" t="str">
        <f t="shared" ref="P707:P709" si="471">$J707&amp;""</f>
        <v>o</v>
      </c>
      <c r="Q707" t="str">
        <f t="shared" ref="Q707:Q709" si="472">$K707&amp;""</f>
        <v>7/2</v>
      </c>
      <c r="R707">
        <v>8</v>
      </c>
      <c r="AA707" s="10">
        <f t="shared" ref="AA707:AA770" si="473">ROUND($A707,3)+0</f>
        <v>5361.6369999999997</v>
      </c>
      <c r="AB707" s="3">
        <f t="shared" ref="AB707:AB770" si="474">ROUND($E707,2)+0</f>
        <v>18645.830000000002</v>
      </c>
      <c r="AC707" s="3" cm="1">
        <f t="array" ref="AC707">100000000/LvacE(AA707)</f>
        <v>18645.834754161373</v>
      </c>
      <c r="AD707" s="10">
        <f t="shared" ref="AD707:AD770" si="475">0.0005/$AA707*AC707+0.005</f>
        <v>6.7388192033665632E-3</v>
      </c>
      <c r="AE707" s="10" t="b">
        <f t="shared" ref="AE707:AE770" si="476">ABS(AB707-AC707)&lt;AD707</f>
        <v>1</v>
      </c>
      <c r="AJ707" t="s">
        <v>4791</v>
      </c>
      <c r="AK707" t="s">
        <v>4752</v>
      </c>
      <c r="AL707">
        <v>21294.89</v>
      </c>
      <c r="AM707">
        <v>39940.720000000001</v>
      </c>
      <c r="AN707" s="10" cm="1">
        <f t="array" ref="AN707">Lair(100000000/($AM707-$AL707))</f>
        <v>5361.6383721145321</v>
      </c>
      <c r="AO707" s="10">
        <f t="shared" ref="AO707:AO709" si="477">100000000/($AM707-$AL707)</f>
        <v>5363.1294503918562</v>
      </c>
      <c r="AP707" s="12">
        <v>297000</v>
      </c>
      <c r="AQ707" s="3">
        <v>8.0000000000000002E-3</v>
      </c>
      <c r="AR707" s="3"/>
      <c r="AS707" s="13">
        <f t="shared" ref="AS707:AS709" si="478">EXP(AR$4341*$AM707+AR$4342)*$AP707/(100000000/($AM707-$AL707))</f>
        <v>0.24438225277289427</v>
      </c>
      <c r="AT707" s="3"/>
      <c r="AU707" s="3" cm="1">
        <f t="array" ref="AU707">$C707*EXP(poly_from_str($AO707,AU$4341))</f>
        <v>0.32646013360451664</v>
      </c>
    </row>
    <row r="708" spans="1:48" x14ac:dyDescent="0.25">
      <c r="A708" t="s">
        <v>1200</v>
      </c>
      <c r="B708" s="2" t="str">
        <f t="shared" si="468"/>
        <v/>
      </c>
      <c r="C708">
        <v>5</v>
      </c>
      <c r="E708" t="s">
        <v>1201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469"/>
        <v>o</v>
      </c>
      <c r="N708" t="str">
        <f t="shared" si="470"/>
        <v>9/2</v>
      </c>
      <c r="O708">
        <v>28720.71</v>
      </c>
      <c r="P708" t="str">
        <f t="shared" si="471"/>
        <v>e</v>
      </c>
      <c r="Q708" t="str">
        <f t="shared" si="472"/>
        <v>9/2</v>
      </c>
      <c r="R708">
        <v>8</v>
      </c>
      <c r="AA708" s="10">
        <f t="shared" si="473"/>
        <v>5349.5910000000003</v>
      </c>
      <c r="AB708" s="3">
        <f t="shared" si="474"/>
        <v>18687.82</v>
      </c>
      <c r="AC708" s="3" cm="1">
        <f t="array" ref="AC708">100000000/LvacE(AA708)</f>
        <v>18687.820238798537</v>
      </c>
      <c r="AD708" s="10">
        <f t="shared" si="475"/>
        <v>6.7466587855780505E-3</v>
      </c>
      <c r="AE708" s="10" t="b">
        <f t="shared" si="476"/>
        <v>1</v>
      </c>
      <c r="AJ708" t="s">
        <v>4812</v>
      </c>
      <c r="AK708" t="s">
        <v>4708</v>
      </c>
      <c r="AL708">
        <v>10032.92</v>
      </c>
      <c r="AM708">
        <v>28720.71</v>
      </c>
      <c r="AN708" s="10" cm="1">
        <f t="array" ref="AN708">Lair(100000000/($AM708-$AL708))</f>
        <v>5349.5996612428089</v>
      </c>
      <c r="AO708" s="10">
        <f t="shared" si="477"/>
        <v>5351.0875282738089</v>
      </c>
      <c r="AP708" s="12">
        <v>30600</v>
      </c>
      <c r="AQ708" s="3">
        <v>1E-3</v>
      </c>
      <c r="AR708" s="3"/>
      <c r="AS708" s="13">
        <f t="shared" si="478"/>
        <v>5.8573051366336747E-2</v>
      </c>
      <c r="AT708" s="3"/>
      <c r="AU708" s="3" cm="1">
        <f t="array" ref="AU708">$C708*EXP(poly_from_str($AO708,AU$4341))</f>
        <v>0.41370073855312472</v>
      </c>
    </row>
    <row r="709" spans="1:48" x14ac:dyDescent="0.25">
      <c r="A709" t="s">
        <v>1202</v>
      </c>
      <c r="B709" s="2" t="str">
        <f t="shared" si="468"/>
        <v/>
      </c>
      <c r="C709">
        <v>1500</v>
      </c>
      <c r="E709" t="s">
        <v>1203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469"/>
        <v>o</v>
      </c>
      <c r="N709" t="str">
        <f t="shared" si="470"/>
        <v>15/2</v>
      </c>
      <c r="O709">
        <v>23175.09</v>
      </c>
      <c r="P709" t="str">
        <f t="shared" si="471"/>
        <v>e</v>
      </c>
      <c r="Q709" t="str">
        <f t="shared" si="472"/>
        <v>13/2</v>
      </c>
      <c r="R709">
        <v>8</v>
      </c>
      <c r="AA709" s="10">
        <f t="shared" si="473"/>
        <v>5340.0150000000003</v>
      </c>
      <c r="AB709" s="3">
        <f t="shared" si="474"/>
        <v>18721.330000000002</v>
      </c>
      <c r="AC709" s="3" cm="1">
        <f t="array" ref="AC709">100000000/LvacE(AA709)</f>
        <v>18721.331853062726</v>
      </c>
      <c r="AD709" s="10">
        <f t="shared" si="475"/>
        <v>6.7529287701497773E-3</v>
      </c>
      <c r="AE709" s="10" t="b">
        <f t="shared" si="476"/>
        <v>1</v>
      </c>
      <c r="AJ709" t="s">
        <v>4994</v>
      </c>
      <c r="AK709" t="s">
        <v>4969</v>
      </c>
      <c r="AL709">
        <v>4453.76</v>
      </c>
      <c r="AM709">
        <v>23175.09</v>
      </c>
      <c r="AN709" s="10" cm="1">
        <f t="array" ref="AN709">Lair(100000000/($AM709-$AL709))</f>
        <v>5340.015533446016</v>
      </c>
      <c r="AO709" s="10">
        <f t="shared" si="477"/>
        <v>5341.5008442242079</v>
      </c>
      <c r="AP709" s="12">
        <v>57700000</v>
      </c>
      <c r="AQ709" s="3">
        <v>0.875</v>
      </c>
      <c r="AR709" s="3">
        <f>LN(AU709*100000000/($AM709-$AL709)/AP709)</f>
        <v>-4.4557005290722413</v>
      </c>
      <c r="AS709" s="13">
        <f t="shared" si="478"/>
        <v>167.75521104572417</v>
      </c>
      <c r="AT709" s="3">
        <f t="shared" ref="AT709" si="479">LN(AS709/$C709)</f>
        <v>-2.1907145473649665</v>
      </c>
      <c r="AU709" s="3" cm="1">
        <f t="array" ref="AU709">$C709*EXP(poly_from_str($AO709,AU$4341))</f>
        <v>125.4372022636062</v>
      </c>
      <c r="AV709" s="13">
        <f>LN(AS709/AU709)</f>
        <v>0.29070058675520266</v>
      </c>
    </row>
    <row r="710" spans="1:48" x14ac:dyDescent="0.25">
      <c r="A710" t="s">
        <v>1204</v>
      </c>
      <c r="B710" s="2" t="str">
        <f t="shared" si="468"/>
        <v/>
      </c>
      <c r="C710">
        <v>3</v>
      </c>
      <c r="E710" t="s">
        <v>1205</v>
      </c>
      <c r="R710">
        <v>8</v>
      </c>
      <c r="S710" t="s">
        <v>22</v>
      </c>
      <c r="AA710" s="10">
        <f t="shared" si="473"/>
        <v>5332.9780000000001</v>
      </c>
      <c r="AB710" s="3">
        <f t="shared" si="474"/>
        <v>18746.03</v>
      </c>
      <c r="AC710" s="3" cm="1">
        <f t="array" ref="AC710">100000000/LvacE(AA710)</f>
        <v>18746.034843219481</v>
      </c>
      <c r="AD710" s="10">
        <f t="shared" si="475"/>
        <v>6.7575578638445054E-3</v>
      </c>
      <c r="AE710" s="10" t="b">
        <f t="shared" si="476"/>
        <v>1</v>
      </c>
      <c r="AP710"/>
      <c r="AQ710"/>
      <c r="AU710" s="3" cm="1">
        <f t="array" ref="AU710">$C710*EXP(poly_from_str(100000000/$E710,AU$4341))</f>
        <v>0.25280171191198825</v>
      </c>
    </row>
    <row r="711" spans="1:48" x14ac:dyDescent="0.25">
      <c r="A711" t="s">
        <v>1206</v>
      </c>
      <c r="B711" s="2" t="str">
        <f t="shared" si="468"/>
        <v/>
      </c>
      <c r="C711">
        <v>10</v>
      </c>
      <c r="E711" t="s">
        <v>1207</v>
      </c>
      <c r="R711">
        <v>8</v>
      </c>
      <c r="S711" t="s">
        <v>22</v>
      </c>
      <c r="AA711" s="10">
        <f t="shared" si="473"/>
        <v>5326.6909999999998</v>
      </c>
      <c r="AB711" s="3">
        <f t="shared" si="474"/>
        <v>18768.16</v>
      </c>
      <c r="AC711" s="3" cm="1">
        <f t="array" ref="AC711">100000000/LvacE(AA711)</f>
        <v>18768.160205365042</v>
      </c>
      <c r="AD711" s="10">
        <f t="shared" si="475"/>
        <v>6.7617091178524382E-3</v>
      </c>
      <c r="AE711" s="10" t="b">
        <f t="shared" si="476"/>
        <v>1</v>
      </c>
      <c r="AP711"/>
      <c r="AQ711"/>
      <c r="AU711" s="3" cm="1">
        <f t="array" ref="AU711">$C711*EXP(poly_from_str(100000000/$E711,AU$4341))</f>
        <v>0.84835891454315204</v>
      </c>
    </row>
    <row r="712" spans="1:48" x14ac:dyDescent="0.25">
      <c r="A712" t="s">
        <v>1208</v>
      </c>
      <c r="B712" s="2" t="str">
        <f t="shared" si="468"/>
        <v/>
      </c>
      <c r="C712">
        <v>4</v>
      </c>
      <c r="E712" t="s">
        <v>1209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480">$G712&amp;""</f>
        <v>o</v>
      </c>
      <c r="N712" t="str">
        <f t="shared" ref="N712:N713" si="481">$H712&amp;""</f>
        <v>5/2</v>
      </c>
      <c r="O712">
        <v>28936.46</v>
      </c>
      <c r="P712" t="str">
        <f t="shared" ref="P712:P713" si="482">$J712&amp;""</f>
        <v>e</v>
      </c>
      <c r="Q712" t="str">
        <f t="shared" ref="Q712:Q713" si="483">$K712&amp;""</f>
        <v>3/2</v>
      </c>
      <c r="R712">
        <v>8</v>
      </c>
      <c r="AA712" s="10">
        <f t="shared" si="473"/>
        <v>5318.1559999999999</v>
      </c>
      <c r="AB712" s="3">
        <f t="shared" si="474"/>
        <v>18798.28</v>
      </c>
      <c r="AC712" s="3" cm="1">
        <f t="array" ref="AC712">100000000/LvacE(AA712)</f>
        <v>18798.280495491876</v>
      </c>
      <c r="AD712" s="10">
        <f t="shared" si="475"/>
        <v>6.7673682847486875E-3</v>
      </c>
      <c r="AE712" s="10" t="b">
        <f t="shared" si="476"/>
        <v>1</v>
      </c>
      <c r="AJ712" t="s">
        <v>4715</v>
      </c>
      <c r="AK712" t="s">
        <v>4801</v>
      </c>
      <c r="AL712">
        <v>10138.18</v>
      </c>
      <c r="AM712">
        <v>28936.46</v>
      </c>
      <c r="AN712" s="10" cm="1">
        <f t="array" ref="AN712">Lair(100000000/($AM712-$AL712))</f>
        <v>5318.1561449013343</v>
      </c>
      <c r="AO712" s="10">
        <f t="shared" ref="AO712:AO713" si="484">100000000/($AM712-$AL712)</f>
        <v>5319.635626238146</v>
      </c>
      <c r="AU712" s="3" cm="1">
        <f t="array" ref="AU712">$C712*EXP(poly_from_str($AO712,AU$4341))</f>
        <v>0.34239485794853164</v>
      </c>
    </row>
    <row r="713" spans="1:48" x14ac:dyDescent="0.25">
      <c r="A713" t="s">
        <v>1210</v>
      </c>
      <c r="B713" s="2" t="str">
        <f t="shared" si="468"/>
        <v/>
      </c>
      <c r="C713">
        <v>1500</v>
      </c>
      <c r="E713" t="s">
        <v>1211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480"/>
        <v>o</v>
      </c>
      <c r="N713" t="str">
        <f t="shared" si="481"/>
        <v>13/2</v>
      </c>
      <c r="O713">
        <v>21755.84</v>
      </c>
      <c r="P713" t="str">
        <f t="shared" si="482"/>
        <v>e</v>
      </c>
      <c r="Q713" t="str">
        <f t="shared" si="483"/>
        <v>11/2</v>
      </c>
      <c r="R713">
        <v>8</v>
      </c>
      <c r="AA713" s="10">
        <f t="shared" si="473"/>
        <v>5299.9930000000004</v>
      </c>
      <c r="AB713" s="3">
        <f t="shared" si="474"/>
        <v>18862.7</v>
      </c>
      <c r="AC713" s="3" cm="1">
        <f t="array" ref="AC713">100000000/LvacE(AA713)</f>
        <v>18862.701186204988</v>
      </c>
      <c r="AD713" s="10">
        <f t="shared" si="475"/>
        <v>6.7795024621924022E-3</v>
      </c>
      <c r="AE713" s="10" t="b">
        <f t="shared" si="476"/>
        <v>1</v>
      </c>
      <c r="AJ713" t="s">
        <v>4977</v>
      </c>
      <c r="AK713" t="s">
        <v>4965</v>
      </c>
      <c r="AL713">
        <v>2893.14</v>
      </c>
      <c r="AM713">
        <v>21755.84</v>
      </c>
      <c r="AN713" s="10" cm="1">
        <f t="array" ref="AN713">Lair(100000000/($AM713-$AL713))</f>
        <v>5299.9933378928699</v>
      </c>
      <c r="AO713" s="10">
        <f t="shared" si="484"/>
        <v>5301.4679764826878</v>
      </c>
      <c r="AP713" s="12">
        <v>70500000</v>
      </c>
      <c r="AQ713" s="3">
        <v>0.92500000000000004</v>
      </c>
      <c r="AR713" s="3">
        <f>LN(AU713*100000000/($AM713-$AL713)/AP713)</f>
        <v>-4.621904006666985</v>
      </c>
      <c r="AS713" s="13">
        <f>EXP(AR$4341*$AM713+AR$4342)*$AP713/(100000000/($AM713-$AL713))</f>
        <v>229.72763270022193</v>
      </c>
      <c r="AT713" s="3">
        <f>LN(AS713/$C713)</f>
        <v>-1.8763259855438736</v>
      </c>
      <c r="AU713" s="3" cm="1">
        <f t="array" ref="AU713">$C713*EXP(poly_from_str($AO713,AU$4341))</f>
        <v>130.77525291579127</v>
      </c>
      <c r="AV713" s="13">
        <f>LN(AS713/AU713)</f>
        <v>0.5634141783150125</v>
      </c>
    </row>
    <row r="714" spans="1:48" x14ac:dyDescent="0.25">
      <c r="A714" t="s">
        <v>1212</v>
      </c>
      <c r="B714" s="2" t="str">
        <f t="shared" si="468"/>
        <v/>
      </c>
      <c r="C714">
        <v>4</v>
      </c>
      <c r="E714" t="s">
        <v>1213</v>
      </c>
      <c r="R714">
        <v>8</v>
      </c>
      <c r="S714" t="s">
        <v>22</v>
      </c>
      <c r="AA714" s="10">
        <f t="shared" si="473"/>
        <v>5297.7690000000002</v>
      </c>
      <c r="AB714" s="3">
        <f t="shared" si="474"/>
        <v>18870.62</v>
      </c>
      <c r="AC714" s="3" cm="1">
        <f t="array" ref="AC714">100000000/LvacE(AA714)</f>
        <v>18870.6196439122</v>
      </c>
      <c r="AD714" s="10">
        <f t="shared" si="475"/>
        <v>6.7809968350745573E-3</v>
      </c>
      <c r="AE714" s="10" t="b">
        <f t="shared" si="476"/>
        <v>1</v>
      </c>
      <c r="AP714"/>
      <c r="AQ714"/>
      <c r="AU714" s="3" cm="1">
        <f t="array" ref="AU714">$C714*EXP(poly_from_str(100000000/$E714,AU$4341))</f>
        <v>0.34949458427596009</v>
      </c>
    </row>
    <row r="715" spans="1:48" x14ac:dyDescent="0.25">
      <c r="A715" t="s">
        <v>1214</v>
      </c>
      <c r="B715" s="2" t="str">
        <f t="shared" si="468"/>
        <v/>
      </c>
      <c r="C715">
        <v>10</v>
      </c>
      <c r="E715" t="s">
        <v>1215</v>
      </c>
      <c r="R715">
        <v>8</v>
      </c>
      <c r="S715" t="s">
        <v>22</v>
      </c>
      <c r="AA715" s="10">
        <f t="shared" si="473"/>
        <v>5294.0959999999995</v>
      </c>
      <c r="AB715" s="3">
        <f t="shared" si="474"/>
        <v>18883.71</v>
      </c>
      <c r="AC715" s="3" cm="1">
        <f t="array" ref="AC715">100000000/LvacE(AA715)</f>
        <v>18883.711771283091</v>
      </c>
      <c r="AD715" s="10">
        <f t="shared" si="475"/>
        <v>6.7834689596942607E-3</v>
      </c>
      <c r="AE715" s="10" t="b">
        <f t="shared" si="476"/>
        <v>1</v>
      </c>
      <c r="AP715"/>
      <c r="AQ715"/>
      <c r="AU715" s="3" cm="1">
        <f t="array" ref="AU715">$C715*EXP(poly_from_str(100000000/$E715,AU$4341))</f>
        <v>0.87685538099305016</v>
      </c>
    </row>
    <row r="716" spans="1:48" x14ac:dyDescent="0.25">
      <c r="A716" t="s">
        <v>1216</v>
      </c>
      <c r="B716" s="2" t="str">
        <f t="shared" si="468"/>
        <v/>
      </c>
      <c r="C716">
        <v>3</v>
      </c>
      <c r="E716" t="s">
        <v>1217</v>
      </c>
      <c r="R716">
        <v>8</v>
      </c>
      <c r="S716" t="s">
        <v>22</v>
      </c>
      <c r="AA716" s="10">
        <f t="shared" si="473"/>
        <v>5286.8909999999996</v>
      </c>
      <c r="AB716" s="3">
        <f t="shared" si="474"/>
        <v>18909.45</v>
      </c>
      <c r="AC716" s="3" cm="1">
        <f t="array" ref="AC716">100000000/LvacE(AA716)</f>
        <v>18909.446282466048</v>
      </c>
      <c r="AD716" s="10">
        <f t="shared" si="475"/>
        <v>6.7883332834425799E-3</v>
      </c>
      <c r="AE716" s="10" t="b">
        <f t="shared" si="476"/>
        <v>1</v>
      </c>
      <c r="AP716"/>
      <c r="AQ716"/>
      <c r="AU716" s="3" cm="1">
        <f t="array" ref="AU716">$C716*EXP(poly_from_str(100000000/$E716,AU$4341))</f>
        <v>0.26486991222521361</v>
      </c>
    </row>
    <row r="717" spans="1:48" x14ac:dyDescent="0.25">
      <c r="A717" t="s">
        <v>1218</v>
      </c>
      <c r="B717" s="2" t="str">
        <f t="shared" si="468"/>
        <v/>
      </c>
      <c r="C717">
        <v>1500</v>
      </c>
      <c r="E717" t="s">
        <v>1219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473"/>
        <v>5284.6970000000001</v>
      </c>
      <c r="AB717" s="3">
        <f t="shared" si="474"/>
        <v>18917.3</v>
      </c>
      <c r="AC717" s="3" cm="1">
        <f t="array" ref="AC717">100000000/LvacE(AA717)</f>
        <v>18917.296655024416</v>
      </c>
      <c r="AD717" s="10">
        <f t="shared" si="475"/>
        <v>6.7898184754040221E-3</v>
      </c>
      <c r="AE717" s="10" t="b">
        <f t="shared" si="476"/>
        <v>1</v>
      </c>
      <c r="AJ717" t="s">
        <v>4826</v>
      </c>
      <c r="AK717" t="s">
        <v>4964</v>
      </c>
      <c r="AL717">
        <v>1398.34</v>
      </c>
      <c r="AM717">
        <v>20315.650000000001</v>
      </c>
      <c r="AN717" s="10" cm="1">
        <f t="array" ref="AN717">Lair(100000000/($AM717-$AL717))</f>
        <v>5284.6932764171997</v>
      </c>
      <c r="AO717" s="10">
        <f>100000000/($AM717-$AL717)</f>
        <v>5286.1638361902405</v>
      </c>
      <c r="AP717" s="12">
        <v>61600000</v>
      </c>
      <c r="AQ717" s="3">
        <v>0.91100000000000003</v>
      </c>
      <c r="AR717" s="3">
        <f>LN(AU717*100000000/($AM717-$AL717)/AP717)</f>
        <v>-4.4751715932116198</v>
      </c>
      <c r="AS717" s="13">
        <f>EXP(AR$4341*$AM717+AR$4342)*$AP717/(100000000/($AM717-$AL717))</f>
        <v>224.28467246691196</v>
      </c>
      <c r="AT717" s="3">
        <f>LN(AS717/$C717)</f>
        <v>-1.9003042828660341</v>
      </c>
      <c r="AU717" s="3" cm="1">
        <f t="array" ref="AU717">$C717*EXP(poly_from_str($AO717,AU$4341))</f>
        <v>132.70820176493302</v>
      </c>
      <c r="AV717" s="13">
        <f>LN(AS717/AU717)</f>
        <v>0.52476335797667839</v>
      </c>
    </row>
    <row r="718" spans="1:48" x14ac:dyDescent="0.25">
      <c r="A718" t="s">
        <v>1220</v>
      </c>
      <c r="B718" s="2" t="str">
        <f t="shared" si="468"/>
        <v/>
      </c>
      <c r="C718">
        <v>6</v>
      </c>
      <c r="D718" t="s">
        <v>14</v>
      </c>
      <c r="E718" t="s">
        <v>1221</v>
      </c>
      <c r="R718">
        <v>8</v>
      </c>
      <c r="S718" t="s">
        <v>22</v>
      </c>
      <c r="AA718" s="10">
        <f t="shared" si="473"/>
        <v>5283.6270000000004</v>
      </c>
      <c r="AB718" s="3">
        <f t="shared" si="474"/>
        <v>18921.13</v>
      </c>
      <c r="AC718" s="3" cm="1">
        <f t="array" ref="AC718">100000000/LvacE(AA718)</f>
        <v>18921.127597432071</v>
      </c>
      <c r="AD718" s="10">
        <f t="shared" si="475"/>
        <v>6.790543465448268E-3</v>
      </c>
      <c r="AE718" s="10" t="b">
        <f t="shared" si="476"/>
        <v>1</v>
      </c>
      <c r="AP718"/>
      <c r="AQ718"/>
      <c r="AU718" s="3" cm="1">
        <f t="array" ref="AU718">$C718*EXP(poly_from_str(100000000/$E718,AU$4341))</f>
        <v>0.53136151112172991</v>
      </c>
    </row>
    <row r="719" spans="1:48" x14ac:dyDescent="0.25">
      <c r="A719" t="s">
        <v>1222</v>
      </c>
      <c r="B719" s="2" t="str">
        <f t="shared" si="468"/>
        <v/>
      </c>
      <c r="C719">
        <v>4</v>
      </c>
      <c r="E719" t="s">
        <v>1223</v>
      </c>
      <c r="R719">
        <v>8</v>
      </c>
      <c r="S719" t="s">
        <v>22</v>
      </c>
      <c r="AA719" s="10">
        <f t="shared" si="473"/>
        <v>5282.4830000000002</v>
      </c>
      <c r="AB719" s="3">
        <f t="shared" si="474"/>
        <v>18925.23</v>
      </c>
      <c r="AC719" s="3" cm="1">
        <f t="array" ref="AC719">100000000/LvacE(AA719)</f>
        <v>18925.225200160981</v>
      </c>
      <c r="AD719" s="10">
        <f t="shared" si="475"/>
        <v>6.7913190823482988E-3</v>
      </c>
      <c r="AE719" s="10" t="b">
        <f t="shared" si="476"/>
        <v>1</v>
      </c>
      <c r="AP719"/>
      <c r="AQ719"/>
      <c r="AU719" s="3" cm="1">
        <f t="array" ref="AU719">$C719*EXP(poly_from_str(100000000/$E719,AU$4341))</f>
        <v>0.35461809304891312</v>
      </c>
    </row>
    <row r="720" spans="1:48" x14ac:dyDescent="0.25">
      <c r="A720" t="s">
        <v>1224</v>
      </c>
      <c r="B720" s="2" t="str">
        <f t="shared" si="468"/>
        <v/>
      </c>
      <c r="C720">
        <v>10</v>
      </c>
      <c r="E720" t="s">
        <v>1225</v>
      </c>
      <c r="R720">
        <v>8</v>
      </c>
      <c r="S720" t="s">
        <v>22</v>
      </c>
      <c r="AA720" s="10">
        <f t="shared" si="473"/>
        <v>5264.94</v>
      </c>
      <c r="AB720" s="3">
        <f t="shared" si="474"/>
        <v>18988.28</v>
      </c>
      <c r="AC720" s="3" cm="1">
        <f t="array" ref="AC720">100000000/LvacE(AA720)</f>
        <v>18988.284099415672</v>
      </c>
      <c r="AD720" s="10">
        <f t="shared" si="475"/>
        <v>6.8032764000554302E-3</v>
      </c>
      <c r="AE720" s="10" t="b">
        <f t="shared" si="476"/>
        <v>1</v>
      </c>
      <c r="AP720"/>
      <c r="AQ720"/>
      <c r="AU720" s="3" cm="1">
        <f t="array" ref="AU720">$C720*EXP(poly_from_str(100000000/$E720,AU$4341))</f>
        <v>0.90062945217172596</v>
      </c>
    </row>
    <row r="721" spans="1:48" x14ac:dyDescent="0.25">
      <c r="A721" t="s">
        <v>1226</v>
      </c>
      <c r="B721" s="2" t="str">
        <f t="shared" si="468"/>
        <v/>
      </c>
      <c r="C721">
        <v>1000</v>
      </c>
      <c r="E721" t="s">
        <v>1227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473"/>
        <v>5264.4430000000002</v>
      </c>
      <c r="AB721" s="3">
        <f t="shared" si="474"/>
        <v>18990.080000000002</v>
      </c>
      <c r="AC721" s="3" cm="1">
        <f t="array" ref="AC721">100000000/LvacE(AA721)</f>
        <v>18990.076704252002</v>
      </c>
      <c r="AD721" s="10">
        <f t="shared" si="475"/>
        <v>6.8036168977660127E-3</v>
      </c>
      <c r="AE721" s="10" t="b">
        <f t="shared" si="476"/>
        <v>1</v>
      </c>
      <c r="AJ721" t="s">
        <v>4757</v>
      </c>
      <c r="AK721" t="s">
        <v>4968</v>
      </c>
      <c r="AL721">
        <v>0</v>
      </c>
      <c r="AM721">
        <v>18990.080000000002</v>
      </c>
      <c r="AN721" s="10" cm="1">
        <f t="array" ref="AN721">Lair(100000000/($AM721-$AL721))</f>
        <v>5264.4420906783826</v>
      </c>
      <c r="AO721" s="10">
        <f>100000000/($AM721-$AL721)</f>
        <v>5265.90725262874</v>
      </c>
      <c r="AP721" s="12">
        <v>52600000</v>
      </c>
      <c r="AQ721" s="3">
        <v>0.91100000000000003</v>
      </c>
      <c r="AR721" s="3">
        <f>LN(AU721*100000000/($AM721-$AL721)/AP721)</f>
        <v>-4.7082758754246932</v>
      </c>
      <c r="AS721" s="13">
        <f>EXP(AR$4341*$AM721+AR$4342)*$AP721/(100000000/($AM721-$AL721))</f>
        <v>212.36138052399943</v>
      </c>
      <c r="AT721" s="3">
        <f>LN(AS721/$C721)</f>
        <v>-1.5494658304213464</v>
      </c>
      <c r="AU721" s="3" cm="1">
        <f t="array" ref="AU721">$C721*EXP(poly_from_str($AO721,AU$4341))</f>
        <v>90.101974135836116</v>
      </c>
      <c r="AV721" s="13">
        <f>LN(AS721/AU721)</f>
        <v>0.85734737368890379</v>
      </c>
    </row>
    <row r="722" spans="1:48" x14ac:dyDescent="0.25">
      <c r="A722" t="s">
        <v>1228</v>
      </c>
      <c r="B722" s="2" t="str">
        <f t="shared" si="468"/>
        <v/>
      </c>
      <c r="C722">
        <v>3</v>
      </c>
      <c r="E722" t="s">
        <v>1229</v>
      </c>
      <c r="R722">
        <v>8</v>
      </c>
      <c r="S722" t="s">
        <v>22</v>
      </c>
      <c r="AA722" s="10">
        <f t="shared" si="473"/>
        <v>5262.2420000000002</v>
      </c>
      <c r="AB722" s="3">
        <f t="shared" si="474"/>
        <v>18998.02</v>
      </c>
      <c r="AC722" s="3" cm="1">
        <f t="array" ref="AC722">100000000/LvacE(AA722)</f>
        <v>18998.019452971308</v>
      </c>
      <c r="AD722" s="10">
        <f t="shared" si="475"/>
        <v>6.8051259760546273E-3</v>
      </c>
      <c r="AE722" s="10" t="b">
        <f t="shared" si="476"/>
        <v>1</v>
      </c>
      <c r="AP722"/>
      <c r="AQ722"/>
      <c r="AU722" s="3" cm="1">
        <f t="array" ref="AU722">$C722*EXP(poly_from_str(100000000/$E722,AU$4341))</f>
        <v>0.27081997333900332</v>
      </c>
    </row>
    <row r="723" spans="1:48" x14ac:dyDescent="0.25">
      <c r="A723" t="s">
        <v>1230</v>
      </c>
      <c r="B723" s="2" t="str">
        <f t="shared" si="468"/>
        <v/>
      </c>
      <c r="C723">
        <v>150</v>
      </c>
      <c r="E723" t="s">
        <v>1231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473"/>
        <v>5261.6779999999999</v>
      </c>
      <c r="AB723" s="3">
        <f t="shared" si="474"/>
        <v>19000.060000000001</v>
      </c>
      <c r="AC723" s="3" cm="1">
        <f t="array" ref="AC723">100000000/LvacE(AA723)</f>
        <v>19000.055829305631</v>
      </c>
      <c r="AD723" s="10">
        <f t="shared" si="475"/>
        <v>6.8055129779231675E-3</v>
      </c>
      <c r="AE723" s="10" t="b">
        <f t="shared" si="476"/>
        <v>1</v>
      </c>
      <c r="AJ723" t="s">
        <v>4978</v>
      </c>
      <c r="AK723" t="s">
        <v>4793</v>
      </c>
      <c r="AL723">
        <v>17642.060000000001</v>
      </c>
      <c r="AM723">
        <v>36642.129999999997</v>
      </c>
      <c r="AN723" s="10" cm="1">
        <f t="array" ref="AN723">Lair(100000000/($AM723-$AL723))</f>
        <v>5261.674079990752</v>
      </c>
      <c r="AO723" s="10">
        <f>100000000/($AM723-$AL723)</f>
        <v>5263.1385042265647</v>
      </c>
      <c r="AU723" s="3" cm="1">
        <f t="array" ref="AU723">$C723*EXP(poly_from_str($AO723,AU$4341))</f>
        <v>13.547602330837686</v>
      </c>
    </row>
    <row r="724" spans="1:48" x14ac:dyDescent="0.25">
      <c r="A724" t="s">
        <v>1232</v>
      </c>
      <c r="B724" s="2" t="str">
        <f t="shared" si="468"/>
        <v/>
      </c>
      <c r="C724">
        <v>6</v>
      </c>
      <c r="E724" t="s">
        <v>1233</v>
      </c>
      <c r="R724">
        <v>8</v>
      </c>
      <c r="S724" t="s">
        <v>22</v>
      </c>
      <c r="AA724" s="10">
        <f t="shared" si="473"/>
        <v>5259.92</v>
      </c>
      <c r="AB724" s="3">
        <f t="shared" si="474"/>
        <v>19006.41</v>
      </c>
      <c r="AC724" s="3" cm="1">
        <f t="array" ref="AC724">100000000/LvacE(AA724)</f>
        <v>19006.40605969727</v>
      </c>
      <c r="AD724" s="10">
        <f t="shared" si="475"/>
        <v>6.8067200698582178E-3</v>
      </c>
      <c r="AE724" s="10" t="b">
        <f t="shared" si="476"/>
        <v>1</v>
      </c>
      <c r="AP724"/>
      <c r="AQ724"/>
      <c r="AU724" s="3" cm="1">
        <f t="array" ref="AU724">$C724*EXP(poly_from_str(100000000/$E724,AU$4341))</f>
        <v>0.54271762351334651</v>
      </c>
    </row>
    <row r="725" spans="1:48" x14ac:dyDescent="0.25">
      <c r="A725" t="s">
        <v>1234</v>
      </c>
      <c r="B725" s="2" t="str">
        <f t="shared" si="468"/>
        <v/>
      </c>
      <c r="C725">
        <v>1</v>
      </c>
      <c r="E725" t="s">
        <v>1235</v>
      </c>
      <c r="R725">
        <v>8</v>
      </c>
      <c r="S725" t="s">
        <v>22</v>
      </c>
      <c r="AA725" s="10">
        <f t="shared" si="473"/>
        <v>5244.86</v>
      </c>
      <c r="AB725" s="3">
        <f t="shared" si="474"/>
        <v>19060.98</v>
      </c>
      <c r="AC725" s="3" cm="1">
        <f t="array" ref="AC725">100000000/LvacE(AA725)</f>
        <v>19060.980077001976</v>
      </c>
      <c r="AD725" s="10">
        <f t="shared" si="475"/>
        <v>6.8171104735876625E-3</v>
      </c>
      <c r="AE725" s="10" t="b">
        <f t="shared" si="476"/>
        <v>1</v>
      </c>
      <c r="AP725"/>
      <c r="AQ725"/>
      <c r="AU725" s="3" cm="1">
        <f t="array" ref="AU725">$C725*EXP(poly_from_str(100000000/$E725,AU$4341))</f>
        <v>9.158359157080441E-2</v>
      </c>
    </row>
    <row r="726" spans="1:48" x14ac:dyDescent="0.25">
      <c r="A726" t="s">
        <v>1236</v>
      </c>
      <c r="B726" s="2" t="str">
        <f t="shared" si="468"/>
        <v/>
      </c>
      <c r="C726">
        <v>1</v>
      </c>
      <c r="E726" t="s">
        <v>1237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485">$G726&amp;""</f>
        <v>o</v>
      </c>
      <c r="N726" t="str">
        <f t="shared" ref="N726:N728" si="486">$H726&amp;""</f>
        <v>9/2</v>
      </c>
      <c r="O726">
        <v>35828.46</v>
      </c>
      <c r="P726" t="str">
        <f t="shared" ref="P726:P728" si="487">$J726&amp;""</f>
        <v>e</v>
      </c>
      <c r="Q726" t="str">
        <f t="shared" ref="Q726:Q728" si="488">$K726&amp;""</f>
        <v>9/2</v>
      </c>
      <c r="R726">
        <v>8</v>
      </c>
      <c r="AA726" s="10">
        <f t="shared" si="473"/>
        <v>5243.8980000000001</v>
      </c>
      <c r="AB726" s="3">
        <f t="shared" si="474"/>
        <v>19064.48</v>
      </c>
      <c r="AC726" s="3" cm="1">
        <f t="array" ref="AC726">100000000/LvacE(AA726)</f>
        <v>19064.476797368712</v>
      </c>
      <c r="AD726" s="10">
        <f t="shared" si="475"/>
        <v>6.8177772334023961E-3</v>
      </c>
      <c r="AE726" s="10" t="b">
        <f t="shared" si="476"/>
        <v>1</v>
      </c>
      <c r="AJ726" t="s">
        <v>4985</v>
      </c>
      <c r="AK726" t="s">
        <v>4773</v>
      </c>
      <c r="AL726">
        <v>16763.98</v>
      </c>
      <c r="AM726">
        <v>35828.46</v>
      </c>
      <c r="AN726" s="10" cm="1">
        <f t="array" ref="AN726">Lair(100000000/($AM726-$AL726))</f>
        <v>5243.8971232624299</v>
      </c>
      <c r="AO726" s="10">
        <f t="shared" ref="AO726:AO728" si="489">100000000/($AM726-$AL726)</f>
        <v>5245.3568101516539</v>
      </c>
      <c r="AP726" s="12">
        <v>216000</v>
      </c>
      <c r="AQ726" s="3">
        <v>7.0000000000000001E-3</v>
      </c>
      <c r="AR726" s="3"/>
      <c r="AS726" s="13">
        <f t="shared" ref="AS726:AS728" si="490">EXP(AR$4341*$AM726+AR$4342)*$AP726/(100000000/($AM726-$AL726))</f>
        <v>0.24742216707266004</v>
      </c>
      <c r="AT726" s="3"/>
      <c r="AU726" s="3" cm="1">
        <f t="array" ref="AU726">$C726*EXP(poly_from_str($AO726,AU$4341))</f>
        <v>9.1653817329593198E-2</v>
      </c>
    </row>
    <row r="727" spans="1:48" x14ac:dyDescent="0.25">
      <c r="A727" t="s">
        <v>1238</v>
      </c>
      <c r="B727" s="2" t="str">
        <f t="shared" si="468"/>
        <v/>
      </c>
      <c r="C727">
        <v>10</v>
      </c>
      <c r="E727" t="s">
        <v>1239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485"/>
        <v>o</v>
      </c>
      <c r="N727" t="str">
        <f t="shared" si="486"/>
        <v>7/2</v>
      </c>
      <c r="O727">
        <v>34520.269999999997</v>
      </c>
      <c r="P727" t="str">
        <f t="shared" si="487"/>
        <v>e</v>
      </c>
      <c r="Q727" t="str">
        <f t="shared" si="488"/>
        <v>5/2</v>
      </c>
      <c r="R727">
        <v>8</v>
      </c>
      <c r="AA727" s="10">
        <f t="shared" si="473"/>
        <v>5240.509</v>
      </c>
      <c r="AB727" s="3">
        <f t="shared" si="474"/>
        <v>19076.810000000001</v>
      </c>
      <c r="AC727" s="3" cm="1">
        <f t="array" ref="AC727">100000000/LvacE(AA727)</f>
        <v>19076.805512622424</v>
      </c>
      <c r="AD727" s="10">
        <f t="shared" si="475"/>
        <v>6.8201290669114801E-3</v>
      </c>
      <c r="AE727" s="10" t="b">
        <f t="shared" si="476"/>
        <v>1</v>
      </c>
      <c r="AJ727" t="s">
        <v>4982</v>
      </c>
      <c r="AK727" t="s">
        <v>4722</v>
      </c>
      <c r="AL727">
        <v>15443.48</v>
      </c>
      <c r="AM727">
        <v>34520.269999999997</v>
      </c>
      <c r="AN727" s="10" cm="1">
        <f t="array" ref="AN727">Lair(100000000/($AM727-$AL727))</f>
        <v>5240.5132656297346</v>
      </c>
      <c r="AO727" s="10">
        <f t="shared" si="489"/>
        <v>5241.9720508534201</v>
      </c>
      <c r="AP727" s="12">
        <v>652000</v>
      </c>
      <c r="AQ727" s="3">
        <v>0.02</v>
      </c>
      <c r="AR727" s="3"/>
      <c r="AS727" s="13">
        <f t="shared" si="490"/>
        <v>0.82442248759878056</v>
      </c>
      <c r="AT727" s="3"/>
      <c r="AU727" s="3" cm="1">
        <f t="array" ref="AU727">$C727*EXP(poly_from_str($AO727,AU$4341))</f>
        <v>0.91898547052146196</v>
      </c>
    </row>
    <row r="728" spans="1:48" x14ac:dyDescent="0.25">
      <c r="A728" t="s">
        <v>1240</v>
      </c>
      <c r="B728" s="2" t="str">
        <f t="shared" si="468"/>
        <v/>
      </c>
      <c r="C728">
        <v>150</v>
      </c>
      <c r="E728" t="s">
        <v>1241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485"/>
        <v>o</v>
      </c>
      <c r="N728" t="str">
        <f t="shared" si="486"/>
        <v>15/2</v>
      </c>
      <c r="O728">
        <v>23647.77</v>
      </c>
      <c r="P728" t="str">
        <f t="shared" si="487"/>
        <v>e</v>
      </c>
      <c r="Q728" t="str">
        <f t="shared" si="488"/>
        <v>13/2</v>
      </c>
      <c r="R728">
        <v>8</v>
      </c>
      <c r="AA728" s="10">
        <f t="shared" si="473"/>
        <v>5208.51</v>
      </c>
      <c r="AB728" s="3">
        <f t="shared" si="474"/>
        <v>19194</v>
      </c>
      <c r="AC728" s="3" cm="1">
        <f t="array" ref="AC728">100000000/LvacE(AA728)</f>
        <v>19194.004359257149</v>
      </c>
      <c r="AD728" s="10">
        <f t="shared" si="475"/>
        <v>6.8425619187884009E-3</v>
      </c>
      <c r="AE728" s="10" t="b">
        <f t="shared" si="476"/>
        <v>1</v>
      </c>
      <c r="AJ728" t="s">
        <v>4994</v>
      </c>
      <c r="AK728" t="s">
        <v>4966</v>
      </c>
      <c r="AL728">
        <v>4453.76</v>
      </c>
      <c r="AM728">
        <v>23647.77</v>
      </c>
      <c r="AN728" s="10" cm="1">
        <f t="array" ref="AN728">Lair(100000000/($AM728-$AL728))</f>
        <v>5208.5084732434398</v>
      </c>
      <c r="AO728" s="10">
        <f t="shared" si="489"/>
        <v>5209.9587319168841</v>
      </c>
      <c r="AP728" s="12">
        <v>17700000</v>
      </c>
      <c r="AQ728" s="3">
        <v>0.79500000000000004</v>
      </c>
      <c r="AR728" s="3">
        <f>LN(AU728*100000000/($AM728-$AL728)/AP728)</f>
        <v>-5.484124710085756</v>
      </c>
      <c r="AS728" s="13">
        <f t="shared" si="490"/>
        <v>50.920975906283218</v>
      </c>
      <c r="AT728" s="3">
        <f t="shared" ref="AT728" si="491">LN(AS728/$C728)</f>
        <v>-1.0803603551098881</v>
      </c>
      <c r="AU728" s="3" cm="1">
        <f t="array" ref="AU728">$C728*EXP(poly_from_str($AO728,AU$4341))</f>
        <v>14.106324933950543</v>
      </c>
      <c r="AV728" s="13">
        <f>LN(AS728/AU728)</f>
        <v>1.2836516653068493</v>
      </c>
    </row>
    <row r="729" spans="1:48" x14ac:dyDescent="0.25">
      <c r="A729" t="s">
        <v>1242</v>
      </c>
      <c r="B729" s="2" t="str">
        <f t="shared" si="468"/>
        <v/>
      </c>
      <c r="C729">
        <v>9</v>
      </c>
      <c r="E729" t="s">
        <v>1243</v>
      </c>
      <c r="R729">
        <v>8</v>
      </c>
      <c r="S729" t="s">
        <v>22</v>
      </c>
      <c r="AA729" s="10">
        <f t="shared" si="473"/>
        <v>5203.902</v>
      </c>
      <c r="AB729" s="3">
        <f t="shared" si="474"/>
        <v>19211</v>
      </c>
      <c r="AC729" s="3" cm="1">
        <f t="array" ref="AC729">100000000/LvacE(AA729)</f>
        <v>19211.000241221198</v>
      </c>
      <c r="AD729" s="10">
        <f t="shared" si="475"/>
        <v>6.8458264818612264E-3</v>
      </c>
      <c r="AE729" s="10" t="b">
        <f t="shared" si="476"/>
        <v>1</v>
      </c>
      <c r="AP729"/>
      <c r="AQ729"/>
      <c r="AU729" s="3" cm="1">
        <f t="array" ref="AU729">$C729*EXP(poly_from_str(100000000/$E729,AU$4341))</f>
        <v>0.84890846411463228</v>
      </c>
    </row>
    <row r="730" spans="1:48" x14ac:dyDescent="0.25">
      <c r="A730" t="s">
        <v>1244</v>
      </c>
      <c r="B730" s="2" t="str">
        <f t="shared" si="468"/>
        <v/>
      </c>
      <c r="C730">
        <v>2</v>
      </c>
      <c r="E730" t="s">
        <v>1245</v>
      </c>
      <c r="R730">
        <v>8</v>
      </c>
      <c r="S730" t="s">
        <v>22</v>
      </c>
      <c r="AA730" s="10">
        <f t="shared" si="473"/>
        <v>5193.018</v>
      </c>
      <c r="AB730" s="3">
        <f t="shared" si="474"/>
        <v>19251.259999999998</v>
      </c>
      <c r="AC730" s="3" cm="1">
        <f t="array" ref="AC730">100000000/LvacE(AA730)</f>
        <v>19251.263916859862</v>
      </c>
      <c r="AD730" s="10">
        <f t="shared" si="475"/>
        <v>6.8535718455876582E-3</v>
      </c>
      <c r="AE730" s="10" t="b">
        <f t="shared" si="476"/>
        <v>1</v>
      </c>
      <c r="AP730"/>
      <c r="AQ730"/>
      <c r="AU730" s="3" cm="1">
        <f t="array" ref="AU730">$C730*EXP(poly_from_str(100000000/$E730,AU$4341))</f>
        <v>0.18991410294819067</v>
      </c>
    </row>
    <row r="731" spans="1:48" x14ac:dyDescent="0.25">
      <c r="A731" t="s">
        <v>1246</v>
      </c>
      <c r="B731" s="2" t="str">
        <f t="shared" si="468"/>
        <v/>
      </c>
      <c r="C731">
        <v>10</v>
      </c>
      <c r="D731" t="s">
        <v>14</v>
      </c>
      <c r="E731" t="s">
        <v>1247</v>
      </c>
      <c r="R731">
        <v>8</v>
      </c>
      <c r="S731" t="s">
        <v>22</v>
      </c>
      <c r="AA731" s="10">
        <f t="shared" si="473"/>
        <v>5191.3069999999998</v>
      </c>
      <c r="AB731" s="3">
        <f t="shared" si="474"/>
        <v>19257.61</v>
      </c>
      <c r="AC731" s="3" cm="1">
        <f t="array" ref="AC731">100000000/LvacE(AA731)</f>
        <v>19257.608853239984</v>
      </c>
      <c r="AD731" s="10">
        <f t="shared" si="475"/>
        <v>6.8547938749567291E-3</v>
      </c>
      <c r="AE731" s="10" t="b">
        <f t="shared" si="476"/>
        <v>1</v>
      </c>
      <c r="AP731"/>
      <c r="AQ731"/>
      <c r="AU731" s="3" cm="1">
        <f t="array" ref="AU731">$C731*EXP(poly_from_str(100000000/$E731,AU$4341))</f>
        <v>0.95052837561087966</v>
      </c>
    </row>
    <row r="732" spans="1:48" x14ac:dyDescent="0.25">
      <c r="A732" t="s">
        <v>1248</v>
      </c>
      <c r="B732" s="2" t="str">
        <f t="shared" si="468"/>
        <v/>
      </c>
      <c r="C732">
        <v>3</v>
      </c>
      <c r="D732" t="s">
        <v>143</v>
      </c>
      <c r="E732" t="s">
        <v>1249</v>
      </c>
      <c r="R732">
        <v>8</v>
      </c>
      <c r="S732" t="s">
        <v>22</v>
      </c>
      <c r="AA732" s="10">
        <f t="shared" si="473"/>
        <v>5175.232</v>
      </c>
      <c r="AB732" s="3">
        <f t="shared" si="474"/>
        <v>19317.419999999998</v>
      </c>
      <c r="AC732" s="3" cm="1">
        <f t="array" ref="AC732">100000000/LvacE(AA732)</f>
        <v>19317.424970613982</v>
      </c>
      <c r="AD732" s="10">
        <f t="shared" si="475"/>
        <v>6.8663342020815667E-3</v>
      </c>
      <c r="AE732" s="10" t="b">
        <f t="shared" si="476"/>
        <v>1</v>
      </c>
      <c r="AP732"/>
      <c r="AQ732"/>
      <c r="AU732" s="3" cm="1">
        <f t="array" ref="AU732">$C732*EXP(poly_from_str(100000000/$E732,AU$4341))</f>
        <v>0.28769106891981477</v>
      </c>
    </row>
    <row r="733" spans="1:48" x14ac:dyDescent="0.25">
      <c r="A733" t="s">
        <v>1250</v>
      </c>
      <c r="B733" s="2">
        <f t="shared" si="468"/>
        <v>1</v>
      </c>
      <c r="C733">
        <v>30</v>
      </c>
      <c r="D733" t="s">
        <v>736</v>
      </c>
      <c r="E733" t="s">
        <v>1251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492">$G733&amp;""</f>
        <v>o</v>
      </c>
      <c r="N733" t="str">
        <f t="shared" ref="N733:N736" si="493">$H733&amp;""</f>
        <v>9/2</v>
      </c>
      <c r="O733">
        <v>35024.49</v>
      </c>
      <c r="P733" t="str">
        <f t="shared" ref="P733:P736" si="494">$J733&amp;""</f>
        <v>e</v>
      </c>
      <c r="Q733" t="str">
        <f t="shared" ref="Q733:Q736" si="495">$K733&amp;""</f>
        <v>7/2</v>
      </c>
      <c r="R733">
        <v>8</v>
      </c>
      <c r="AA733" s="10">
        <f t="shared" si="473"/>
        <v>5174.7139999999999</v>
      </c>
      <c r="AB733" s="3">
        <f t="shared" si="474"/>
        <v>19319.36</v>
      </c>
      <c r="AC733" s="3" cm="1">
        <f t="array" ref="AC733">100000000/LvacE(AA733)</f>
        <v>19319.358662754861</v>
      </c>
      <c r="AD733" s="10">
        <f t="shared" si="475"/>
        <v>6.8667078666332926E-3</v>
      </c>
      <c r="AE733" s="10" t="b">
        <f t="shared" si="476"/>
        <v>1</v>
      </c>
      <c r="AJ733" t="s">
        <v>4767</v>
      </c>
      <c r="AK733" t="s">
        <v>4770</v>
      </c>
      <c r="AL733">
        <v>15705.13</v>
      </c>
      <c r="AM733">
        <v>35024.49</v>
      </c>
      <c r="AN733" s="10" cm="1">
        <f t="array" ref="AN733">Lair(100000000/($AM733-$AL733))</f>
        <v>5174.7136455138616</v>
      </c>
      <c r="AO733" s="10">
        <f t="shared" ref="AO733:AO736" si="496">100000000/($AM733-$AL733)</f>
        <v>5176.1549036821098</v>
      </c>
      <c r="AP733" s="12">
        <v>1600000</v>
      </c>
      <c r="AQ733" s="3">
        <v>5.2999999999999999E-2</v>
      </c>
      <c r="AR733" s="3">
        <f>LN(AU733*100000000/($AM733-$AL733)/AP733)</f>
        <v>-4.6767125819809197</v>
      </c>
      <c r="AS733" s="13">
        <f t="shared" ref="AS733:AS736" si="497">EXP(AR$4341*$AM733+AR$4342)*$AP733/(100000000/($AM733-$AL733))</f>
        <v>1.9727675513950869</v>
      </c>
      <c r="AT733" s="3">
        <f t="shared" ref="AT733:AT735" si="498">LN(AS733/$C733)</f>
        <v>-2.7217599763646736</v>
      </c>
      <c r="AU733" s="3" cm="1">
        <f t="array" ref="AU733">$C733*EXP(poly_from_str($AO733,AU$4341))</f>
        <v>2.8776783546652882</v>
      </c>
      <c r="AV733" s="13">
        <f>LN(AS733/AU733)</f>
        <v>-0.37754643690306749</v>
      </c>
    </row>
    <row r="734" spans="1:48" x14ac:dyDescent="0.25">
      <c r="A734" t="s">
        <v>1250</v>
      </c>
      <c r="B734" s="2">
        <f t="shared" si="468"/>
        <v>2</v>
      </c>
      <c r="C734">
        <v>30</v>
      </c>
      <c r="D734" t="s">
        <v>736</v>
      </c>
      <c r="E734" t="s">
        <v>1251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492"/>
        <v>e</v>
      </c>
      <c r="N734" t="str">
        <f t="shared" si="493"/>
        <v>13/2</v>
      </c>
      <c r="O734">
        <v>69978.080000000002</v>
      </c>
      <c r="P734" t="str">
        <f t="shared" si="494"/>
        <v>o</v>
      </c>
      <c r="Q734" t="str">
        <f t="shared" si="495"/>
        <v>11/2</v>
      </c>
      <c r="R734">
        <v>8</v>
      </c>
      <c r="AA734" s="10">
        <f t="shared" si="473"/>
        <v>5174.7139999999999</v>
      </c>
      <c r="AB734" s="3">
        <f t="shared" si="474"/>
        <v>19319.36</v>
      </c>
      <c r="AC734" s="3" cm="1">
        <f t="array" ref="AC734">100000000/LvacE(AA734)</f>
        <v>19319.358662754861</v>
      </c>
      <c r="AD734" s="10">
        <f t="shared" si="475"/>
        <v>6.8667078666332926E-3</v>
      </c>
      <c r="AE734" s="10" t="b">
        <f t="shared" si="476"/>
        <v>1</v>
      </c>
      <c r="AJ734" t="s">
        <v>4921</v>
      </c>
      <c r="AK734" t="s">
        <v>4941</v>
      </c>
      <c r="AL734">
        <v>50658.720000000001</v>
      </c>
      <c r="AM734">
        <v>69978.080000000002</v>
      </c>
      <c r="AN734" s="10" cm="1">
        <f t="array" ref="AN734">Lair(100000000/($AM734-$AL734))</f>
        <v>5174.7136455138616</v>
      </c>
      <c r="AO734" s="10">
        <f t="shared" si="496"/>
        <v>5176.1549036821098</v>
      </c>
      <c r="AP734" s="12">
        <v>98100</v>
      </c>
      <c r="AQ734" s="3">
        <v>4.8000000000000001E-2</v>
      </c>
      <c r="AR734" s="3"/>
      <c r="AS734" s="13">
        <f t="shared" si="497"/>
        <v>8.7781656911475447E-3</v>
      </c>
      <c r="AT734" s="3"/>
      <c r="AU734" s="3" cm="1">
        <f t="array" ref="AU734">$C734*EXP(poly_from_str($AO734,AU$4341))</f>
        <v>2.8776783546652882</v>
      </c>
    </row>
    <row r="735" spans="1:48" x14ac:dyDescent="0.25">
      <c r="A735" t="s">
        <v>1252</v>
      </c>
      <c r="B735" s="2" t="str">
        <f t="shared" si="468"/>
        <v/>
      </c>
      <c r="C735">
        <v>15</v>
      </c>
      <c r="E735" t="s">
        <v>1253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492"/>
        <v>o</v>
      </c>
      <c r="N735" t="str">
        <f t="shared" si="493"/>
        <v>3/2</v>
      </c>
      <c r="O735">
        <v>40205.74</v>
      </c>
      <c r="P735" t="str">
        <f t="shared" si="494"/>
        <v>e</v>
      </c>
      <c r="Q735" t="str">
        <f t="shared" si="495"/>
        <v>3/2</v>
      </c>
      <c r="R735">
        <v>8</v>
      </c>
      <c r="AA735" s="10">
        <f t="shared" si="473"/>
        <v>5166.8109999999997</v>
      </c>
      <c r="AB735" s="3">
        <f t="shared" si="474"/>
        <v>19348.91</v>
      </c>
      <c r="AC735" s="3" cm="1">
        <f t="array" ref="AC735">100000000/LvacE(AA735)</f>
        <v>19348.908615364209</v>
      </c>
      <c r="AD735" s="10">
        <f t="shared" si="475"/>
        <v>6.8724227202586093E-3</v>
      </c>
      <c r="AE735" s="10" t="b">
        <f t="shared" si="476"/>
        <v>1</v>
      </c>
      <c r="AJ735" t="s">
        <v>4827</v>
      </c>
      <c r="AK735" t="s">
        <v>4779</v>
      </c>
      <c r="AL735">
        <v>20856.86</v>
      </c>
      <c r="AM735">
        <v>40205.74</v>
      </c>
      <c r="AN735" s="10" cm="1">
        <f t="array" ref="AN735">Lair(100000000/($AM735-$AL735))</f>
        <v>5166.8186450171534</v>
      </c>
      <c r="AO735" s="10">
        <f t="shared" si="496"/>
        <v>5168.2578009683257</v>
      </c>
      <c r="AP735" s="12">
        <v>2220000</v>
      </c>
      <c r="AQ735" s="3">
        <v>0.16600000000000001</v>
      </c>
      <c r="AR735" s="3">
        <f>LN(AU735*100000000/($AM735-$AL735)/AP735)</f>
        <v>-5.6949873893805387</v>
      </c>
      <c r="AS735" s="13">
        <f t="shared" si="497"/>
        <v>1.8582436771047219</v>
      </c>
      <c r="AT735" s="3">
        <f t="shared" si="498"/>
        <v>-2.0884184190921746</v>
      </c>
      <c r="AU735" s="3" cm="1">
        <f t="array" ref="AU735">$C735*EXP(poly_from_str($AO735,AU$4341))</f>
        <v>1.4444656144294139</v>
      </c>
      <c r="AV735" s="13">
        <f>LN(AS735/AU735)</f>
        <v>0.25189234584867792</v>
      </c>
    </row>
    <row r="736" spans="1:48" x14ac:dyDescent="0.25">
      <c r="A736" t="s">
        <v>1254</v>
      </c>
      <c r="B736" s="2" t="str">
        <f t="shared" si="468"/>
        <v/>
      </c>
      <c r="C736">
        <v>5</v>
      </c>
      <c r="E736" t="s">
        <v>1255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492"/>
        <v>e</v>
      </c>
      <c r="N736" t="str">
        <f t="shared" si="493"/>
        <v>7/2</v>
      </c>
      <c r="O736">
        <v>39225.599999999999</v>
      </c>
      <c r="P736" t="str">
        <f t="shared" si="494"/>
        <v>o</v>
      </c>
      <c r="Q736" t="str">
        <f t="shared" si="495"/>
        <v>9/2</v>
      </c>
      <c r="R736">
        <v>8</v>
      </c>
      <c r="AA736" s="10">
        <f t="shared" si="473"/>
        <v>5165.6819999999998</v>
      </c>
      <c r="AB736" s="3">
        <f t="shared" si="474"/>
        <v>19353.14</v>
      </c>
      <c r="AC736" s="3" cm="1">
        <f t="array" ref="AC736">100000000/LvacE(AA736)</f>
        <v>19353.137418019993</v>
      </c>
      <c r="AD736" s="10">
        <f t="shared" si="475"/>
        <v>6.8732412697897387E-3</v>
      </c>
      <c r="AE736" s="10" t="b">
        <f t="shared" si="476"/>
        <v>1</v>
      </c>
      <c r="AJ736" t="s">
        <v>4785</v>
      </c>
      <c r="AK736" t="s">
        <v>4714</v>
      </c>
      <c r="AL736">
        <v>19872.43</v>
      </c>
      <c r="AM736">
        <v>39225.599999999999</v>
      </c>
      <c r="AN736" s="10" cm="1">
        <f t="array" ref="AN736">Lair(100000000/($AM736-$AL736))</f>
        <v>5165.6733068594194</v>
      </c>
      <c r="AO736" s="10">
        <f t="shared" si="496"/>
        <v>5167.1121578532102</v>
      </c>
      <c r="AP736" s="12">
        <v>489000</v>
      </c>
      <c r="AQ736" s="3">
        <v>1.2999999999999999E-2</v>
      </c>
      <c r="AR736" s="3"/>
      <c r="AS736" s="13">
        <f t="shared" si="497"/>
        <v>0.44065625329589347</v>
      </c>
      <c r="AT736" s="3"/>
      <c r="AU736" s="3" cm="1">
        <f t="array" ref="AU736">$C736*EXP(poly_from_str($AO736,AU$4341))</f>
        <v>0.48174983144166073</v>
      </c>
    </row>
    <row r="737" spans="1:48" x14ac:dyDescent="0.25">
      <c r="A737" t="s">
        <v>1256</v>
      </c>
      <c r="B737" s="2" t="str">
        <f t="shared" si="468"/>
        <v/>
      </c>
      <c r="C737">
        <v>3</v>
      </c>
      <c r="E737" t="s">
        <v>1257</v>
      </c>
      <c r="R737">
        <v>8</v>
      </c>
      <c r="S737" t="s">
        <v>22</v>
      </c>
      <c r="AA737" s="10">
        <f t="shared" si="473"/>
        <v>5152.2340000000004</v>
      </c>
      <c r="AB737" s="3">
        <f t="shared" si="474"/>
        <v>19403.650000000001</v>
      </c>
      <c r="AC737" s="3" cm="1">
        <f t="array" ref="AC737">100000000/LvacE(AA737)</f>
        <v>19403.650998097004</v>
      </c>
      <c r="AD737" s="10">
        <f t="shared" si="475"/>
        <v>6.8830327774414947E-3</v>
      </c>
      <c r="AE737" s="10" t="b">
        <f t="shared" si="476"/>
        <v>1</v>
      </c>
      <c r="AP737"/>
      <c r="AQ737"/>
      <c r="AU737" s="3" cm="1">
        <f t="array" ref="AU737">$C737*EXP(poly_from_str(100000000/$E737,AU$4341))</f>
        <v>0.29076291162231604</v>
      </c>
    </row>
    <row r="738" spans="1:48" x14ac:dyDescent="0.25">
      <c r="A738" t="s">
        <v>1258</v>
      </c>
      <c r="B738" s="2" t="str">
        <f t="shared" si="468"/>
        <v/>
      </c>
      <c r="C738">
        <v>15</v>
      </c>
      <c r="E738" t="s">
        <v>1259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473"/>
        <v>5128.6080000000002</v>
      </c>
      <c r="AB738" s="3">
        <f t="shared" si="474"/>
        <v>19493.04</v>
      </c>
      <c r="AC738" s="3" cm="1">
        <f t="array" ref="AC738">100000000/LvacE(AA738)</f>
        <v>19493.036843078022</v>
      </c>
      <c r="AD738" s="10">
        <f t="shared" si="475"/>
        <v>6.9004217950638866E-3</v>
      </c>
      <c r="AE738" s="10" t="b">
        <f t="shared" si="476"/>
        <v>1</v>
      </c>
      <c r="AJ738" t="s">
        <v>4695</v>
      </c>
      <c r="AK738" t="s">
        <v>4735</v>
      </c>
      <c r="AL738">
        <v>11761.69</v>
      </c>
      <c r="AM738">
        <v>31254.71</v>
      </c>
      <c r="AN738" s="10" cm="1">
        <f t="array" ref="AN738">Lair(100000000/($AM738-$AL738))</f>
        <v>5128.612434838964</v>
      </c>
      <c r="AO738" s="10">
        <f>100000000/($AM738-$AL738)</f>
        <v>5130.0414199544257</v>
      </c>
      <c r="AP738" s="12">
        <v>1740000</v>
      </c>
      <c r="AQ738" s="3">
        <v>7.2999999999999995E-2</v>
      </c>
      <c r="AR738" s="3">
        <f>LN(AU738*100000000/($AM738-$AL738)/AP738)</f>
        <v>-5.4440632403259031</v>
      </c>
      <c r="AS738" s="13">
        <f>EXP(AR$4341*$AM738+AR$4342)*$AP738/(100000000/($AM738-$AL738))</f>
        <v>2.8724847293803091</v>
      </c>
      <c r="AT738" s="3">
        <f>LN(AS738/$C738)</f>
        <v>-1.6528727865181922</v>
      </c>
      <c r="AU738" s="3" cm="1">
        <f t="array" ref="AU738">$C738*EXP(poly_from_str($AO738,AU$4341))</f>
        <v>1.4658912491213891</v>
      </c>
      <c r="AV738" s="13">
        <f>LN(AS738/AU738)</f>
        <v>0.67271399591661918</v>
      </c>
    </row>
    <row r="739" spans="1:48" x14ac:dyDescent="0.25">
      <c r="A739" t="s">
        <v>1260</v>
      </c>
      <c r="B739" s="2" t="str">
        <f t="shared" si="468"/>
        <v/>
      </c>
      <c r="C739">
        <v>10</v>
      </c>
      <c r="E739" t="s">
        <v>1261</v>
      </c>
      <c r="R739">
        <v>8</v>
      </c>
      <c r="S739" t="s">
        <v>22</v>
      </c>
      <c r="AA739" s="10">
        <f t="shared" si="473"/>
        <v>5127.0339999999997</v>
      </c>
      <c r="AB739" s="3">
        <f t="shared" si="474"/>
        <v>19499.02</v>
      </c>
      <c r="AC739" s="3" cm="1">
        <f t="array" ref="AC739">100000000/LvacE(AA739)</f>
        <v>19499.021132901264</v>
      </c>
      <c r="AD739" s="10">
        <f t="shared" si="475"/>
        <v>6.9015888262981351E-3</v>
      </c>
      <c r="AE739" s="10" t="b">
        <f t="shared" si="476"/>
        <v>1</v>
      </c>
      <c r="AP739"/>
      <c r="AQ739"/>
      <c r="AU739" s="3" cm="1">
        <f t="array" ref="AU739">$C739*EXP(poly_from_str(100000000/$E739,AU$4341))</f>
        <v>0.97770393517611431</v>
      </c>
    </row>
    <row r="740" spans="1:48" x14ac:dyDescent="0.25">
      <c r="A740" t="s">
        <v>1262</v>
      </c>
      <c r="B740" s="2" t="str">
        <f t="shared" si="468"/>
        <v/>
      </c>
      <c r="C740">
        <v>1</v>
      </c>
      <c r="E740" t="s">
        <v>1263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473"/>
        <v>5105.5569999999998</v>
      </c>
      <c r="AB740" s="3">
        <f t="shared" si="474"/>
        <v>19581.04</v>
      </c>
      <c r="AC740" s="3" cm="1">
        <f t="array" ref="AC740">100000000/LvacE(AA740)</f>
        <v>19581.044547623402</v>
      </c>
      <c r="AD740" s="10">
        <f t="shared" si="475"/>
        <v>6.9176207951084871E-3</v>
      </c>
      <c r="AE740" s="10" t="b">
        <f t="shared" si="476"/>
        <v>1</v>
      </c>
      <c r="AJ740" t="s">
        <v>4982</v>
      </c>
      <c r="AK740" t="s">
        <v>4770</v>
      </c>
      <c r="AL740">
        <v>15443.48</v>
      </c>
      <c r="AM740">
        <v>35024.49</v>
      </c>
      <c r="AN740" s="10" cm="1">
        <f t="array" ref="AN740">Lair(100000000/($AM740-$AL740))</f>
        <v>5105.5660112805535</v>
      </c>
      <c r="AO740" s="10">
        <f>100000000/($AM740-$AL740)</f>
        <v>5106.9888631893864</v>
      </c>
      <c r="AP740" s="12">
        <v>193000</v>
      </c>
      <c r="AQ740" s="3">
        <v>1.2E-2</v>
      </c>
      <c r="AR740" s="3"/>
      <c r="AS740" s="13">
        <f>EXP(AR$4341*$AM740+AR$4342)*$AP740/(100000000/($AM740-$AL740))</f>
        <v>0.24118794444561514</v>
      </c>
      <c r="AT740" s="3"/>
      <c r="AU740" s="3" cm="1">
        <f t="array" ref="AU740">$C740*EXP(poly_from_str($AO740,AU$4341))</f>
        <v>9.8248566885920083E-2</v>
      </c>
    </row>
    <row r="741" spans="1:48" x14ac:dyDescent="0.25">
      <c r="A741" t="s">
        <v>1264</v>
      </c>
      <c r="B741" s="2" t="str">
        <f t="shared" si="468"/>
        <v/>
      </c>
      <c r="C741">
        <v>9</v>
      </c>
      <c r="E741" t="s">
        <v>1265</v>
      </c>
      <c r="R741">
        <v>8</v>
      </c>
      <c r="S741" t="s">
        <v>22</v>
      </c>
      <c r="AA741" s="10">
        <f t="shared" si="473"/>
        <v>5102.4319999999998</v>
      </c>
      <c r="AB741" s="3">
        <f t="shared" si="474"/>
        <v>19593.04</v>
      </c>
      <c r="AC741" s="3" cm="1">
        <f t="array" ref="AC741">100000000/LvacE(AA741)</f>
        <v>19593.036866852322</v>
      </c>
      <c r="AD741" s="10">
        <f t="shared" si="475"/>
        <v>6.9199704049806368E-3</v>
      </c>
      <c r="AE741" s="10" t="b">
        <f t="shared" si="476"/>
        <v>1</v>
      </c>
      <c r="AP741"/>
      <c r="AQ741"/>
      <c r="AU741" s="3" cm="1">
        <f t="array" ref="AU741">$C741*EXP(poly_from_str(100000000/$E741,AU$4341))</f>
        <v>0.88468559836294891</v>
      </c>
    </row>
    <row r="742" spans="1:48" x14ac:dyDescent="0.25">
      <c r="A742" t="s">
        <v>1266</v>
      </c>
      <c r="B742" s="2" t="str">
        <f t="shared" si="468"/>
        <v/>
      </c>
      <c r="C742">
        <v>1</v>
      </c>
      <c r="E742" t="s">
        <v>1267</v>
      </c>
      <c r="R742">
        <v>8</v>
      </c>
      <c r="S742" t="s">
        <v>22</v>
      </c>
      <c r="AA742" s="10">
        <f t="shared" si="473"/>
        <v>5089.2340000000004</v>
      </c>
      <c r="AB742" s="3">
        <f t="shared" si="474"/>
        <v>19643.849999999999</v>
      </c>
      <c r="AC742" s="3" cm="1">
        <f t="array" ref="AC742">100000000/LvacE(AA742)</f>
        <v>19643.847190892509</v>
      </c>
      <c r="AD742" s="10">
        <f t="shared" si="475"/>
        <v>6.9299414401943898E-3</v>
      </c>
      <c r="AE742" s="10" t="b">
        <f t="shared" si="476"/>
        <v>1</v>
      </c>
      <c r="AP742"/>
      <c r="AQ742"/>
      <c r="AU742" s="3" cm="1">
        <f t="array" ref="AU742">$C742*EXP(poly_from_str(100000000/$E742,AU$4341))</f>
        <v>9.8450116347376104E-2</v>
      </c>
    </row>
    <row r="743" spans="1:48" x14ac:dyDescent="0.25">
      <c r="A743" t="s">
        <v>1268</v>
      </c>
      <c r="B743" s="2" t="str">
        <f t="shared" si="468"/>
        <v/>
      </c>
      <c r="C743">
        <v>10</v>
      </c>
      <c r="E743" t="s">
        <v>1269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499">$G743&amp;""</f>
        <v>o</v>
      </c>
      <c r="N743" t="str">
        <f t="shared" ref="N743" si="500">$H743&amp;""</f>
        <v>5/2</v>
      </c>
      <c r="O743">
        <v>38694.51</v>
      </c>
      <c r="P743" t="str">
        <f t="shared" ref="P743" si="501">$J743&amp;""</f>
        <v>e</v>
      </c>
      <c r="Q743" t="str">
        <f t="shared" ref="Q743" si="502">$K743&amp;""</f>
        <v>5/2</v>
      </c>
      <c r="R743">
        <v>8</v>
      </c>
      <c r="AA743" s="10">
        <f t="shared" si="473"/>
        <v>5088.0559999999996</v>
      </c>
      <c r="AB743" s="3">
        <f t="shared" si="474"/>
        <v>19648.39</v>
      </c>
      <c r="AC743" s="3" cm="1">
        <f t="array" ref="AC743">100000000/LvacE(AA743)</f>
        <v>19648.395127993444</v>
      </c>
      <c r="AD743" s="10">
        <f t="shared" si="475"/>
        <v>6.9308351881340775E-3</v>
      </c>
      <c r="AE743" s="10" t="b">
        <f t="shared" si="476"/>
        <v>1</v>
      </c>
      <c r="AJ743" t="s">
        <v>4983</v>
      </c>
      <c r="AK743" t="s">
        <v>4794</v>
      </c>
      <c r="AL743">
        <v>19046.09</v>
      </c>
      <c r="AM743">
        <v>38694.51</v>
      </c>
      <c r="AN743" s="10" cm="1">
        <f t="array" ref="AN743">Lair(100000000/($AM743-$AL743))</f>
        <v>5088.0495622771823</v>
      </c>
      <c r="AO743" s="10">
        <f>100000000/($AM743-$AL743)</f>
        <v>5089.4677536412592</v>
      </c>
      <c r="AU743" s="3" cm="1">
        <f t="array" ref="AU743">$C743*EXP(poly_from_str($AO743,AU$4341))</f>
        <v>0.98459058322219228</v>
      </c>
    </row>
    <row r="744" spans="1:48" x14ac:dyDescent="0.25">
      <c r="A744" t="s">
        <v>1270</v>
      </c>
      <c r="B744" s="2" t="str">
        <f t="shared" si="468"/>
        <v/>
      </c>
      <c r="C744">
        <v>70</v>
      </c>
      <c r="E744" t="s">
        <v>1271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4683</v>
      </c>
      <c r="AA744" s="10">
        <f t="shared" si="473"/>
        <v>5076.2430000000004</v>
      </c>
      <c r="AB744" s="3">
        <f t="shared" si="474"/>
        <v>19694.12</v>
      </c>
      <c r="AC744" s="3" cm="1">
        <f t="array" ref="AC744">100000000/LvacE(AA744)</f>
        <v>19694.118616447693</v>
      </c>
      <c r="AD744" s="10">
        <f t="shared" si="475"/>
        <v>6.939832137315697E-3</v>
      </c>
      <c r="AE744" s="10" t="b">
        <f t="shared" si="476"/>
        <v>1</v>
      </c>
      <c r="AP744"/>
      <c r="AQ744"/>
      <c r="AU744" s="3" cm="1">
        <f t="array" ref="AU744">$C744*EXP(poly_from_str(100000000/$E744,AU$4341))</f>
        <v>6.895363772885454</v>
      </c>
    </row>
    <row r="745" spans="1:48" x14ac:dyDescent="0.25">
      <c r="A745" t="s">
        <v>1272</v>
      </c>
      <c r="B745" s="2" t="str">
        <f t="shared" si="468"/>
        <v/>
      </c>
      <c r="C745">
        <v>2</v>
      </c>
      <c r="E745" t="s">
        <v>1273</v>
      </c>
      <c r="R745">
        <v>8</v>
      </c>
      <c r="S745" t="s">
        <v>22</v>
      </c>
      <c r="AA745" s="10">
        <f t="shared" si="473"/>
        <v>5069.7790000000005</v>
      </c>
      <c r="AB745" s="3">
        <f t="shared" si="474"/>
        <v>19719.23</v>
      </c>
      <c r="AC745" s="3" cm="1">
        <f t="array" ref="AC745">100000000/LvacE(AA745)</f>
        <v>19719.228420533844</v>
      </c>
      <c r="AD745" s="10">
        <f t="shared" si="475"/>
        <v>6.9447818554353004E-3</v>
      </c>
      <c r="AE745" s="10" t="b">
        <f t="shared" si="476"/>
        <v>1</v>
      </c>
      <c r="AP745"/>
      <c r="AQ745"/>
      <c r="AU745" s="3" cm="1">
        <f t="array" ref="AU745">$C745*EXP(poly_from_str(100000000/$E745,AU$4341))</f>
        <v>0.19699349029918292</v>
      </c>
    </row>
    <row r="746" spans="1:48" x14ac:dyDescent="0.25">
      <c r="A746" t="s">
        <v>1274</v>
      </c>
      <c r="B746" s="2" t="str">
        <f t="shared" si="468"/>
        <v/>
      </c>
      <c r="C746">
        <v>2</v>
      </c>
      <c r="D746" t="s">
        <v>143</v>
      </c>
      <c r="E746" t="s">
        <v>1275</v>
      </c>
      <c r="R746">
        <v>8</v>
      </c>
      <c r="S746" t="s">
        <v>22</v>
      </c>
      <c r="AA746" s="10">
        <f t="shared" si="473"/>
        <v>5030.6790000000001</v>
      </c>
      <c r="AB746" s="3">
        <f t="shared" si="474"/>
        <v>19872.490000000002</v>
      </c>
      <c r="AC746" s="3" cm="1">
        <f t="array" ref="AC746">100000000/LvacE(AA746)</f>
        <v>19872.490407513953</v>
      </c>
      <c r="AD746" s="10">
        <f t="shared" si="475"/>
        <v>6.975130037865063E-3</v>
      </c>
      <c r="AE746" s="10" t="b">
        <f t="shared" si="476"/>
        <v>1</v>
      </c>
      <c r="AP746"/>
      <c r="AQ746"/>
      <c r="AU746" s="3" cm="1">
        <f t="array" ref="AU746">$C746*EXP(poly_from_str(100000000/$E746,AU$4341))</f>
        <v>0.19582866241097077</v>
      </c>
    </row>
    <row r="747" spans="1:48" x14ac:dyDescent="0.25">
      <c r="A747" t="s">
        <v>1276</v>
      </c>
      <c r="B747" s="2" t="str">
        <f t="shared" si="468"/>
        <v/>
      </c>
      <c r="C747">
        <v>2</v>
      </c>
      <c r="E747" t="s">
        <v>1277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503">$G747&amp;""</f>
        <v>o</v>
      </c>
      <c r="N747" t="str">
        <f t="shared" ref="N747:N749" si="504">$H747&amp;""</f>
        <v>9/2</v>
      </c>
      <c r="O747">
        <v>35828.46</v>
      </c>
      <c r="P747" t="str">
        <f t="shared" ref="P747:P749" si="505">$J747&amp;""</f>
        <v>e</v>
      </c>
      <c r="Q747" t="str">
        <f t="shared" ref="Q747:Q749" si="506">$K747&amp;""</f>
        <v>9/2</v>
      </c>
      <c r="R747">
        <v>8</v>
      </c>
      <c r="AA747" s="10">
        <f t="shared" si="473"/>
        <v>4967.9719999999998</v>
      </c>
      <c r="AB747" s="3">
        <f t="shared" si="474"/>
        <v>20123.32</v>
      </c>
      <c r="AC747" s="3" cm="1">
        <f t="array" ref="AC747">100000000/LvacE(AA747)</f>
        <v>20123.322687526859</v>
      </c>
      <c r="AD747" s="10">
        <f t="shared" si="475"/>
        <v>7.0253055660868119E-3</v>
      </c>
      <c r="AE747" s="10" t="b">
        <f t="shared" si="476"/>
        <v>1</v>
      </c>
      <c r="AJ747" t="s">
        <v>4767</v>
      </c>
      <c r="AK747" t="s">
        <v>4773</v>
      </c>
      <c r="AL747">
        <v>15705.13</v>
      </c>
      <c r="AM747">
        <v>35828.46</v>
      </c>
      <c r="AN747" s="10" cm="1">
        <f t="array" ref="AN747">Lair(100000000/($AM747-$AL747))</f>
        <v>4967.9701969472735</v>
      </c>
      <c r="AO747" s="10">
        <f t="shared" ref="AO747:AO749" si="507">100000000/($AM747-$AL747)</f>
        <v>4969.3564633686365</v>
      </c>
      <c r="AP747" s="12">
        <v>706000</v>
      </c>
      <c r="AQ747" s="3">
        <v>2.7E-2</v>
      </c>
      <c r="AR747" s="3"/>
      <c r="AS747" s="13">
        <f t="shared" ref="AS747:AS749" si="508">EXP(AR$4341*$AM747+AR$4342)*$AP747/(100000000/($AM747-$AL747))</f>
        <v>0.85361972399347741</v>
      </c>
      <c r="AT747" s="3"/>
      <c r="AU747" s="3" cm="1">
        <f t="array" ref="AU747">$C747*EXP(poly_from_str($AO747,AU$4341))</f>
        <v>0.18991702126150897</v>
      </c>
    </row>
    <row r="748" spans="1:48" x14ac:dyDescent="0.25">
      <c r="A748" t="s">
        <v>1278</v>
      </c>
      <c r="B748" s="2" t="str">
        <f t="shared" si="468"/>
        <v/>
      </c>
      <c r="C748">
        <v>60</v>
      </c>
      <c r="E748" t="s">
        <v>1279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503"/>
        <v>o</v>
      </c>
      <c r="N748" t="str">
        <f t="shared" si="504"/>
        <v>11/2</v>
      </c>
      <c r="O748">
        <v>21535.17</v>
      </c>
      <c r="P748" t="str">
        <f t="shared" si="505"/>
        <v>e</v>
      </c>
      <c r="Q748" t="str">
        <f t="shared" si="506"/>
        <v>9/2</v>
      </c>
      <c r="R748">
        <v>8</v>
      </c>
      <c r="AA748" s="10">
        <f t="shared" si="473"/>
        <v>4964.6379999999999</v>
      </c>
      <c r="AB748" s="3">
        <f t="shared" si="474"/>
        <v>20136.84</v>
      </c>
      <c r="AC748" s="3" cm="1">
        <f t="array" ref="AC748">100000000/LvacE(AA748)</f>
        <v>20136.836313586929</v>
      </c>
      <c r="AD748" s="10">
        <f t="shared" si="475"/>
        <v>7.0280266470170568E-3</v>
      </c>
      <c r="AE748" s="10" t="b">
        <f t="shared" si="476"/>
        <v>1</v>
      </c>
      <c r="AJ748" t="s">
        <v>4826</v>
      </c>
      <c r="AK748" t="s">
        <v>4798</v>
      </c>
      <c r="AL748">
        <v>1398.34</v>
      </c>
      <c r="AM748">
        <v>21535.17</v>
      </c>
      <c r="AN748" s="10" cm="1">
        <f t="array" ref="AN748">Lair(100000000/($AM748-$AL748))</f>
        <v>4964.6395588291462</v>
      </c>
      <c r="AO748" s="10">
        <f t="shared" si="507"/>
        <v>4966.0249403704556</v>
      </c>
      <c r="AP748" s="12">
        <v>1670000</v>
      </c>
      <c r="AQ748" s="3">
        <v>0.30399999999999999</v>
      </c>
      <c r="AR748" s="3">
        <f t="shared" ref="AR748:AR749" si="509">LN(AU748*100000000/($AM748-$AL748)/AP748)</f>
        <v>-4.0803469180836265</v>
      </c>
      <c r="AS748" s="13">
        <f t="shared" si="508"/>
        <v>5.9063611803193528</v>
      </c>
      <c r="AT748" s="3">
        <f t="shared" ref="AT748:AT749" si="510">LN(AS748/$C748)</f>
        <v>-2.318314625958303</v>
      </c>
      <c r="AU748" s="3" cm="1">
        <f t="array" ref="AU748">$C748*EXP(poly_from_str($AO748,AU$4341))</f>
        <v>5.6837559785778113</v>
      </c>
      <c r="AV748" s="13">
        <f t="shared" ref="AV748:AV749" si="511">LN(AS748/AU748)</f>
        <v>3.8417658235209144E-2</v>
      </c>
    </row>
    <row r="749" spans="1:48" x14ac:dyDescent="0.25">
      <c r="A749" t="s">
        <v>1280</v>
      </c>
      <c r="B749" s="2" t="str">
        <f t="shared" si="468"/>
        <v/>
      </c>
      <c r="C749">
        <v>80</v>
      </c>
      <c r="E749" t="s">
        <v>1281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503"/>
        <v>o</v>
      </c>
      <c r="N749" t="str">
        <f t="shared" si="504"/>
        <v>13/2</v>
      </c>
      <c r="O749">
        <v>23175.09</v>
      </c>
      <c r="P749" t="str">
        <f t="shared" si="505"/>
        <v>e</v>
      </c>
      <c r="Q749" t="str">
        <f t="shared" si="506"/>
        <v>13/2</v>
      </c>
      <c r="R749">
        <v>8</v>
      </c>
      <c r="AA749" s="10">
        <f t="shared" si="473"/>
        <v>4929.116</v>
      </c>
      <c r="AB749" s="3">
        <f t="shared" si="474"/>
        <v>20281.95</v>
      </c>
      <c r="AC749" s="3" cm="1">
        <f t="array" ref="AC749">100000000/LvacE(AA749)</f>
        <v>20281.951792684875</v>
      </c>
      <c r="AD749" s="10">
        <f t="shared" si="475"/>
        <v>7.0573619887100321E-3</v>
      </c>
      <c r="AE749" s="10" t="b">
        <f t="shared" si="476"/>
        <v>1</v>
      </c>
      <c r="AJ749" t="s">
        <v>4977</v>
      </c>
      <c r="AK749" t="s">
        <v>4969</v>
      </c>
      <c r="AL749">
        <v>2893.14</v>
      </c>
      <c r="AM749">
        <v>23175.09</v>
      </c>
      <c r="AN749" s="10" cm="1">
        <f t="array" ref="AN749">Lair(100000000/($AM749-$AL749))</f>
        <v>4929.1164376587485</v>
      </c>
      <c r="AO749" s="10">
        <f t="shared" si="507"/>
        <v>4930.4923836218904</v>
      </c>
      <c r="AP749" s="12">
        <v>3650000</v>
      </c>
      <c r="AQ749" s="3">
        <v>0.63200000000000001</v>
      </c>
      <c r="AR749" s="3">
        <f t="shared" si="509"/>
        <v>-4.6128643045637023</v>
      </c>
      <c r="AS749" s="13">
        <f t="shared" si="508"/>
        <v>11.496511553966924</v>
      </c>
      <c r="AT749" s="3">
        <f t="shared" si="510"/>
        <v>-1.9399829884558228</v>
      </c>
      <c r="AU749" s="3" cm="1">
        <f t="array" ref="AU749">$C749*EXP(poly_from_str($AO749,AU$4341))</f>
        <v>7.3461714324723291</v>
      </c>
      <c r="AV749" s="13">
        <f t="shared" si="511"/>
        <v>0.44786436224666354</v>
      </c>
    </row>
    <row r="750" spans="1:48" x14ac:dyDescent="0.25">
      <c r="A750" t="s">
        <v>1282</v>
      </c>
      <c r="B750" s="2" t="str">
        <f t="shared" si="468"/>
        <v/>
      </c>
      <c r="C750">
        <v>1</v>
      </c>
      <c r="E750" t="s">
        <v>1283</v>
      </c>
      <c r="R750">
        <v>8</v>
      </c>
      <c r="S750" t="s">
        <v>22</v>
      </c>
      <c r="AA750" s="10">
        <f t="shared" si="473"/>
        <v>4927.4780000000001</v>
      </c>
      <c r="AB750" s="3">
        <f t="shared" si="474"/>
        <v>20288.689999999999</v>
      </c>
      <c r="AC750" s="3" cm="1">
        <f t="array" ref="AC750">100000000/LvacE(AA750)</f>
        <v>20288.693859484563</v>
      </c>
      <c r="AD750" s="10">
        <f t="shared" si="475"/>
        <v>7.0587300297925799E-3</v>
      </c>
      <c r="AE750" s="10" t="b">
        <f t="shared" si="476"/>
        <v>1</v>
      </c>
      <c r="AP750"/>
      <c r="AQ750"/>
      <c r="AU750" s="3" cm="1">
        <f t="array" ref="AU750">$C750*EXP(poly_from_str(100000000/$E750,AU$4341))</f>
        <v>9.1673321619061762E-2</v>
      </c>
    </row>
    <row r="751" spans="1:48" x14ac:dyDescent="0.25">
      <c r="A751" t="s">
        <v>1284</v>
      </c>
      <c r="B751" s="2" t="str">
        <f t="shared" si="468"/>
        <v/>
      </c>
      <c r="C751">
        <v>2</v>
      </c>
      <c r="D751" t="s">
        <v>14</v>
      </c>
      <c r="E751" t="s">
        <v>1285</v>
      </c>
      <c r="R751">
        <v>8</v>
      </c>
      <c r="S751" t="s">
        <v>22</v>
      </c>
      <c r="AA751" s="10">
        <f t="shared" si="473"/>
        <v>4921.9560000000001</v>
      </c>
      <c r="AB751" s="3">
        <f t="shared" si="474"/>
        <v>20311.46</v>
      </c>
      <c r="AC751" s="3" cm="1">
        <f t="array" ref="AC751">100000000/LvacE(AA751)</f>
        <v>20311.455672653159</v>
      </c>
      <c r="AD751" s="10">
        <f t="shared" si="475"/>
        <v>7.0633520162160287E-3</v>
      </c>
      <c r="AE751" s="10" t="b">
        <f t="shared" si="476"/>
        <v>1</v>
      </c>
      <c r="AP751"/>
      <c r="AQ751"/>
      <c r="AU751" s="3" cm="1">
        <f t="array" ref="AU751">$C751*EXP(poly_from_str(100000000/$E751,AU$4341))</f>
        <v>0.18228303713152552</v>
      </c>
    </row>
    <row r="752" spans="1:48" x14ac:dyDescent="0.25">
      <c r="A752" t="s">
        <v>1286</v>
      </c>
      <c r="B752" s="2" t="str">
        <f t="shared" si="468"/>
        <v/>
      </c>
      <c r="C752">
        <v>80</v>
      </c>
      <c r="E752" t="s">
        <v>1287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512">$G752&amp;""</f>
        <v>o</v>
      </c>
      <c r="N752" t="str">
        <f t="shared" ref="N752:N753" si="513">$H752&amp;""</f>
        <v>9/2</v>
      </c>
      <c r="O752">
        <v>20315.650000000001</v>
      </c>
      <c r="P752" t="str">
        <f t="shared" ref="P752:P753" si="514">$J752&amp;""</f>
        <v>e</v>
      </c>
      <c r="Q752" t="str">
        <f t="shared" ref="Q752:Q753" si="515">$K752&amp;""</f>
        <v>9/2</v>
      </c>
      <c r="R752">
        <v>8</v>
      </c>
      <c r="S752" t="s">
        <v>6</v>
      </c>
      <c r="AA752" s="10">
        <f t="shared" si="473"/>
        <v>4920.9359999999997</v>
      </c>
      <c r="AB752" s="3">
        <f t="shared" si="474"/>
        <v>20315.669999999998</v>
      </c>
      <c r="AC752" s="3" cm="1">
        <f t="array" ref="AC752">100000000/LvacE(AA752)</f>
        <v>20315.6657258987</v>
      </c>
      <c r="AD752" s="10">
        <f t="shared" si="475"/>
        <v>7.0642074725111954E-3</v>
      </c>
      <c r="AE752" s="10" t="b">
        <f t="shared" si="476"/>
        <v>1</v>
      </c>
      <c r="AJ752" t="s">
        <v>4757</v>
      </c>
      <c r="AK752" t="s">
        <v>4964</v>
      </c>
      <c r="AL752">
        <v>0</v>
      </c>
      <c r="AM752">
        <v>20315.650000000001</v>
      </c>
      <c r="AN752" s="10" cm="1">
        <f t="array" ref="AN752">Lair(100000000/($AM752-$AL752))</f>
        <v>4920.9398111609389</v>
      </c>
      <c r="AO752" s="10">
        <f t="shared" ref="AO752:AO753" si="516">100000000/($AM752-$AL752)</f>
        <v>4922.3135858316118</v>
      </c>
      <c r="AP752" s="12">
        <v>3200000</v>
      </c>
      <c r="AQ752" s="3">
        <v>0.56299999999999994</v>
      </c>
      <c r="AR752" s="3">
        <f t="shared" ref="AR752:AR753" si="517">LN(AU752*100000000/($AM752-$AL752)/AP752)</f>
        <v>-4.4915391864967562</v>
      </c>
      <c r="AS752" s="13">
        <f t="shared" ref="AS752:AS753" si="518">EXP(AR$4341*$AM752+AR$4342)*$AP752/(100000000/($AM752-$AL752))</f>
        <v>12.512387987516497</v>
      </c>
      <c r="AT752" s="3">
        <f t="shared" ref="AT752:AT753" si="519">LN(AS752/$C752)</f>
        <v>-1.8553074421192459</v>
      </c>
      <c r="AU752" s="3" cm="1">
        <f t="array" ref="AU752">$C752*EXP(poly_from_str($AO752,AU$4341))</f>
        <v>7.2833304813213537</v>
      </c>
      <c r="AV752" s="13">
        <f t="shared" ref="AV752:AV753" si="520">LN(AS752/AU752)</f>
        <v>0.54113095126181499</v>
      </c>
    </row>
    <row r="753" spans="1:48" x14ac:dyDescent="0.25">
      <c r="A753" t="s">
        <v>1288</v>
      </c>
      <c r="B753" s="2" t="str">
        <f t="shared" si="468"/>
        <v/>
      </c>
      <c r="C753">
        <v>90</v>
      </c>
      <c r="E753" t="s">
        <v>1289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512"/>
        <v>o</v>
      </c>
      <c r="N753" t="str">
        <f t="shared" si="513"/>
        <v>11/2</v>
      </c>
      <c r="O753">
        <v>21755.84</v>
      </c>
      <c r="P753" t="str">
        <f t="shared" si="514"/>
        <v>e</v>
      </c>
      <c r="Q753" t="str">
        <f t="shared" si="515"/>
        <v>11/2</v>
      </c>
      <c r="R753">
        <v>8</v>
      </c>
      <c r="AA753" s="10">
        <f t="shared" si="473"/>
        <v>4910.82</v>
      </c>
      <c r="AB753" s="3">
        <f t="shared" si="474"/>
        <v>20357.509999999998</v>
      </c>
      <c r="AC753" s="3" cm="1">
        <f t="array" ref="AC753">100000000/LvacE(AA753)</f>
        <v>20357.514228920445</v>
      </c>
      <c r="AD753" s="10">
        <f t="shared" si="475"/>
        <v>7.0727204651077052E-3</v>
      </c>
      <c r="AE753" s="10" t="b">
        <f t="shared" si="476"/>
        <v>1</v>
      </c>
      <c r="AJ753" t="s">
        <v>4826</v>
      </c>
      <c r="AK753" t="s">
        <v>4965</v>
      </c>
      <c r="AL753">
        <v>1398.34</v>
      </c>
      <c r="AM753">
        <v>21755.84</v>
      </c>
      <c r="AN753" s="10" cm="1">
        <f t="array" ref="AN753">Lair(100000000/($AM753-$AL753))</f>
        <v>4910.8234343261283</v>
      </c>
      <c r="AO753" s="10">
        <f t="shared" si="516"/>
        <v>4912.1945229031071</v>
      </c>
      <c r="AP753" s="12">
        <v>4690000</v>
      </c>
      <c r="AQ753" s="3">
        <v>0.83499999999999996</v>
      </c>
      <c r="AR753" s="3">
        <f t="shared" si="517"/>
        <v>-4.7694938163422904</v>
      </c>
      <c r="AS753" s="13">
        <f t="shared" si="518"/>
        <v>16.493679410033437</v>
      </c>
      <c r="AT753" s="3">
        <f t="shared" si="519"/>
        <v>-1.6968324288708547</v>
      </c>
      <c r="AU753" s="3" cm="1">
        <f t="array" ref="AU753">$C753*EXP(poly_from_str($AO753,AU$4341))</f>
        <v>8.1008845017939528</v>
      </c>
      <c r="AV753" s="13">
        <f t="shared" si="520"/>
        <v>0.71100398799031794</v>
      </c>
    </row>
    <row r="754" spans="1:48" x14ac:dyDescent="0.25">
      <c r="A754" t="s">
        <v>1290</v>
      </c>
      <c r="B754" s="2" t="str">
        <f t="shared" si="468"/>
        <v/>
      </c>
      <c r="C754">
        <v>6</v>
      </c>
      <c r="E754" t="s">
        <v>1291</v>
      </c>
      <c r="R754">
        <v>8</v>
      </c>
      <c r="S754" t="s">
        <v>22</v>
      </c>
      <c r="AA754" s="10">
        <f t="shared" si="473"/>
        <v>4890.259</v>
      </c>
      <c r="AB754" s="3">
        <f t="shared" si="474"/>
        <v>20443.11</v>
      </c>
      <c r="AC754" s="3" cm="1">
        <f t="array" ref="AC754">100000000/LvacE(AA754)</f>
        <v>20443.105827293526</v>
      </c>
      <c r="AD754" s="10">
        <f t="shared" si="475"/>
        <v>7.0901864121402907E-3</v>
      </c>
      <c r="AE754" s="10" t="b">
        <f t="shared" si="476"/>
        <v>1</v>
      </c>
      <c r="AP754"/>
      <c r="AQ754"/>
      <c r="AU754" s="3" cm="1">
        <f t="array" ref="AU754">$C754*EXP(poly_from_str(100000000/$E754,AU$4341))</f>
        <v>0.52626936696670734</v>
      </c>
    </row>
    <row r="755" spans="1:48" x14ac:dyDescent="0.25">
      <c r="A755" t="s">
        <v>1292</v>
      </c>
      <c r="B755" s="2" t="str">
        <f t="shared" si="468"/>
        <v/>
      </c>
      <c r="C755">
        <v>1</v>
      </c>
      <c r="E755" t="s">
        <v>1293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473"/>
        <v>4883.1710000000003</v>
      </c>
      <c r="AB755" s="3">
        <f t="shared" si="474"/>
        <v>20472.78</v>
      </c>
      <c r="AC755" s="3" cm="1">
        <f t="array" ref="AC755">100000000/LvacE(AA755)</f>
        <v>20472.778908300057</v>
      </c>
      <c r="AD755" s="10">
        <f t="shared" si="475"/>
        <v>7.0962586512227461E-3</v>
      </c>
      <c r="AE755" s="10" t="b">
        <f t="shared" si="476"/>
        <v>1</v>
      </c>
      <c r="AJ755" t="s">
        <v>4812</v>
      </c>
      <c r="AK755" t="s">
        <v>4706</v>
      </c>
      <c r="AL755">
        <v>10032.92</v>
      </c>
      <c r="AM755">
        <v>30505.72</v>
      </c>
      <c r="AN755" s="10" cm="1">
        <f t="array" ref="AN755">Lair(100000000/($AM755-$AL755))</f>
        <v>4883.1659707987556</v>
      </c>
      <c r="AO755" s="10">
        <f>100000000/($AM755-$AL755)</f>
        <v>4884.5297174788002</v>
      </c>
      <c r="AP755" s="12">
        <v>208000</v>
      </c>
      <c r="AQ755" s="3">
        <v>1.0999999999999999E-2</v>
      </c>
      <c r="AR755" s="3"/>
      <c r="AS755" s="13">
        <f>EXP(AR$4341*$AM755+AR$4342)*$AP755/(100000000/($AM755-$AL755))</f>
        <v>0.38148837438644512</v>
      </c>
      <c r="AT755" s="3"/>
      <c r="AU755" s="3" cm="1">
        <f t="array" ref="AU755">$C755*EXP(poly_from_str($AO755,AU$4341))</f>
        <v>8.6857973254836005E-2</v>
      </c>
    </row>
    <row r="756" spans="1:48" x14ac:dyDescent="0.25">
      <c r="A756" t="s">
        <v>1294</v>
      </c>
      <c r="B756" s="2" t="str">
        <f t="shared" si="468"/>
        <v/>
      </c>
      <c r="C756">
        <v>3</v>
      </c>
      <c r="D756" t="s">
        <v>14</v>
      </c>
      <c r="E756" t="s">
        <v>1295</v>
      </c>
      <c r="R756">
        <v>8</v>
      </c>
      <c r="S756" t="s">
        <v>22</v>
      </c>
      <c r="AA756" s="10">
        <f t="shared" si="473"/>
        <v>4870.7470000000003</v>
      </c>
      <c r="AB756" s="3">
        <f t="shared" si="474"/>
        <v>20525</v>
      </c>
      <c r="AC756" s="3" cm="1">
        <f t="array" ref="AC756">100000000/LvacE(AA756)</f>
        <v>20524.998879419381</v>
      </c>
      <c r="AD756" s="10">
        <f t="shared" si="475"/>
        <v>7.1069662291450755E-3</v>
      </c>
      <c r="AE756" s="10" t="b">
        <f t="shared" si="476"/>
        <v>1</v>
      </c>
      <c r="AP756"/>
      <c r="AQ756"/>
      <c r="AU756" s="3" cm="1">
        <f t="array" ref="AU756">$C756*EXP(poly_from_str(100000000/$E756,AU$4341))</f>
        <v>0.25587002134557635</v>
      </c>
    </row>
    <row r="757" spans="1:48" x14ac:dyDescent="0.25">
      <c r="A757" t="s">
        <v>1296</v>
      </c>
      <c r="B757" s="2" t="str">
        <f t="shared" si="468"/>
        <v/>
      </c>
      <c r="C757">
        <v>3</v>
      </c>
      <c r="E757" t="s">
        <v>1297</v>
      </c>
      <c r="R757">
        <v>8</v>
      </c>
      <c r="S757" t="s">
        <v>22</v>
      </c>
      <c r="AA757" s="10">
        <f t="shared" si="473"/>
        <v>4866.3190000000004</v>
      </c>
      <c r="AB757" s="3">
        <f t="shared" si="474"/>
        <v>20543.669999999998</v>
      </c>
      <c r="AC757" s="3" cm="1">
        <f t="array" ref="AC757">100000000/LvacE(AA757)</f>
        <v>20543.674890454509</v>
      </c>
      <c r="AD757" s="10">
        <f t="shared" si="475"/>
        <v>7.1108023220892947E-3</v>
      </c>
      <c r="AE757" s="10" t="b">
        <f t="shared" si="476"/>
        <v>1</v>
      </c>
      <c r="AP757"/>
      <c r="AQ757"/>
      <c r="AU757" s="3" cm="1">
        <f t="array" ref="AU757">$C757*EXP(poly_from_str(100000000/$E757,AU$4341))</f>
        <v>0.25412722898579948</v>
      </c>
    </row>
    <row r="758" spans="1:48" x14ac:dyDescent="0.25">
      <c r="A758" t="s">
        <v>1298</v>
      </c>
      <c r="B758" s="2" t="str">
        <f t="shared" si="468"/>
        <v/>
      </c>
      <c r="C758">
        <v>60</v>
      </c>
      <c r="E758" t="s">
        <v>1299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521">$G758&amp;""</f>
        <v>o</v>
      </c>
      <c r="N758" t="str">
        <f t="shared" ref="N758:N762" si="522">$H758&amp;""</f>
        <v>13/2</v>
      </c>
      <c r="O758">
        <v>23442.25</v>
      </c>
      <c r="P758" t="str">
        <f t="shared" ref="P758:P762" si="523">$J758&amp;""</f>
        <v>e</v>
      </c>
      <c r="Q758" t="str">
        <f t="shared" ref="Q758:Q762" si="524">$K758&amp;""</f>
        <v>11/2</v>
      </c>
      <c r="R758">
        <v>8</v>
      </c>
      <c r="AA758" s="10">
        <f t="shared" si="473"/>
        <v>4865.0249999999996</v>
      </c>
      <c r="AB758" s="3">
        <f t="shared" si="474"/>
        <v>20549.14</v>
      </c>
      <c r="AC758" s="3" cm="1">
        <f t="array" ref="AC758">100000000/LvacE(AA758)</f>
        <v>20549.139023559568</v>
      </c>
      <c r="AD758" s="10">
        <f t="shared" si="475"/>
        <v>7.1119253265460678E-3</v>
      </c>
      <c r="AE758" s="10" t="b">
        <f t="shared" si="476"/>
        <v>1</v>
      </c>
      <c r="AJ758" t="s">
        <v>4977</v>
      </c>
      <c r="AK758" t="s">
        <v>4782</v>
      </c>
      <c r="AL758">
        <v>2893.14</v>
      </c>
      <c r="AM758">
        <v>23442.25</v>
      </c>
      <c r="AN758" s="10" cm="1">
        <f t="array" ref="AN758">Lair(100000000/($AM758-$AL758))</f>
        <v>4865.0318729909823</v>
      </c>
      <c r="AO758" s="10">
        <f t="shared" ref="AO758:AO762" si="525">100000000/($AM758-$AL758)</f>
        <v>4866.3908071931091</v>
      </c>
      <c r="AP758" s="12">
        <v>1730000</v>
      </c>
      <c r="AQ758" s="3">
        <v>0.44</v>
      </c>
      <c r="AR758" s="3">
        <f>LN(AU758*100000000/($AM758-$AL758)/AP758)</f>
        <v>-4.2497353141961511</v>
      </c>
      <c r="AS758" s="13">
        <f>EXP(AR$4341*$AM758+AR$4342)*$AP758/(100000000/($AM758-$AL758))</f>
        <v>5.4112206605203426</v>
      </c>
      <c r="AT758" s="3">
        <f>LN(AS758/$C758)</f>
        <v>-2.4058698644040089</v>
      </c>
      <c r="AU758" s="3" cm="1">
        <f t="array" ref="AU758">$C758*EXP(poly_from_str($AO758,AU$4341))</f>
        <v>5.0722718724438778</v>
      </c>
      <c r="AV758" s="13">
        <f>LN(AS758/AU758)</f>
        <v>6.4685879508561125E-2</v>
      </c>
    </row>
    <row r="759" spans="1:48" x14ac:dyDescent="0.25">
      <c r="A759" t="s">
        <v>1300</v>
      </c>
      <c r="B759" s="2" t="str">
        <f t="shared" si="468"/>
        <v/>
      </c>
      <c r="C759">
        <v>60</v>
      </c>
      <c r="E759" t="s">
        <v>1301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521"/>
        <v>o</v>
      </c>
      <c r="N759" t="str">
        <f t="shared" si="522"/>
        <v>13/2</v>
      </c>
      <c r="O759">
        <v>36642.129999999997</v>
      </c>
      <c r="P759" t="str">
        <f t="shared" si="523"/>
        <v>e</v>
      </c>
      <c r="Q759" t="str">
        <f t="shared" si="524"/>
        <v>13/2</v>
      </c>
      <c r="R759">
        <v>8</v>
      </c>
      <c r="AA759" s="10">
        <f t="shared" si="473"/>
        <v>4864.1109999999999</v>
      </c>
      <c r="AB759" s="3">
        <f t="shared" si="474"/>
        <v>20553</v>
      </c>
      <c r="AC759" s="3" cm="1">
        <f t="array" ref="AC759">100000000/LvacE(AA759)</f>
        <v>20553.00029455507</v>
      </c>
      <c r="AD759" s="10">
        <f t="shared" si="475"/>
        <v>7.1127190862374512E-3</v>
      </c>
      <c r="AE759" s="10" t="b">
        <f t="shared" si="476"/>
        <v>1</v>
      </c>
      <c r="AJ759" t="s">
        <v>4988</v>
      </c>
      <c r="AK759" t="s">
        <v>4793</v>
      </c>
      <c r="AL759">
        <v>16089.14</v>
      </c>
      <c r="AM759">
        <v>36642.129999999997</v>
      </c>
      <c r="AN759" s="10" cm="1">
        <f t="array" ref="AN759">Lair(100000000/($AM759-$AL759))</f>
        <v>4864.1134378918741</v>
      </c>
      <c r="AO759" s="10">
        <f t="shared" si="525"/>
        <v>4865.4721283861863</v>
      </c>
      <c r="AU759" s="3" cm="1">
        <f t="array" ref="AU759">$C759*EXP(poly_from_str($AO759,AU$4341))</f>
        <v>5.0649132167801829</v>
      </c>
    </row>
    <row r="760" spans="1:48" x14ac:dyDescent="0.25">
      <c r="A760" t="s">
        <v>1302</v>
      </c>
      <c r="B760" s="2" t="str">
        <f t="shared" si="468"/>
        <v/>
      </c>
      <c r="C760">
        <v>600</v>
      </c>
      <c r="E760" t="s">
        <v>1303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521"/>
        <v>o</v>
      </c>
      <c r="N760" t="str">
        <f t="shared" si="522"/>
        <v>13/2</v>
      </c>
      <c r="O760">
        <v>36670.57</v>
      </c>
      <c r="P760" t="str">
        <f t="shared" si="523"/>
        <v>e</v>
      </c>
      <c r="Q760" t="str">
        <f t="shared" si="524"/>
        <v>11/2</v>
      </c>
      <c r="R760">
        <v>8</v>
      </c>
      <c r="AA760" s="10">
        <f t="shared" si="473"/>
        <v>4857.3860000000004</v>
      </c>
      <c r="AB760" s="3">
        <f t="shared" si="474"/>
        <v>20581.46</v>
      </c>
      <c r="AC760" s="3" cm="1">
        <f t="array" ref="AC760">100000000/LvacE(AA760)</f>
        <v>20581.455309641125</v>
      </c>
      <c r="AD760" s="10">
        <f t="shared" si="475"/>
        <v>7.1185731697708532E-3</v>
      </c>
      <c r="AE760" s="10" t="b">
        <f t="shared" si="476"/>
        <v>1</v>
      </c>
      <c r="AJ760" t="s">
        <v>4988</v>
      </c>
      <c r="AK760" t="s">
        <v>4772</v>
      </c>
      <c r="AL760">
        <v>16089.14</v>
      </c>
      <c r="AM760">
        <v>36670.57</v>
      </c>
      <c r="AN760" s="10" cm="1">
        <f t="array" ref="AN760">Lair(100000000/($AM760-$AL760))</f>
        <v>4857.3919748482331</v>
      </c>
      <c r="AO760" s="10">
        <f t="shared" si="525"/>
        <v>4858.7488818804131</v>
      </c>
      <c r="AU760" s="3" cm="1">
        <f t="array" ref="AU760">$C760*EXP(poly_from_str($AO760,AU$4341))</f>
        <v>50.101782993710486</v>
      </c>
    </row>
    <row r="761" spans="1:48" x14ac:dyDescent="0.25">
      <c r="A761" t="s">
        <v>1304</v>
      </c>
      <c r="B761" s="2" t="str">
        <f t="shared" si="468"/>
        <v/>
      </c>
      <c r="C761">
        <v>90</v>
      </c>
      <c r="E761" t="s">
        <v>1305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521"/>
        <v>o</v>
      </c>
      <c r="N761" t="str">
        <f t="shared" si="522"/>
        <v>7/2</v>
      </c>
      <c r="O761">
        <v>34520.269999999997</v>
      </c>
      <c r="P761" t="str">
        <f t="shared" si="523"/>
        <v>e</v>
      </c>
      <c r="Q761" t="str">
        <f t="shared" si="524"/>
        <v>5/2</v>
      </c>
      <c r="R761">
        <v>8</v>
      </c>
      <c r="AA761" s="10">
        <f t="shared" si="473"/>
        <v>4845.3190000000004</v>
      </c>
      <c r="AB761" s="3">
        <f t="shared" si="474"/>
        <v>20632.71</v>
      </c>
      <c r="AC761" s="3" cm="1">
        <f t="array" ref="AC761">100000000/LvacE(AA761)</f>
        <v>20632.711569074319</v>
      </c>
      <c r="AD761" s="10">
        <f t="shared" si="475"/>
        <v>7.1291386149265213E-3</v>
      </c>
      <c r="AE761" s="10" t="b">
        <f t="shared" si="476"/>
        <v>1</v>
      </c>
      <c r="AJ761" t="s">
        <v>4818</v>
      </c>
      <c r="AK761" t="s">
        <v>4722</v>
      </c>
      <c r="AL761">
        <v>13887.6</v>
      </c>
      <c r="AM761">
        <v>34520.269999999997</v>
      </c>
      <c r="AN761" s="10" cm="1">
        <f t="array" ref="AN761">Lair(100000000/($AM761-$AL761))</f>
        <v>4845.3287635028173</v>
      </c>
      <c r="AO761" s="10">
        <f t="shared" si="525"/>
        <v>4846.682470082641</v>
      </c>
      <c r="AP761" s="12">
        <v>10200000</v>
      </c>
      <c r="AQ761" s="3">
        <v>0.19600000000000001</v>
      </c>
      <c r="AR761" s="3">
        <f t="shared" ref="AR761:AR762" si="526">LN(AU761*100000000/($AM761-$AL761)/AP761)</f>
        <v>-5.6554882473914772</v>
      </c>
      <c r="AS761" s="13">
        <f t="shared" ref="AS761:AS762" si="527">EXP(AR$4341*$AM761+AR$4342)*$AP761/(100000000/($AM761-$AL761))</f>
        <v>13.949303986024836</v>
      </c>
      <c r="AT761" s="3">
        <f t="shared" ref="AT761:AT762" si="528">LN(AS761/$C761)</f>
        <v>-1.8643800567825335</v>
      </c>
      <c r="AU761" s="3" cm="1">
        <f t="array" ref="AU761">$C761*EXP(poly_from_str($AO761,AU$4341))</f>
        <v>7.3622110922889163</v>
      </c>
      <c r="AV761" s="13">
        <f t="shared" ref="AV761:AV762" si="529">LN(AS761/AU761)</f>
        <v>0.639069305776093</v>
      </c>
    </row>
    <row r="762" spans="1:48" x14ac:dyDescent="0.25">
      <c r="A762" t="s">
        <v>1306</v>
      </c>
      <c r="B762" s="2" t="str">
        <f t="shared" si="468"/>
        <v/>
      </c>
      <c r="C762">
        <v>2</v>
      </c>
      <c r="D762" t="s">
        <v>1156</v>
      </c>
      <c r="E762" t="s">
        <v>1307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521"/>
        <v>e</v>
      </c>
      <c r="N762" t="str">
        <f t="shared" si="522"/>
        <v>11/2</v>
      </c>
      <c r="O762">
        <v>60419.73</v>
      </c>
      <c r="P762" t="str">
        <f t="shared" si="523"/>
        <v>o</v>
      </c>
      <c r="Q762" t="str">
        <f t="shared" si="524"/>
        <v>11/2</v>
      </c>
      <c r="R762">
        <v>8</v>
      </c>
      <c r="AA762" s="10">
        <f t="shared" si="473"/>
        <v>4832.6819999999998</v>
      </c>
      <c r="AB762" s="3">
        <f t="shared" si="474"/>
        <v>20686.66</v>
      </c>
      <c r="AC762" s="3" cm="1">
        <f t="array" ref="AC762">100000000/LvacE(AA762)</f>
        <v>20686.663368080659</v>
      </c>
      <c r="AD762" s="10">
        <f t="shared" si="475"/>
        <v>7.1402880810366443E-3</v>
      </c>
      <c r="AE762" s="10" t="b">
        <f t="shared" si="476"/>
        <v>1</v>
      </c>
      <c r="AJ762" t="s">
        <v>4725</v>
      </c>
      <c r="AK762" t="s">
        <v>4849</v>
      </c>
      <c r="AL762">
        <v>39732.99</v>
      </c>
      <c r="AM762">
        <v>60419.73</v>
      </c>
      <c r="AN762" s="10" cm="1">
        <f t="array" ref="AN762">Lair(100000000/($AM762-$AL762))</f>
        <v>4832.6640988809659</v>
      </c>
      <c r="AO762" s="10">
        <f t="shared" si="525"/>
        <v>4834.014445968769</v>
      </c>
      <c r="AP762" s="12">
        <v>1180000</v>
      </c>
      <c r="AQ762" s="3">
        <v>0.23599999999999999</v>
      </c>
      <c r="AR762" s="3">
        <f t="shared" si="526"/>
        <v>-7.3310148734676144</v>
      </c>
      <c r="AS762" s="13">
        <f t="shared" si="527"/>
        <v>0.2316570924296682</v>
      </c>
      <c r="AT762" s="3">
        <f t="shared" si="528"/>
        <v>-2.1556442311411304</v>
      </c>
      <c r="AU762" s="3" cm="1">
        <f t="array" ref="AU762">$C762*EXP(poly_from_str($AO762,AU$4341))</f>
        <v>0.15986550249038142</v>
      </c>
      <c r="AV762" s="13">
        <f t="shared" si="529"/>
        <v>0.37092537611247556</v>
      </c>
    </row>
    <row r="763" spans="1:48" x14ac:dyDescent="0.25">
      <c r="A763" t="s">
        <v>1308</v>
      </c>
      <c r="B763" s="2" t="str">
        <f t="shared" si="468"/>
        <v/>
      </c>
      <c r="C763">
        <v>1</v>
      </c>
      <c r="E763" t="s">
        <v>1309</v>
      </c>
      <c r="R763">
        <v>8</v>
      </c>
      <c r="S763" t="s">
        <v>22</v>
      </c>
      <c r="AA763" s="10">
        <f t="shared" si="473"/>
        <v>4827.1959999999999</v>
      </c>
      <c r="AB763" s="3">
        <f t="shared" si="474"/>
        <v>20710.169999999998</v>
      </c>
      <c r="AC763" s="3" cm="1">
        <f t="array" ref="AC763">100000000/LvacE(AA763)</f>
        <v>20710.172963423222</v>
      </c>
      <c r="AD763" s="10">
        <f t="shared" si="475"/>
        <v>7.1451555896449226E-3</v>
      </c>
      <c r="AE763" s="10" t="b">
        <f t="shared" si="476"/>
        <v>1</v>
      </c>
      <c r="AP763"/>
      <c r="AQ763"/>
      <c r="AU763" s="3" cm="1">
        <f t="array" ref="AU763">$C763*EXP(poly_from_str(100000000/$E763,AU$4341))</f>
        <v>7.9100114784390801E-2</v>
      </c>
    </row>
    <row r="764" spans="1:48" x14ac:dyDescent="0.25">
      <c r="A764" t="s">
        <v>1310</v>
      </c>
      <c r="B764" s="2" t="str">
        <f t="shared" si="468"/>
        <v/>
      </c>
      <c r="C764">
        <v>1</v>
      </c>
      <c r="D764" t="s">
        <v>14</v>
      </c>
      <c r="E764" t="s">
        <v>1311</v>
      </c>
      <c r="R764">
        <v>8</v>
      </c>
      <c r="S764" t="s">
        <v>22</v>
      </c>
      <c r="AA764" s="10">
        <f t="shared" si="473"/>
        <v>4821.7979999999998</v>
      </c>
      <c r="AB764" s="3">
        <f t="shared" si="474"/>
        <v>20733.36</v>
      </c>
      <c r="AC764" s="3" cm="1">
        <f t="array" ref="AC764">100000000/LvacE(AA764)</f>
        <v>20733.357659917994</v>
      </c>
      <c r="AD764" s="10">
        <f t="shared" si="475"/>
        <v>7.1499612447387881E-3</v>
      </c>
      <c r="AE764" s="10" t="b">
        <f t="shared" si="476"/>
        <v>1</v>
      </c>
      <c r="AP764"/>
      <c r="AQ764"/>
      <c r="AU764" s="3" cm="1">
        <f t="array" ref="AU764">$C764*EXP(poly_from_str(100000000/$E764,AU$4341))</f>
        <v>7.8263310727151772E-2</v>
      </c>
    </row>
    <row r="765" spans="1:48" x14ac:dyDescent="0.25">
      <c r="A765" t="s">
        <v>1312</v>
      </c>
      <c r="B765" s="2" t="str">
        <f t="shared" si="468"/>
        <v/>
      </c>
      <c r="C765">
        <v>1</v>
      </c>
      <c r="D765" t="s">
        <v>14</v>
      </c>
      <c r="E765" t="s">
        <v>1313</v>
      </c>
      <c r="R765">
        <v>8</v>
      </c>
      <c r="S765" t="s">
        <v>22</v>
      </c>
      <c r="AA765" s="10">
        <f t="shared" si="473"/>
        <v>4820.7969999999996</v>
      </c>
      <c r="AB765" s="3">
        <f t="shared" si="474"/>
        <v>20737.66</v>
      </c>
      <c r="AC765" s="3" cm="1">
        <f t="array" ref="AC765">100000000/LvacE(AA765)</f>
        <v>20737.662714759121</v>
      </c>
      <c r="AD765" s="10">
        <f t="shared" si="475"/>
        <v>7.1508541756434806E-3</v>
      </c>
      <c r="AE765" s="10" t="b">
        <f t="shared" si="476"/>
        <v>1</v>
      </c>
      <c r="AP765"/>
      <c r="AQ765"/>
      <c r="AU765" s="3" cm="1">
        <f t="array" ref="AU765">$C765*EXP(poly_from_str(100000000/$E765,AU$4341))</f>
        <v>7.8106797537028178E-2</v>
      </c>
    </row>
    <row r="766" spans="1:48" x14ac:dyDescent="0.25">
      <c r="A766" t="s">
        <v>1314</v>
      </c>
      <c r="B766" s="2" t="str">
        <f t="shared" si="468"/>
        <v/>
      </c>
      <c r="C766">
        <v>8</v>
      </c>
      <c r="D766" t="s">
        <v>14</v>
      </c>
      <c r="E766" t="s">
        <v>1315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473"/>
        <v>4816.8559999999998</v>
      </c>
      <c r="AB766" s="3">
        <f t="shared" si="474"/>
        <v>20754.63</v>
      </c>
      <c r="AC766" s="3" cm="1">
        <f t="array" ref="AC766">100000000/LvacE(AA766)</f>
        <v>20754.629375844946</v>
      </c>
      <c r="AD766" s="10">
        <f t="shared" si="475"/>
        <v>7.1543751127130378E-3</v>
      </c>
      <c r="AE766" s="10" t="b">
        <f t="shared" si="476"/>
        <v>1</v>
      </c>
      <c r="AJ766" t="s">
        <v>4977</v>
      </c>
      <c r="AK766" t="s">
        <v>4966</v>
      </c>
      <c r="AL766">
        <v>2893.14</v>
      </c>
      <c r="AM766">
        <v>23647.77</v>
      </c>
      <c r="AN766" s="10" cm="1">
        <f t="array" ref="AN766">Lair(100000000/($AM766-$AL766))</f>
        <v>4816.8558563446213</v>
      </c>
      <c r="AO766" s="10">
        <f>100000000/($AM766-$AL766)</f>
        <v>4818.2020108284269</v>
      </c>
      <c r="AP766" s="12">
        <v>285000</v>
      </c>
      <c r="AQ766" s="3">
        <v>6.8000000000000005E-2</v>
      </c>
      <c r="AR766" s="3">
        <f>LN(AU766*100000000/($AM766-$AL766)/AP766)</f>
        <v>-4.558316387229171</v>
      </c>
      <c r="AS766" s="13">
        <f>EXP(AR$4341*$AM766+AR$4342)*$AP766/(100000000/($AM766-$AL766))</f>
        <v>0.88657930743129509</v>
      </c>
      <c r="AT766" s="3">
        <f>LN(AS766/$C766)</f>
        <v>-2.1998262378617159</v>
      </c>
      <c r="AU766" s="3" cm="1">
        <f t="array" ref="AU766">$C766*EXP(poly_from_str($AO766,AU$4341))</f>
        <v>0.61988082408814826</v>
      </c>
      <c r="AV766" s="13">
        <f>LN(AS766/AU766)</f>
        <v>0.35784334245026456</v>
      </c>
    </row>
    <row r="767" spans="1:48" x14ac:dyDescent="0.25">
      <c r="A767" t="s">
        <v>1316</v>
      </c>
      <c r="B767" s="2" t="str">
        <f t="shared" si="468"/>
        <v/>
      </c>
      <c r="C767">
        <v>1</v>
      </c>
      <c r="E767" t="s">
        <v>1317</v>
      </c>
      <c r="R767">
        <v>8</v>
      </c>
      <c r="S767" t="s">
        <v>22</v>
      </c>
      <c r="AA767" s="10">
        <f t="shared" si="473"/>
        <v>4810.201</v>
      </c>
      <c r="AB767" s="3">
        <f t="shared" si="474"/>
        <v>20783.34</v>
      </c>
      <c r="AC767" s="3" cm="1">
        <f t="array" ref="AC767">100000000/LvacE(AA767)</f>
        <v>20783.343370017865</v>
      </c>
      <c r="AD767" s="10">
        <f t="shared" si="475"/>
        <v>7.1603404275640322E-3</v>
      </c>
      <c r="AE767" s="10" t="b">
        <f t="shared" si="476"/>
        <v>1</v>
      </c>
      <c r="AP767"/>
      <c r="AQ767"/>
      <c r="AU767" s="3" cm="1">
        <f t="array" ref="AU767">$C767*EXP(poly_from_str(100000000/$E767,AU$4341))</f>
        <v>7.641917035482873E-2</v>
      </c>
    </row>
    <row r="768" spans="1:48" x14ac:dyDescent="0.25">
      <c r="A768">
        <v>4808.2370000000001</v>
      </c>
      <c r="B768" s="2" t="str">
        <f t="shared" si="468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530">$G768&amp;""</f>
        <v>o</v>
      </c>
      <c r="N768" t="str">
        <f t="shared" ref="N768:N769" si="531">$H768&amp;""</f>
        <v>1/2</v>
      </c>
      <c r="O768">
        <v>39485.480000000003</v>
      </c>
      <c r="P768" t="str">
        <f t="shared" ref="P768:P769" si="532">$J768&amp;""</f>
        <v>e</v>
      </c>
      <c r="Q768" t="str">
        <f t="shared" ref="Q768:Q769" si="533">$K768&amp;""</f>
        <v>1/2</v>
      </c>
      <c r="R768">
        <v>9</v>
      </c>
      <c r="S768" t="s">
        <v>1318</v>
      </c>
      <c r="AA768" s="10">
        <f t="shared" si="473"/>
        <v>4808.2370000000001</v>
      </c>
      <c r="AB768" s="3">
        <f t="shared" si="474"/>
        <v>20791.830000000002</v>
      </c>
      <c r="AC768" s="3" cm="1">
        <f t="array" ref="AC768">100000000/LvacE(AA768)</f>
        <v>20791.832531817792</v>
      </c>
      <c r="AD768" s="10">
        <f t="shared" si="475"/>
        <v>7.1621056253901166E-3</v>
      </c>
      <c r="AE768" s="10" t="b">
        <f t="shared" si="476"/>
        <v>1</v>
      </c>
      <c r="AJ768" t="s">
        <v>4795</v>
      </c>
      <c r="AK768" t="s">
        <v>4809</v>
      </c>
      <c r="AL768">
        <v>18693.650000000001</v>
      </c>
      <c r="AM768">
        <v>39485.480000000003</v>
      </c>
      <c r="AN768" s="10" cm="1">
        <f t="array" ref="AN768">Lair(100000000/($AM768-$AL768))</f>
        <v>4808.2375866520379</v>
      </c>
      <c r="AO768" s="10">
        <f t="shared" ref="AO768:AO769" si="534">100000000/($AM768-$AL768)</f>
        <v>4809.5814557929725</v>
      </c>
      <c r="AU768" s="3" cm="1">
        <f t="array" ref="AU768">$C768*EXP(poly_from_str($AO768,AU$4341))</f>
        <v>0.60880533172251783</v>
      </c>
    </row>
    <row r="769" spans="1:48" x14ac:dyDescent="0.25">
      <c r="A769">
        <v>4805.3130000000001</v>
      </c>
      <c r="B769" s="2" t="str">
        <f t="shared" si="468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530"/>
        <v>o</v>
      </c>
      <c r="N769" t="str">
        <f t="shared" si="531"/>
        <v>5/2</v>
      </c>
      <c r="O769">
        <v>48401.64</v>
      </c>
      <c r="P769" t="str">
        <f t="shared" si="532"/>
        <v>e</v>
      </c>
      <c r="Q769" t="str">
        <f t="shared" si="533"/>
        <v>3/2</v>
      </c>
      <c r="R769">
        <v>9</v>
      </c>
      <c r="S769" t="s">
        <v>420</v>
      </c>
      <c r="AA769" s="10">
        <f t="shared" si="473"/>
        <v>4805.3130000000001</v>
      </c>
      <c r="AB769" s="3">
        <f t="shared" si="474"/>
        <v>20804.48</v>
      </c>
      <c r="AC769" s="3" cm="1">
        <f t="array" ref="AC769">100000000/LvacE(AA769)</f>
        <v>20804.484037910828</v>
      </c>
      <c r="AD769" s="10">
        <f t="shared" si="475"/>
        <v>7.1647376599516862E-3</v>
      </c>
      <c r="AE769" s="10" t="b">
        <f t="shared" si="476"/>
        <v>1</v>
      </c>
      <c r="AJ769" t="s">
        <v>4991</v>
      </c>
      <c r="AK769" t="s">
        <v>4945</v>
      </c>
      <c r="AL769">
        <v>27597.13</v>
      </c>
      <c r="AM769">
        <v>48401.64</v>
      </c>
      <c r="AN769" s="10" cm="1">
        <f t="array" ref="AN769">Lair(100000000/($AM769-$AL769))</f>
        <v>4805.3070044567185</v>
      </c>
      <c r="AO769" s="10">
        <f t="shared" si="534"/>
        <v>4806.6500965415671</v>
      </c>
      <c r="AU769" s="3" cm="1">
        <f t="array" ref="AU769">$C769*EXP(poly_from_str($AO769,AU$4341))</f>
        <v>0.68060041432654339</v>
      </c>
    </row>
    <row r="770" spans="1:48" x14ac:dyDescent="0.25">
      <c r="A770">
        <v>4803.43</v>
      </c>
      <c r="B770" s="2" t="str">
        <f t="shared" si="468"/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473"/>
        <v>4803.43</v>
      </c>
      <c r="AB770" s="3">
        <f t="shared" si="474"/>
        <v>20812.64</v>
      </c>
      <c r="AC770" s="3" cm="1">
        <f t="array" ref="AC770">100000000/LvacE(AA770)</f>
        <v>20812.639518732689</v>
      </c>
      <c r="AD770" s="10">
        <f t="shared" si="475"/>
        <v>7.1664351847255704E-3</v>
      </c>
      <c r="AE770" s="10" t="b">
        <f t="shared" si="476"/>
        <v>1</v>
      </c>
      <c r="AP770"/>
      <c r="AQ770"/>
      <c r="AU770" s="3" cm="1">
        <f t="array" ref="AU770">$C770*EXP(poly_from_str(100000000/$E770,AU$4341))</f>
        <v>0.37656931894697065</v>
      </c>
    </row>
    <row r="771" spans="1:48" x14ac:dyDescent="0.25">
      <c r="A771">
        <v>4803.0150000000003</v>
      </c>
      <c r="B771" s="2" t="str">
        <f t="shared" ref="B771:B834" si="535">IF(OR(A771=A770,A771=A772),IF(B770="",1,B770+1),"")</f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536">ROUND($A771,3)+0</f>
        <v>4803.0150000000003</v>
      </c>
      <c r="AB771" s="3">
        <f t="shared" ref="AB771:AB834" si="537">ROUND($E771,2)+0</f>
        <v>20814.439999999999</v>
      </c>
      <c r="AC771" s="3" cm="1">
        <f t="array" ref="AC771">100000000/LvacE(AA771)</f>
        <v>20814.437789485874</v>
      </c>
      <c r="AD771" s="10">
        <f t="shared" ref="AD771:AD834" si="538">0.0005/$AA771*AC771+0.005</f>
        <v>7.1668095758066416E-3</v>
      </c>
      <c r="AE771" s="10" t="b">
        <f t="shared" ref="AE771:AE834" si="539">ABS(AB771-AC771)&lt;AD771</f>
        <v>1</v>
      </c>
      <c r="AP771"/>
      <c r="AQ771"/>
      <c r="AU771" s="3" cm="1">
        <f t="array" ref="AU771">$C771*EXP(poly_from_str(100000000/$E771,AU$4341))</f>
        <v>0.15049081717101426</v>
      </c>
    </row>
    <row r="772" spans="1:48" x14ac:dyDescent="0.25">
      <c r="A772">
        <v>4801.9269999999997</v>
      </c>
      <c r="B772" s="2" t="str">
        <f t="shared" si="535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536"/>
        <v>4801.9269999999997</v>
      </c>
      <c r="AB772" s="3">
        <f t="shared" si="537"/>
        <v>20819.150000000001</v>
      </c>
      <c r="AC772" s="3" cm="1">
        <f t="array" ref="AC772">100000000/LvacE(AA772)</f>
        <v>20819.153767689662</v>
      </c>
      <c r="AD772" s="10">
        <f t="shared" si="538"/>
        <v>7.1677915728091731E-3</v>
      </c>
      <c r="AE772" s="10" t="b">
        <f t="shared" si="539"/>
        <v>1</v>
      </c>
      <c r="AP772"/>
      <c r="AQ772"/>
      <c r="AU772" s="3" cm="1">
        <f t="array" ref="AU772">$C772*EXP(poly_from_str(100000000/$E772,AU$4341))</f>
        <v>0.1501319782961304</v>
      </c>
    </row>
    <row r="773" spans="1:48" x14ac:dyDescent="0.25">
      <c r="A773">
        <v>4798.6419999999998</v>
      </c>
      <c r="B773" s="2" t="str">
        <f t="shared" si="535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536"/>
        <v>4798.6419999999998</v>
      </c>
      <c r="AB773" s="3">
        <f t="shared" si="537"/>
        <v>20833.41</v>
      </c>
      <c r="AC773" s="3" cm="1">
        <f t="array" ref="AC773">100000000/LvacE(AA773)</f>
        <v>20833.405703277076</v>
      </c>
      <c r="AD773" s="10">
        <f t="shared" si="538"/>
        <v>7.1707605717697921E-3</v>
      </c>
      <c r="AE773" s="10" t="b">
        <f t="shared" si="539"/>
        <v>1</v>
      </c>
      <c r="AP773"/>
      <c r="AQ773"/>
      <c r="AU773" s="3" cm="1">
        <f t="array" ref="AU773">$C773*EXP(poly_from_str(100000000/$E773,AU$4341))</f>
        <v>7.4520215295834025E-2</v>
      </c>
    </row>
    <row r="774" spans="1:48" x14ac:dyDescent="0.25">
      <c r="A774">
        <v>4795.1509999999998</v>
      </c>
      <c r="B774" s="2" t="str">
        <f t="shared" si="535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536"/>
        <v>4795.1509999999998</v>
      </c>
      <c r="AB774" s="3">
        <f t="shared" si="537"/>
        <v>20848.57</v>
      </c>
      <c r="AC774" s="3" cm="1">
        <f t="array" ref="AC774">100000000/LvacE(AA774)</f>
        <v>20848.572769311886</v>
      </c>
      <c r="AD774" s="10">
        <f t="shared" si="538"/>
        <v>7.1739224447063179E-3</v>
      </c>
      <c r="AE774" s="10" t="b">
        <f t="shared" si="539"/>
        <v>1</v>
      </c>
      <c r="AP774"/>
      <c r="AQ774"/>
      <c r="AU774" s="3" cm="1">
        <f t="array" ref="AU774">$C774*EXP(poly_from_str(100000000/$E774,AU$4341))</f>
        <v>7.3935875603553872E-2</v>
      </c>
    </row>
    <row r="775" spans="1:48" x14ac:dyDescent="0.25">
      <c r="A775">
        <v>4791.1450000000004</v>
      </c>
      <c r="B775" s="2" t="str">
        <f t="shared" si="535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536"/>
        <v>4791.1450000000004</v>
      </c>
      <c r="AB775" s="3">
        <f t="shared" si="537"/>
        <v>20866</v>
      </c>
      <c r="AC775" s="3" cm="1">
        <f t="array" ref="AC775">100000000/LvacE(AA775)</f>
        <v>20866.004547637451</v>
      </c>
      <c r="AD775" s="10">
        <f t="shared" si="538"/>
        <v>7.1775592835989568E-3</v>
      </c>
      <c r="AE775" s="10" t="b">
        <f t="shared" si="539"/>
        <v>1</v>
      </c>
      <c r="AP775"/>
      <c r="AQ775"/>
      <c r="AU775" s="3" cm="1">
        <f t="array" ref="AU775">$C775*EXP(poly_from_str(100000000/$E775,AU$4341))</f>
        <v>0.21977693625897615</v>
      </c>
    </row>
    <row r="776" spans="1:48" x14ac:dyDescent="0.25">
      <c r="A776">
        <v>4783.8310000000001</v>
      </c>
      <c r="B776" s="2" t="str">
        <f t="shared" si="535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536"/>
        <v>4783.8310000000001</v>
      </c>
      <c r="AB776" s="3">
        <f t="shared" si="537"/>
        <v>20897.91</v>
      </c>
      <c r="AC776" s="3" cm="1">
        <f t="array" ref="AC776">100000000/LvacE(AA776)</f>
        <v>20897.906123813751</v>
      </c>
      <c r="AD776" s="10">
        <f t="shared" si="538"/>
        <v>7.1842228669672641E-3</v>
      </c>
      <c r="AE776" s="10" t="b">
        <f t="shared" si="539"/>
        <v>1</v>
      </c>
      <c r="AP776"/>
      <c r="AQ776"/>
      <c r="AU776" s="3" cm="1">
        <f t="array" ref="AU776">$C776*EXP(poly_from_str(100000000/$E776,AU$4341))</f>
        <v>0.2160193282233486</v>
      </c>
    </row>
    <row r="777" spans="1:48" x14ac:dyDescent="0.25">
      <c r="A777">
        <v>4777.88</v>
      </c>
      <c r="B777" s="2" t="str">
        <f t="shared" si="535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536"/>
        <v>4777.88</v>
      </c>
      <c r="AB777" s="3">
        <f t="shared" si="537"/>
        <v>20923.93</v>
      </c>
      <c r="AC777" s="3" cm="1">
        <f t="array" ref="AC777">100000000/LvacE(AA777)</f>
        <v>20923.934746286996</v>
      </c>
      <c r="AD777" s="10">
        <f t="shared" si="538"/>
        <v>7.1896672526609081E-3</v>
      </c>
      <c r="AE777" s="10" t="b">
        <f t="shared" si="539"/>
        <v>1</v>
      </c>
      <c r="AP777"/>
      <c r="AQ777"/>
      <c r="AU777" s="3" cm="1">
        <f t="array" ref="AU777">$C777*EXP(poly_from_str(100000000/$E777,AU$4341))</f>
        <v>0.14194634998466288</v>
      </c>
    </row>
    <row r="778" spans="1:48" x14ac:dyDescent="0.25">
      <c r="A778">
        <v>4775.2950000000001</v>
      </c>
      <c r="B778" s="2" t="str">
        <f t="shared" si="535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536"/>
        <v>4775.2950000000001</v>
      </c>
      <c r="AB778" s="3">
        <f t="shared" si="537"/>
        <v>20935.259999999998</v>
      </c>
      <c r="AC778" s="3" cm="1">
        <f t="array" ref="AC778">100000000/LvacE(AA778)</f>
        <v>20935.261289508766</v>
      </c>
      <c r="AD778" s="10">
        <f t="shared" si="538"/>
        <v>7.1920385326465445E-3</v>
      </c>
      <c r="AE778" s="10" t="b">
        <f t="shared" si="539"/>
        <v>1</v>
      </c>
      <c r="AJ778" t="s">
        <v>4767</v>
      </c>
      <c r="AK778" t="s">
        <v>4805</v>
      </c>
      <c r="AL778">
        <v>15705.13</v>
      </c>
      <c r="AM778">
        <v>36640.379999999997</v>
      </c>
      <c r="AN778" s="10" cm="1">
        <f t="array" ref="AN778">Lair(100000000/($AM778-$AL778))</f>
        <v>4775.2975760764748</v>
      </c>
      <c r="AO778" s="10">
        <f>100000000/($AM778-$AL778)</f>
        <v>4776.6327127691338</v>
      </c>
      <c r="AP778" s="12">
        <v>15800000</v>
      </c>
      <c r="AQ778" s="3">
        <v>0.23400000000000001</v>
      </c>
      <c r="AR778" s="3">
        <f>LN(AU778*100000000/($AM778-$AL778)/AP778)</f>
        <v>-4.6466333656692234</v>
      </c>
      <c r="AS778" s="13">
        <f>EXP(AR$4341*$AM778+AR$4342)*$AP778/(100000000/($AM778-$AL778))</f>
        <v>18.699617076129538</v>
      </c>
      <c r="AT778" s="3">
        <f>LN(AS778/$C778)</f>
        <v>-3.1807445363258098</v>
      </c>
      <c r="AU778" s="3" cm="1">
        <f t="array" ref="AU778">$C778*EXP(poly_from_str($AO778,AU$4341))</f>
        <v>31.734233155950427</v>
      </c>
      <c r="AV778" s="13">
        <f>LN(AS778/AU778)</f>
        <v>-0.52889296204337777</v>
      </c>
    </row>
    <row r="779" spans="1:48" x14ac:dyDescent="0.25">
      <c r="A779">
        <v>4772.5460000000003</v>
      </c>
      <c r="B779" s="2" t="str">
        <f t="shared" si="535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536"/>
        <v>4772.5460000000003</v>
      </c>
      <c r="AB779" s="3">
        <f t="shared" si="537"/>
        <v>20947.32</v>
      </c>
      <c r="AC779" s="3" cm="1">
        <f t="array" ref="AC779">100000000/LvacE(AA779)</f>
        <v>20947.31988377398</v>
      </c>
      <c r="AD779" s="10">
        <f t="shared" si="538"/>
        <v>7.1945644823301841E-3</v>
      </c>
      <c r="AE779" s="10" t="b">
        <f t="shared" si="539"/>
        <v>1</v>
      </c>
      <c r="AP779"/>
      <c r="AQ779"/>
      <c r="AU779" s="3" cm="1">
        <f t="array" ref="AU779">$C779*EXP(poly_from_str(100000000/$E779,AU$4341))</f>
        <v>7.0035878699773568E-2</v>
      </c>
    </row>
    <row r="780" spans="1:48" x14ac:dyDescent="0.25">
      <c r="A780">
        <v>4771.8270000000002</v>
      </c>
      <c r="B780" s="2" t="str">
        <f t="shared" si="535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536"/>
        <v>4771.8270000000002</v>
      </c>
      <c r="AB780" s="3">
        <f t="shared" si="537"/>
        <v>20950.48</v>
      </c>
      <c r="AC780" s="3" cm="1">
        <f t="array" ref="AC780">100000000/LvacE(AA780)</f>
        <v>20950.476097045554</v>
      </c>
      <c r="AD780" s="10">
        <f t="shared" si="538"/>
        <v>7.1952258639139217E-3</v>
      </c>
      <c r="AE780" s="10" t="b">
        <f t="shared" si="539"/>
        <v>1</v>
      </c>
      <c r="AJ780" t="s">
        <v>4979</v>
      </c>
      <c r="AK780" t="s">
        <v>4740</v>
      </c>
      <c r="AL780">
        <v>14187.35</v>
      </c>
      <c r="AM780">
        <v>35137.82</v>
      </c>
      <c r="AN780" s="10" cm="1">
        <f t="array" ref="AN780">Lair(100000000/($AM780-$AL780))</f>
        <v>4771.8283896240782</v>
      </c>
      <c r="AO780" s="10">
        <f>100000000/($AM780-$AL780)</f>
        <v>4773.1626068532114</v>
      </c>
      <c r="AP780" s="12">
        <v>6240000</v>
      </c>
      <c r="AQ780" s="3">
        <v>0.40100000000000002</v>
      </c>
      <c r="AR780" s="3">
        <f>LN(AU780*100000000/($AM780-$AL780)/AP780)</f>
        <v>-4.1325037681468819</v>
      </c>
      <c r="AS780" s="13">
        <f>EXP(AR$4341*$AM780+AR$4342)*$AP780/(100000000/($AM780-$AL780))</f>
        <v>8.2727111736791894</v>
      </c>
      <c r="AT780" s="3">
        <f>LN(AS780/$C780)</f>
        <v>-3.5908201869783944</v>
      </c>
      <c r="AU780" s="3" cm="1">
        <f t="array" ref="AU780">$C780*EXP(poly_from_str($AO780,AU$4341))</f>
        <v>20.972720882992689</v>
      </c>
      <c r="AV780" s="13">
        <f>LN(AS780/AU780)</f>
        <v>-0.93026030003473537</v>
      </c>
    </row>
    <row r="781" spans="1:48" x14ac:dyDescent="0.25">
      <c r="A781">
        <v>4767.9859999999999</v>
      </c>
      <c r="B781" s="2" t="str">
        <f t="shared" si="535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536"/>
        <v>4767.9859999999999</v>
      </c>
      <c r="AB781" s="3">
        <f t="shared" si="537"/>
        <v>20967.349999999999</v>
      </c>
      <c r="AC781" s="3" cm="1">
        <f t="array" ref="AC781">100000000/LvacE(AA781)</f>
        <v>20967.353161163952</v>
      </c>
      <c r="AD781" s="10">
        <f t="shared" si="538"/>
        <v>7.1987641282046499E-3</v>
      </c>
      <c r="AE781" s="10" t="b">
        <f t="shared" si="539"/>
        <v>1</v>
      </c>
      <c r="AP781"/>
      <c r="AQ781"/>
      <c r="AU781" s="3" cm="1">
        <f t="array" ref="AU781">$C781*EXP(poly_from_str(100000000/$E781,AU$4341))</f>
        <v>6.922729248737558E-2</v>
      </c>
    </row>
    <row r="782" spans="1:48" x14ac:dyDescent="0.25">
      <c r="A782">
        <v>4766.9870000000001</v>
      </c>
      <c r="B782" s="2" t="str">
        <f t="shared" si="535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536"/>
        <v>4766.9870000000001</v>
      </c>
      <c r="AB782" s="3">
        <f t="shared" si="537"/>
        <v>20971.75</v>
      </c>
      <c r="AC782" s="3" cm="1">
        <f t="array" ref="AC782">100000000/LvacE(AA782)</f>
        <v>20971.747148428381</v>
      </c>
      <c r="AD782" s="10">
        <f t="shared" si="538"/>
        <v>7.1996857919298272E-3</v>
      </c>
      <c r="AE782" s="10" t="b">
        <f t="shared" si="539"/>
        <v>1</v>
      </c>
      <c r="AJ782" t="s">
        <v>4760</v>
      </c>
      <c r="AK782" t="s">
        <v>4774</v>
      </c>
      <c r="AL782">
        <v>12494.63</v>
      </c>
      <c r="AM782">
        <v>33466.410000000003</v>
      </c>
      <c r="AN782" s="10" cm="1">
        <f t="array" ref="AN782">Lair(100000000/($AM782-$AL782))</f>
        <v>4766.9795334347709</v>
      </c>
      <c r="AO782" s="10">
        <f>100000000/($AM782-$AL782)</f>
        <v>4768.3124656085447</v>
      </c>
      <c r="AP782" s="12">
        <v>41800</v>
      </c>
      <c r="AQ782" s="3">
        <v>1.9E-2</v>
      </c>
      <c r="AR782" s="3"/>
      <c r="AS782" s="13">
        <f>EXP(AR$4341*$AM782+AR$4342)*$AP782/(100000000/($AM782-$AL782))</f>
        <v>6.2886341493432418E-2</v>
      </c>
      <c r="AT782" s="3"/>
      <c r="AU782" s="3" cm="1">
        <f t="array" ref="AU782">$C782*EXP(poly_from_str($AO782,AU$4341))</f>
        <v>0.20714327219758355</v>
      </c>
    </row>
    <row r="783" spans="1:48" x14ac:dyDescent="0.25">
      <c r="A783">
        <v>4766.9070000000002</v>
      </c>
      <c r="B783" s="2" t="str">
        <f t="shared" si="535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536"/>
        <v>4766.9070000000002</v>
      </c>
      <c r="AB783" s="3">
        <f t="shared" si="537"/>
        <v>20972.1</v>
      </c>
      <c r="AC783" s="3" cm="1">
        <f t="array" ref="AC783">100000000/LvacE(AA783)</f>
        <v>20972.099098925293</v>
      </c>
      <c r="AD783" s="10">
        <f t="shared" si="538"/>
        <v>7.1997596238950433E-3</v>
      </c>
      <c r="AE783" s="10" t="b">
        <f t="shared" si="539"/>
        <v>1</v>
      </c>
      <c r="AP783"/>
      <c r="AQ783"/>
      <c r="AU783" s="3" cm="1">
        <f t="array" ref="AU783">$C783*EXP(poly_from_str(100000000/$E783,AU$4341))</f>
        <v>0.13806955831917869</v>
      </c>
    </row>
    <row r="784" spans="1:48" x14ac:dyDescent="0.25">
      <c r="A784">
        <v>4765.357</v>
      </c>
      <c r="B784" s="2" t="str">
        <f t="shared" si="535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536"/>
        <v>4765.357</v>
      </c>
      <c r="AB784" s="3">
        <f t="shared" si="537"/>
        <v>20978.92</v>
      </c>
      <c r="AC784" s="3" cm="1">
        <f t="array" ref="AC784">100000000/LvacE(AA784)</f>
        <v>20978.920472215752</v>
      </c>
      <c r="AD784" s="10">
        <f t="shared" si="538"/>
        <v>7.2011908522504981E-3</v>
      </c>
      <c r="AE784" s="10" t="b">
        <f t="shared" si="539"/>
        <v>1</v>
      </c>
      <c r="AP784"/>
      <c r="AQ784"/>
      <c r="AU784" s="3" cm="1">
        <f t="array" ref="AU784">$C784*EXP(poly_from_str(100000000/$E784,AU$4341))</f>
        <v>6.8757878117926968E-2</v>
      </c>
    </row>
    <row r="785" spans="1:48" x14ac:dyDescent="0.25">
      <c r="A785">
        <v>4765.2950000000001</v>
      </c>
      <c r="B785" s="2" t="str">
        <f t="shared" si="535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536"/>
        <v>4765.2950000000001</v>
      </c>
      <c r="AB785" s="3">
        <f t="shared" si="537"/>
        <v>20979.19</v>
      </c>
      <c r="AC785" s="3" cm="1">
        <f t="array" ref="AC785">100000000/LvacE(AA785)</f>
        <v>20979.193419446372</v>
      </c>
      <c r="AD785" s="10">
        <f t="shared" si="538"/>
        <v>7.2012481304354059E-3</v>
      </c>
      <c r="AE785" s="10" t="b">
        <f t="shared" si="539"/>
        <v>1</v>
      </c>
      <c r="AP785"/>
      <c r="AQ785"/>
      <c r="AU785" s="3" cm="1">
        <f t="array" ref="AU785">$C785*EXP(poly_from_str(100000000/$E785,AU$4341))</f>
        <v>6.8746903979414659E-2</v>
      </c>
    </row>
    <row r="786" spans="1:48" x14ac:dyDescent="0.25">
      <c r="A786">
        <v>4764.8559999999998</v>
      </c>
      <c r="B786" s="2" t="str">
        <f t="shared" si="535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536"/>
        <v>4764.8559999999998</v>
      </c>
      <c r="AB786" s="3">
        <f t="shared" si="537"/>
        <v>20981.13</v>
      </c>
      <c r="AC786" s="3" cm="1">
        <f t="array" ref="AC786">100000000/LvacE(AA786)</f>
        <v>20981.12626513682</v>
      </c>
      <c r="AD786" s="10">
        <f t="shared" si="538"/>
        <v>7.2016537609045084E-3</v>
      </c>
      <c r="AE786" s="10" t="b">
        <f t="shared" si="539"/>
        <v>1</v>
      </c>
      <c r="AP786"/>
      <c r="AQ786"/>
      <c r="AU786" s="3" cm="1">
        <f t="array" ref="AU786">$C786*EXP(poly_from_str(100000000/$E786,AU$4341))</f>
        <v>6.8668026660187592E-2</v>
      </c>
    </row>
    <row r="787" spans="1:48" x14ac:dyDescent="0.25">
      <c r="A787">
        <v>4763.7749999999996</v>
      </c>
      <c r="B787" s="2" t="str">
        <f t="shared" si="535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536"/>
        <v>4763.7749999999996</v>
      </c>
      <c r="AB787" s="3">
        <f t="shared" si="537"/>
        <v>20985.89</v>
      </c>
      <c r="AC787" s="3" cm="1">
        <f t="array" ref="AC787">100000000/LvacE(AA787)</f>
        <v>20985.887251133521</v>
      </c>
      <c r="AD787" s="10">
        <f t="shared" si="538"/>
        <v>7.2026530693760221E-3</v>
      </c>
      <c r="AE787" s="10" t="b">
        <f t="shared" si="539"/>
        <v>1</v>
      </c>
      <c r="AP787"/>
      <c r="AQ787"/>
      <c r="AU787" s="3" cm="1">
        <f t="array" ref="AU787">$C787*EXP(poly_from_str(100000000/$E787,AU$4341))</f>
        <v>6.8474300091973805E-2</v>
      </c>
    </row>
    <row r="788" spans="1:48" x14ac:dyDescent="0.25">
      <c r="A788">
        <v>4758.0460000000003</v>
      </c>
      <c r="B788" s="2" t="str">
        <f t="shared" si="535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536"/>
        <v>4758.0460000000003</v>
      </c>
      <c r="AB788" s="3">
        <f t="shared" si="537"/>
        <v>21011.15</v>
      </c>
      <c r="AC788" s="3" cm="1">
        <f t="array" ref="AC788">100000000/LvacE(AA788)</f>
        <v>21011.155268216131</v>
      </c>
      <c r="AD788" s="10">
        <f t="shared" si="538"/>
        <v>7.2079605018757834E-3</v>
      </c>
      <c r="AE788" s="10" t="b">
        <f t="shared" si="539"/>
        <v>1</v>
      </c>
      <c r="AP788"/>
      <c r="AQ788"/>
      <c r="AU788" s="3" cm="1">
        <f t="array" ref="AU788">$C788*EXP(poly_from_str(100000000/$E788,AU$4341))</f>
        <v>6.7441846807847594E-2</v>
      </c>
    </row>
    <row r="789" spans="1:48" x14ac:dyDescent="0.25">
      <c r="A789">
        <v>4757.9740000000002</v>
      </c>
      <c r="B789" s="2" t="str">
        <f t="shared" si="535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536"/>
        <v>4757.9740000000002</v>
      </c>
      <c r="AB789" s="3">
        <f t="shared" si="537"/>
        <v>21011.47</v>
      </c>
      <c r="AC789" s="3" cm="1">
        <f t="array" ref="AC789">100000000/LvacE(AA789)</f>
        <v>21011.473214680696</v>
      </c>
      <c r="AD789" s="10">
        <f t="shared" si="538"/>
        <v>7.2080273257778098E-3</v>
      </c>
      <c r="AE789" s="10" t="b">
        <f t="shared" si="539"/>
        <v>1</v>
      </c>
      <c r="AP789"/>
      <c r="AQ789"/>
      <c r="AU789" s="3" cm="1">
        <f t="array" ref="AU789">$C789*EXP(poly_from_str(100000000/$E789,AU$4341))</f>
        <v>0</v>
      </c>
    </row>
    <row r="790" spans="1:48" x14ac:dyDescent="0.25">
      <c r="A790">
        <v>4757.9120000000003</v>
      </c>
      <c r="B790" s="2" t="str">
        <f t="shared" si="535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536"/>
        <v>4757.9120000000003</v>
      </c>
      <c r="AB790" s="3">
        <f t="shared" si="537"/>
        <v>21011.75</v>
      </c>
      <c r="AC790" s="3" cm="1">
        <f t="array" ref="AC790">100000000/LvacE(AA790)</f>
        <v>21011.747009624727</v>
      </c>
      <c r="AD790" s="10">
        <f t="shared" si="538"/>
        <v>7.2080848710132442E-3</v>
      </c>
      <c r="AE790" s="10" t="b">
        <f t="shared" si="539"/>
        <v>1</v>
      </c>
      <c r="AP790"/>
      <c r="AQ790"/>
      <c r="AU790" s="3" cm="1">
        <f t="array" ref="AU790">$C790*EXP(poly_from_str(100000000/$E790,AU$4341))</f>
        <v>0</v>
      </c>
    </row>
    <row r="791" spans="1:48" x14ac:dyDescent="0.25">
      <c r="A791">
        <v>4749.54</v>
      </c>
      <c r="B791" s="2" t="str">
        <f t="shared" si="535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536"/>
        <v>4749.54</v>
      </c>
      <c r="AB791" s="3">
        <f t="shared" si="537"/>
        <v>21048.78</v>
      </c>
      <c r="AC791" s="3" cm="1">
        <f t="array" ref="AC791">100000000/LvacE(AA791)</f>
        <v>21048.783809187957</v>
      </c>
      <c r="AD791" s="10">
        <f t="shared" si="538"/>
        <v>7.2158760436998063E-3</v>
      </c>
      <c r="AE791" s="10" t="b">
        <f t="shared" si="539"/>
        <v>1</v>
      </c>
      <c r="AP791"/>
      <c r="AQ791"/>
      <c r="AU791" s="3" cm="1">
        <f t="array" ref="AU791">$C791*EXP(poly_from_str(100000000/$E791,AU$4341))</f>
        <v>0.13178247496485659</v>
      </c>
    </row>
    <row r="792" spans="1:48" x14ac:dyDescent="0.25">
      <c r="A792">
        <v>4748.7</v>
      </c>
      <c r="B792" s="2" t="str">
        <f t="shared" si="535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540">$G792&amp;""</f>
        <v>o</v>
      </c>
      <c r="N792" t="str">
        <f t="shared" ref="N792:N794" si="541">$H792&amp;""</f>
        <v>5/2</v>
      </c>
      <c r="O792">
        <v>40098.660000000003</v>
      </c>
      <c r="P792" t="str">
        <f t="shared" ref="P792:P794" si="542">$J792&amp;""</f>
        <v>e</v>
      </c>
      <c r="Q792" t="str">
        <f t="shared" ref="Q792:Q794" si="543">$K792&amp;""</f>
        <v>5/2</v>
      </c>
      <c r="R792">
        <v>9</v>
      </c>
      <c r="AA792" s="10">
        <f t="shared" si="536"/>
        <v>4748.7</v>
      </c>
      <c r="AB792" s="3">
        <f t="shared" si="537"/>
        <v>21052.51</v>
      </c>
      <c r="AC792" s="3" cm="1">
        <f t="array" ref="AC792">100000000/LvacE(AA792)</f>
        <v>21052.507084661331</v>
      </c>
      <c r="AD792" s="10">
        <f t="shared" si="538"/>
        <v>7.2166600421864225E-3</v>
      </c>
      <c r="AE792" s="10" t="b">
        <f t="shared" si="539"/>
        <v>1</v>
      </c>
      <c r="AJ792" t="s">
        <v>4983</v>
      </c>
      <c r="AK792" t="s">
        <v>4737</v>
      </c>
      <c r="AL792">
        <v>19046.09</v>
      </c>
      <c r="AM792">
        <v>40098.660000000003</v>
      </c>
      <c r="AN792" s="10" cm="1">
        <f t="array" ref="AN792">Lair(100000000/($AM792-$AL792))</f>
        <v>4748.6858091024096</v>
      </c>
      <c r="AO792" s="10">
        <f t="shared" ref="AO792:AO794" si="544">100000000/($AM792-$AL792)</f>
        <v>4750.0138937906386</v>
      </c>
      <c r="AU792" s="3" cm="1">
        <f t="array" ref="AU792">$C792*EXP(poly_from_str($AO792,AU$4341))</f>
        <v>2.6293723205013442</v>
      </c>
    </row>
    <row r="793" spans="1:48" x14ac:dyDescent="0.25">
      <c r="A793">
        <v>4747.1099999999997</v>
      </c>
      <c r="B793" s="2" t="str">
        <f t="shared" si="535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540"/>
        <v>o</v>
      </c>
      <c r="N793" t="str">
        <f t="shared" si="541"/>
        <v>15/2</v>
      </c>
      <c r="O793">
        <v>38701.589999999997</v>
      </c>
      <c r="P793" t="str">
        <f t="shared" si="542"/>
        <v>e</v>
      </c>
      <c r="Q793" t="str">
        <f t="shared" si="543"/>
        <v>13/2</v>
      </c>
      <c r="R793">
        <v>9</v>
      </c>
      <c r="AA793" s="10">
        <f t="shared" si="536"/>
        <v>4747.1099999999997</v>
      </c>
      <c r="AB793" s="3">
        <f t="shared" si="537"/>
        <v>21059.56</v>
      </c>
      <c r="AC793" s="3" cm="1">
        <f t="array" ref="AC793">100000000/LvacE(AA793)</f>
        <v>21059.558320765071</v>
      </c>
      <c r="AD793" s="10">
        <f t="shared" si="538"/>
        <v>7.2181451789367712E-3</v>
      </c>
      <c r="AE793" s="10" t="b">
        <f t="shared" si="539"/>
        <v>1</v>
      </c>
      <c r="AJ793" t="s">
        <v>4978</v>
      </c>
      <c r="AK793" t="s">
        <v>4751</v>
      </c>
      <c r="AL793">
        <v>17642.060000000001</v>
      </c>
      <c r="AM793">
        <v>38701.589999999997</v>
      </c>
      <c r="AN793" s="10" cm="1">
        <f t="array" ref="AN793">Lair(100000000/($AM793-$AL793))</f>
        <v>4747.1163847174794</v>
      </c>
      <c r="AO793" s="10">
        <f t="shared" si="544"/>
        <v>4748.4440535947397</v>
      </c>
      <c r="AU793" s="3" cm="1">
        <f t="array" ref="AU793">$C793*EXP(poly_from_str($AO793,AU$4341))</f>
        <v>19.63373617171036</v>
      </c>
    </row>
    <row r="794" spans="1:48" x14ac:dyDescent="0.25">
      <c r="A794">
        <v>4743.0510000000004</v>
      </c>
      <c r="B794" s="2" t="str">
        <f t="shared" si="535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540"/>
        <v>e</v>
      </c>
      <c r="N794" t="str">
        <f t="shared" si="541"/>
        <v>13/2</v>
      </c>
      <c r="O794">
        <v>71736.45</v>
      </c>
      <c r="P794" t="str">
        <f t="shared" si="542"/>
        <v>o</v>
      </c>
      <c r="Q794" t="str">
        <f t="shared" si="543"/>
        <v>11/2</v>
      </c>
      <c r="R794">
        <v>9</v>
      </c>
      <c r="AA794" s="10">
        <f t="shared" si="536"/>
        <v>4743.0510000000004</v>
      </c>
      <c r="AB794" s="3">
        <f t="shared" si="537"/>
        <v>21077.58</v>
      </c>
      <c r="AC794" s="3" cm="1">
        <f t="array" ref="AC794">100000000/LvacE(AA794)</f>
        <v>21077.580367481256</v>
      </c>
      <c r="AD794" s="10">
        <f t="shared" si="538"/>
        <v>7.2219432563007703E-3</v>
      </c>
      <c r="AE794" s="10" t="b">
        <f t="shared" si="539"/>
        <v>1</v>
      </c>
      <c r="AJ794" t="s">
        <v>4921</v>
      </c>
      <c r="AK794" t="s">
        <v>4875</v>
      </c>
      <c r="AL794">
        <v>50658.720000000001</v>
      </c>
      <c r="AM794">
        <v>71736.45</v>
      </c>
      <c r="AN794" s="10" cm="1">
        <f t="array" ref="AN794">Lair(100000000/($AM794-$AL794))</f>
        <v>4743.0173289013337</v>
      </c>
      <c r="AO794" s="10">
        <f t="shared" si="544"/>
        <v>4744.3439117969547</v>
      </c>
      <c r="AP794" s="12">
        <v>2610000</v>
      </c>
      <c r="AQ794" s="3">
        <v>0.61799999999999999</v>
      </c>
      <c r="AR794" s="3">
        <f>LN(AU794*100000000/($AM794-$AL794)/AP794)</f>
        <v>-7.9496983325502786</v>
      </c>
      <c r="AS794" s="13">
        <f>EXP(AR$4341*$AM794+AR$4342)*$AP794/(100000000/($AM794-$AL794))</f>
        <v>0.22330419840609025</v>
      </c>
      <c r="AT794" s="3">
        <f>LN(AS794/$C794)</f>
        <v>-2.5978326073414282</v>
      </c>
      <c r="AU794" s="3" cm="1">
        <f t="array" ref="AU794">$C794*EXP(poly_from_str($AO794,AU$4341))</f>
        <v>0.19406813206616819</v>
      </c>
      <c r="AV794" s="13">
        <f>LN(AS794/AU794)</f>
        <v>0.14032566668308516</v>
      </c>
    </row>
    <row r="795" spans="1:48" x14ac:dyDescent="0.25">
      <c r="A795">
        <v>4742.9530000000004</v>
      </c>
      <c r="B795" s="2" t="str">
        <f t="shared" si="535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536"/>
        <v>4742.9530000000004</v>
      </c>
      <c r="AB795" s="3">
        <f t="shared" si="537"/>
        <v>21078.02</v>
      </c>
      <c r="AC795" s="3" cm="1">
        <f t="array" ref="AC795">100000000/LvacE(AA795)</f>
        <v>21078.015870932322</v>
      </c>
      <c r="AD795" s="10">
        <f t="shared" si="538"/>
        <v>7.2220350771905525E-3</v>
      </c>
      <c r="AE795" s="10" t="b">
        <f t="shared" si="539"/>
        <v>1</v>
      </c>
      <c r="AP795"/>
      <c r="AQ795"/>
      <c r="AU795" s="3" cm="1">
        <f t="array" ref="AU795">$C795*EXP(poly_from_str(100000000/$E795,AU$4341))</f>
        <v>0</v>
      </c>
    </row>
    <row r="796" spans="1:48" x14ac:dyDescent="0.25">
      <c r="A796">
        <v>4742.8630000000003</v>
      </c>
      <c r="B796" s="2" t="str">
        <f t="shared" si="535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536"/>
        <v>4742.8630000000003</v>
      </c>
      <c r="AB796" s="3">
        <f t="shared" si="537"/>
        <v>21078.42</v>
      </c>
      <c r="AC796" s="3" cm="1">
        <f t="array" ref="AC796">100000000/LvacE(AA796)</f>
        <v>21078.415838934397</v>
      </c>
      <c r="AD796" s="10">
        <f t="shared" si="538"/>
        <v>7.2221194075112859E-3</v>
      </c>
      <c r="AE796" s="10" t="b">
        <f t="shared" si="539"/>
        <v>1</v>
      </c>
      <c r="AP796"/>
      <c r="AQ796"/>
      <c r="AU796" s="3" cm="1">
        <f t="array" ref="AU796">$C796*EXP(poly_from_str(100000000/$E796,AU$4341))</f>
        <v>0</v>
      </c>
    </row>
    <row r="797" spans="1:48" x14ac:dyDescent="0.25">
      <c r="A797">
        <v>4742.7790000000005</v>
      </c>
      <c r="B797" s="2" t="str">
        <f t="shared" si="535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536"/>
        <v>4742.7790000000005</v>
      </c>
      <c r="AB797" s="3">
        <f t="shared" si="537"/>
        <v>21078.79</v>
      </c>
      <c r="AC797" s="3" cm="1">
        <f t="array" ref="AC797">100000000/LvacE(AA797)</f>
        <v>21078.789156098199</v>
      </c>
      <c r="AD797" s="10">
        <f t="shared" si="538"/>
        <v>7.2221981201420309E-3</v>
      </c>
      <c r="AE797" s="10" t="b">
        <f t="shared" si="539"/>
        <v>1</v>
      </c>
      <c r="AP797"/>
      <c r="AQ797"/>
      <c r="AU797" s="3" cm="1">
        <f t="array" ref="AU797">$C797*EXP(poly_from_str(100000000/$E797,AU$4341))</f>
        <v>0</v>
      </c>
    </row>
    <row r="798" spans="1:48" x14ac:dyDescent="0.25">
      <c r="A798">
        <v>4742.6970000000001</v>
      </c>
      <c r="B798" s="2" t="str">
        <f t="shared" si="535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536"/>
        <v>4742.6970000000001</v>
      </c>
      <c r="AB798" s="3">
        <f t="shared" si="537"/>
        <v>21079.15</v>
      </c>
      <c r="AC798" s="3" cm="1">
        <f t="array" ref="AC798">100000000/LvacE(AA798)</f>
        <v>21079.153597513228</v>
      </c>
      <c r="AD798" s="10">
        <f t="shared" si="538"/>
        <v>7.2222749626966714E-3</v>
      </c>
      <c r="AE798" s="10" t="b">
        <f t="shared" si="539"/>
        <v>1</v>
      </c>
      <c r="AP798"/>
      <c r="AQ798"/>
      <c r="AU798" s="3" cm="1">
        <f t="array" ref="AU798">$C798*EXP(poly_from_str(100000000/$E798,AU$4341))</f>
        <v>0</v>
      </c>
    </row>
    <row r="799" spans="1:48" x14ac:dyDescent="0.25">
      <c r="A799">
        <v>4742.6310000000003</v>
      </c>
      <c r="B799" s="2" t="str">
        <f t="shared" si="535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536"/>
        <v>4742.6310000000003</v>
      </c>
      <c r="AB799" s="3">
        <f t="shared" si="537"/>
        <v>21079.45</v>
      </c>
      <c r="AC799" s="3" cm="1">
        <f t="array" ref="AC799">100000000/LvacE(AA799)</f>
        <v>21079.446937561814</v>
      </c>
      <c r="AD799" s="10">
        <f t="shared" si="538"/>
        <v>7.2223368144772194E-3</v>
      </c>
      <c r="AE799" s="10" t="b">
        <f t="shared" si="539"/>
        <v>1</v>
      </c>
      <c r="AP799"/>
      <c r="AQ799"/>
      <c r="AU799" s="3" cm="1">
        <f t="array" ref="AU799">$C799*EXP(poly_from_str(100000000/$E799,AU$4341))</f>
        <v>0</v>
      </c>
    </row>
    <row r="800" spans="1:48" x14ac:dyDescent="0.25">
      <c r="A800">
        <v>4729.7489999999998</v>
      </c>
      <c r="B800" s="2" t="str">
        <f t="shared" si="535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545">$G800&amp;""</f>
        <v>o</v>
      </c>
      <c r="N800" t="str">
        <f t="shared" ref="N800:N802" si="546">$H800&amp;""</f>
        <v>7/2</v>
      </c>
      <c r="O800">
        <v>35024.49</v>
      </c>
      <c r="P800" t="str">
        <f t="shared" ref="P800:P802" si="547">$J800&amp;""</f>
        <v>e</v>
      </c>
      <c r="Q800" t="str">
        <f t="shared" ref="Q800:Q802" si="548">$K800&amp;""</f>
        <v>7/2</v>
      </c>
      <c r="R800">
        <v>9</v>
      </c>
      <c r="AA800" s="10">
        <f t="shared" si="536"/>
        <v>4729.7489999999998</v>
      </c>
      <c r="AB800" s="3">
        <f t="shared" si="537"/>
        <v>21136.86</v>
      </c>
      <c r="AC800" s="3" cm="1">
        <f t="array" ref="AC800">100000000/LvacE(AA800)</f>
        <v>21136.858316274196</v>
      </c>
      <c r="AD800" s="10">
        <f t="shared" si="538"/>
        <v>7.23445877532552E-3</v>
      </c>
      <c r="AE800" s="10" t="b">
        <f t="shared" si="539"/>
        <v>1</v>
      </c>
      <c r="AJ800" t="s">
        <v>4818</v>
      </c>
      <c r="AK800" t="s">
        <v>4770</v>
      </c>
      <c r="AL800">
        <v>13887.6</v>
      </c>
      <c r="AM800">
        <v>35024.49</v>
      </c>
      <c r="AN800" s="10" cm="1">
        <f t="array" ref="AN800">Lair(100000000/($AM800-$AL800))</f>
        <v>4729.7419107199321</v>
      </c>
      <c r="AO800" s="10">
        <f t="shared" ref="AO800:AO802" si="549">100000000/($AM800-$AL800)</f>
        <v>4731.0649769194997</v>
      </c>
      <c r="AP800" s="12">
        <v>442000</v>
      </c>
      <c r="AQ800" s="3">
        <v>1.2999999999999999E-2</v>
      </c>
      <c r="AR800" s="3"/>
      <c r="AS800" s="13">
        <f>EXP(AR$4341*$AM800+AR$4342)*$AP800/(100000000/($AM800-$AL800))</f>
        <v>0.59624747734908223</v>
      </c>
      <c r="AT800" s="3"/>
      <c r="AU800" s="3" cm="1">
        <f t="array" ref="AU800">$C800*EXP(poly_from_str($AO800,AU$4341))</f>
        <v>1.2442805629676976</v>
      </c>
    </row>
    <row r="801" spans="1:48" x14ac:dyDescent="0.25">
      <c r="A801">
        <v>4728.2110000000002</v>
      </c>
      <c r="B801" s="2" t="str">
        <f t="shared" si="535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545"/>
        <v>o</v>
      </c>
      <c r="N801" t="str">
        <f t="shared" si="546"/>
        <v>15/2</v>
      </c>
      <c r="O801">
        <v>38785.760000000002</v>
      </c>
      <c r="P801" t="str">
        <f t="shared" si="547"/>
        <v>e</v>
      </c>
      <c r="Q801" t="str">
        <f t="shared" si="548"/>
        <v>15/2</v>
      </c>
      <c r="R801">
        <v>9</v>
      </c>
      <c r="AA801" s="10">
        <f t="shared" si="536"/>
        <v>4728.2110000000002</v>
      </c>
      <c r="AB801" s="3">
        <f t="shared" si="537"/>
        <v>21143.73</v>
      </c>
      <c r="AC801" s="3" cm="1">
        <f t="array" ref="AC801">100000000/LvacE(AA801)</f>
        <v>21143.733645079563</v>
      </c>
      <c r="AD801" s="10">
        <f t="shared" si="538"/>
        <v>7.235912657565363E-3</v>
      </c>
      <c r="AE801" s="10" t="b">
        <f t="shared" si="539"/>
        <v>1</v>
      </c>
      <c r="AJ801" t="s">
        <v>4978</v>
      </c>
      <c r="AK801" t="s">
        <v>4781</v>
      </c>
      <c r="AL801">
        <v>17642.060000000001</v>
      </c>
      <c r="AM801">
        <v>38785.760000000002</v>
      </c>
      <c r="AN801" s="10" cm="1">
        <f t="array" ref="AN801">Lair(100000000/($AM801-$AL801))</f>
        <v>4728.2185245178298</v>
      </c>
      <c r="AO801" s="10">
        <f t="shared" si="549"/>
        <v>4729.5411872094282</v>
      </c>
      <c r="AU801" s="3" cm="1">
        <f t="array" ref="AU801">$C801*EXP(poly_from_str($AO801,AU$4341))</f>
        <v>16.720488250525431</v>
      </c>
    </row>
    <row r="802" spans="1:48" x14ac:dyDescent="0.25">
      <c r="A802">
        <v>4727.1840000000002</v>
      </c>
      <c r="B802" s="2" t="str">
        <f t="shared" si="535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545"/>
        <v>o</v>
      </c>
      <c r="N802" t="str">
        <f t="shared" si="546"/>
        <v>5/2</v>
      </c>
      <c r="O802">
        <v>48745.48</v>
      </c>
      <c r="P802" t="str">
        <f t="shared" si="547"/>
        <v>e</v>
      </c>
      <c r="Q802" t="str">
        <f t="shared" si="548"/>
        <v>5/2</v>
      </c>
      <c r="R802">
        <v>9</v>
      </c>
      <c r="S802" t="s">
        <v>420</v>
      </c>
      <c r="AA802" s="10">
        <f t="shared" si="536"/>
        <v>4727.1840000000002</v>
      </c>
      <c r="AB802" s="3">
        <f t="shared" si="537"/>
        <v>21148.33</v>
      </c>
      <c r="AC802" s="3" cm="1">
        <f t="array" ref="AC802">100000000/LvacE(AA802)</f>
        <v>21148.327139173132</v>
      </c>
      <c r="AD802" s="10">
        <f t="shared" si="538"/>
        <v>7.2368842781636101E-3</v>
      </c>
      <c r="AE802" s="10" t="b">
        <f t="shared" si="539"/>
        <v>1</v>
      </c>
      <c r="AJ802" t="s">
        <v>4991</v>
      </c>
      <c r="AK802" t="s">
        <v>4762</v>
      </c>
      <c r="AL802">
        <v>27597.13</v>
      </c>
      <c r="AM802">
        <v>48745.48</v>
      </c>
      <c r="AN802" s="10" cm="1">
        <f t="array" ref="AN802">Lair(100000000/($AM802-$AL802))</f>
        <v>4727.1788905547237</v>
      </c>
      <c r="AO802" s="10">
        <f t="shared" si="549"/>
        <v>4728.5012778774699</v>
      </c>
      <c r="AU802" s="3" cm="1">
        <f t="array" ref="AU802">$C802*EXP(poly_from_str($AO802,AU$4341))</f>
        <v>3.7039268577461062</v>
      </c>
    </row>
    <row r="803" spans="1:48" x14ac:dyDescent="0.25">
      <c r="A803">
        <v>4726.8630000000003</v>
      </c>
      <c r="B803" s="2" t="str">
        <f t="shared" si="535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536"/>
        <v>4726.8630000000003</v>
      </c>
      <c r="AB803" s="3">
        <f t="shared" si="537"/>
        <v>21149.759999999998</v>
      </c>
      <c r="AC803" s="3" cm="1">
        <f t="array" ref="AC803">100000000/LvacE(AA803)</f>
        <v>21149.763295057473</v>
      </c>
      <c r="AD803" s="10">
        <f t="shared" si="538"/>
        <v>7.2371880986457056E-3</v>
      </c>
      <c r="AE803" s="10" t="b">
        <f t="shared" si="539"/>
        <v>1</v>
      </c>
      <c r="AP803"/>
      <c r="AQ803"/>
      <c r="AU803" s="3" cm="1">
        <f t="array" ref="AU803">$C803*EXP(poly_from_str(100000000/$E803,AU$4341))</f>
        <v>0.12334555351386474</v>
      </c>
    </row>
    <row r="804" spans="1:48" x14ac:dyDescent="0.25">
      <c r="A804">
        <v>4725.5529999999999</v>
      </c>
      <c r="B804" s="2" t="str">
        <f t="shared" si="535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550">$G804&amp;""</f>
        <v>o</v>
      </c>
      <c r="N804" t="str">
        <f t="shared" ref="N804:N805" si="551">$H804&amp;""</f>
        <v>9/2</v>
      </c>
      <c r="O804">
        <v>37919.58</v>
      </c>
      <c r="P804" t="str">
        <f t="shared" ref="P804:P805" si="552">$J804&amp;""</f>
        <v>e</v>
      </c>
      <c r="Q804" t="str">
        <f t="shared" ref="Q804:Q805" si="553">$K804&amp;""</f>
        <v>7/2</v>
      </c>
      <c r="R804">
        <v>9</v>
      </c>
      <c r="AA804" s="10">
        <f t="shared" si="536"/>
        <v>4725.5529999999999</v>
      </c>
      <c r="AB804" s="3">
        <f t="shared" si="537"/>
        <v>21155.63</v>
      </c>
      <c r="AC804" s="3" cm="1">
        <f t="array" ref="AC804">100000000/LvacE(AA804)</f>
        <v>21155.626265575323</v>
      </c>
      <c r="AD804" s="10">
        <f t="shared" si="538"/>
        <v>7.2384286310591926E-3</v>
      </c>
      <c r="AE804" s="10" t="b">
        <f t="shared" si="539"/>
        <v>1</v>
      </c>
      <c r="AJ804" t="s">
        <v>4985</v>
      </c>
      <c r="AK804" t="s">
        <v>4764</v>
      </c>
      <c r="AL804">
        <v>16763.98</v>
      </c>
      <c r="AM804">
        <v>37919.58</v>
      </c>
      <c r="AN804" s="10" cm="1">
        <f t="array" ref="AN804">Lair(100000000/($AM804-$AL804))</f>
        <v>4725.5588676469588</v>
      </c>
      <c r="AO804" s="10">
        <f t="shared" ref="AO804:AO805" si="554">100000000/($AM804-$AL804)</f>
        <v>4726.8808258806175</v>
      </c>
      <c r="AP804" s="12">
        <v>14600000</v>
      </c>
      <c r="AQ804" s="3">
        <v>0.218</v>
      </c>
      <c r="AR804" s="3">
        <f>LN(AU804*100000000/($AM804-$AL804)/AP804)</f>
        <v>-5.121636027763107</v>
      </c>
      <c r="AS804" s="13">
        <f>EXP(AR$4341*$AM804+AR$4342)*$AP804/(100000000/($AM804-$AL804))</f>
        <v>15.862932918453483</v>
      </c>
      <c r="AT804" s="3">
        <f>LN(AS804/$C804)</f>
        <v>-2.9397973500446315</v>
      </c>
      <c r="AU804" s="3" cm="1">
        <f t="array" ref="AU804">$C804*EXP(poly_from_str($AO804,AU$4341))</f>
        <v>18.428073578188862</v>
      </c>
      <c r="AV804" s="13">
        <f>LN(AS804/AU804)</f>
        <v>-0.14989011519283518</v>
      </c>
    </row>
    <row r="805" spans="1:48" x14ac:dyDescent="0.25">
      <c r="A805">
        <v>4724.6750000000002</v>
      </c>
      <c r="B805" s="2" t="str">
        <f t="shared" si="535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550"/>
        <v>o</v>
      </c>
      <c r="N805" t="str">
        <f t="shared" si="551"/>
        <v>5/2</v>
      </c>
      <c r="O805">
        <v>40205.74</v>
      </c>
      <c r="P805" t="str">
        <f t="shared" si="552"/>
        <v>e</v>
      </c>
      <c r="Q805" t="str">
        <f t="shared" si="553"/>
        <v>3/2</v>
      </c>
      <c r="R805">
        <v>9</v>
      </c>
      <c r="AA805" s="10">
        <f t="shared" si="536"/>
        <v>4724.6750000000002</v>
      </c>
      <c r="AB805" s="3">
        <f t="shared" si="537"/>
        <v>21159.56</v>
      </c>
      <c r="AC805" s="3" cm="1">
        <f t="array" ref="AC805">100000000/LvacE(AA805)</f>
        <v>21159.55761821353</v>
      </c>
      <c r="AD805" s="10">
        <f t="shared" si="538"/>
        <v>7.2392606494852581E-3</v>
      </c>
      <c r="AE805" s="10" t="b">
        <f t="shared" si="539"/>
        <v>1</v>
      </c>
      <c r="AJ805" t="s">
        <v>4983</v>
      </c>
      <c r="AK805" t="s">
        <v>4779</v>
      </c>
      <c r="AL805">
        <v>19046.09</v>
      </c>
      <c r="AM805">
        <v>40205.74</v>
      </c>
      <c r="AN805" s="10" cm="1">
        <f t="array" ref="AN805">Lair(100000000/($AM805-$AL805))</f>
        <v>4724.6543726191167</v>
      </c>
      <c r="AO805" s="10">
        <f t="shared" si="554"/>
        <v>4725.9760912869542</v>
      </c>
      <c r="AU805" s="3" cm="1">
        <f t="array" ref="AU805">$C805*EXP(poly_from_str($AO805,AU$4341))</f>
        <v>0.49005053543419347</v>
      </c>
    </row>
    <row r="806" spans="1:48" x14ac:dyDescent="0.25">
      <c r="A806">
        <v>4723.0389999999998</v>
      </c>
      <c r="B806" s="2" t="str">
        <f t="shared" si="535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536"/>
        <v>4723.0389999999998</v>
      </c>
      <c r="AB806" s="3">
        <f t="shared" si="537"/>
        <v>21166.89</v>
      </c>
      <c r="AC806" s="3" cm="1">
        <f t="array" ref="AC806">100000000/LvacE(AA806)</f>
        <v>21166.886907877641</v>
      </c>
      <c r="AD806" s="10">
        <f t="shared" si="538"/>
        <v>7.2408122088212321E-3</v>
      </c>
      <c r="AE806" s="10" t="b">
        <f t="shared" si="539"/>
        <v>1</v>
      </c>
      <c r="AP806"/>
      <c r="AQ806"/>
      <c r="AU806" s="3" cm="1">
        <f t="array" ref="AU806">$C806*EXP(poly_from_str(100000000/$E806,AU$4341))</f>
        <v>0.24380471888511185</v>
      </c>
    </row>
    <row r="807" spans="1:48" x14ac:dyDescent="0.25">
      <c r="A807">
        <v>4718.7089999999998</v>
      </c>
      <c r="B807" s="2" t="str">
        <f t="shared" si="535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536"/>
        <v>4718.7089999999998</v>
      </c>
      <c r="AB807" s="3">
        <f t="shared" si="537"/>
        <v>21186.31</v>
      </c>
      <c r="AC807" s="3" cm="1">
        <f t="array" ref="AC807">100000000/LvacE(AA807)</f>
        <v>21186.309858864919</v>
      </c>
      <c r="AD807" s="10">
        <f t="shared" si="538"/>
        <v>7.244926510499473E-3</v>
      </c>
      <c r="AE807" s="10" t="b">
        <f t="shared" si="539"/>
        <v>1</v>
      </c>
      <c r="AP807"/>
      <c r="AQ807"/>
      <c r="AU807" s="3" cm="1">
        <f t="array" ref="AU807">$C807*EXP(poly_from_str(100000000/$E807,AU$4341))</f>
        <v>0.18039518281683253</v>
      </c>
    </row>
    <row r="808" spans="1:48" x14ac:dyDescent="0.25">
      <c r="A808">
        <v>4716.3590000000004</v>
      </c>
      <c r="B808" s="2" t="str">
        <f t="shared" si="535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555">$G808&amp;""</f>
        <v>o</v>
      </c>
      <c r="N808" t="str">
        <f t="shared" ref="N808:N809" si="556">$H808&amp;""</f>
        <v>7/2</v>
      </c>
      <c r="O808">
        <v>36640.379999999997</v>
      </c>
      <c r="P808" t="str">
        <f t="shared" ref="P808:P809" si="557">$J808&amp;""</f>
        <v>e</v>
      </c>
      <c r="Q808" t="str">
        <f t="shared" ref="Q808:Q809" si="558">$K808&amp;""</f>
        <v>7/2</v>
      </c>
      <c r="R808">
        <v>9</v>
      </c>
      <c r="AA808" s="10">
        <f t="shared" si="536"/>
        <v>4716.3590000000004</v>
      </c>
      <c r="AB808" s="3">
        <f t="shared" si="537"/>
        <v>21196.87</v>
      </c>
      <c r="AC808" s="3" cm="1">
        <f t="array" ref="AC808">100000000/LvacE(AA808)</f>
        <v>21196.86611312133</v>
      </c>
      <c r="AD808" s="10">
        <f t="shared" si="538"/>
        <v>7.2471641909703363E-3</v>
      </c>
      <c r="AE808" s="10" t="b">
        <f t="shared" si="539"/>
        <v>1</v>
      </c>
      <c r="AJ808" t="s">
        <v>4982</v>
      </c>
      <c r="AK808" t="s">
        <v>4805</v>
      </c>
      <c r="AL808">
        <v>15443.48</v>
      </c>
      <c r="AM808">
        <v>36640.379999999997</v>
      </c>
      <c r="AN808" s="10" cm="1">
        <f t="array" ref="AN808">Lair(100000000/($AM808-$AL808))</f>
        <v>4716.3514605021219</v>
      </c>
      <c r="AO808" s="10">
        <f t="shared" ref="AO808:AO809" si="559">100000000/($AM808-$AL808)</f>
        <v>4717.6709801904999</v>
      </c>
      <c r="AP808" s="12">
        <v>718000</v>
      </c>
      <c r="AQ808" s="3">
        <v>4.1000000000000002E-2</v>
      </c>
      <c r="AR808" s="3"/>
      <c r="AS808" s="13">
        <f t="shared" ref="AS808:AS809" si="560">EXP(AR$4341*$AM808+AR$4342)*$AP808/(100000000/($AM808-$AL808))</f>
        <v>0.86038785253423899</v>
      </c>
      <c r="AT808" s="3"/>
      <c r="AU808" s="3" cm="1">
        <f t="array" ref="AU808">$C808*EXP(poly_from_str($AO808,AU$4341))</f>
        <v>0.53715919481997321</v>
      </c>
    </row>
    <row r="809" spans="1:48" x14ac:dyDescent="0.25">
      <c r="A809">
        <v>4713.7</v>
      </c>
      <c r="B809" s="2" t="str">
        <f t="shared" si="535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555"/>
        <v>o</v>
      </c>
      <c r="N809" t="str">
        <f t="shared" si="556"/>
        <v>7/2</v>
      </c>
      <c r="O809">
        <v>36652.29</v>
      </c>
      <c r="P809" t="str">
        <f t="shared" si="557"/>
        <v>e</v>
      </c>
      <c r="Q809" t="str">
        <f t="shared" si="558"/>
        <v>5/2</v>
      </c>
      <c r="R809">
        <v>9</v>
      </c>
      <c r="AA809" s="10">
        <f t="shared" si="536"/>
        <v>4713.7</v>
      </c>
      <c r="AB809" s="3">
        <f t="shared" si="537"/>
        <v>21208.82</v>
      </c>
      <c r="AC809" s="3" cm="1">
        <f t="array" ref="AC809">100000000/LvacE(AA809)</f>
        <v>21208.823094776271</v>
      </c>
      <c r="AD809" s="10">
        <f t="shared" si="538"/>
        <v>7.2497001394632955E-3</v>
      </c>
      <c r="AE809" s="10" t="b">
        <f t="shared" si="539"/>
        <v>1</v>
      </c>
      <c r="AJ809" t="s">
        <v>4982</v>
      </c>
      <c r="AK809" t="s">
        <v>4771</v>
      </c>
      <c r="AL809">
        <v>15443.48</v>
      </c>
      <c r="AM809">
        <v>36652.29</v>
      </c>
      <c r="AN809" s="10" cm="1">
        <f t="array" ref="AN809">Lair(100000000/($AM809-$AL809))</f>
        <v>4713.7029108888546</v>
      </c>
      <c r="AO809" s="10">
        <f t="shared" si="559"/>
        <v>4715.0217291776389</v>
      </c>
      <c r="AP809" s="12">
        <v>14200000</v>
      </c>
      <c r="AQ809" s="3">
        <v>0.497</v>
      </c>
      <c r="AR809" s="3">
        <f>LN(AU809*100000000/($AM809-$AL809)/AP809)</f>
        <v>-4.440471049622003</v>
      </c>
      <c r="AS809" s="13">
        <f t="shared" si="560"/>
        <v>17.010377251329281</v>
      </c>
      <c r="AT809" s="3">
        <f t="shared" ref="AT809" si="561">LN(AS809/$C809)</f>
        <v>-3.5631060708456501</v>
      </c>
      <c r="AU809" s="3" cm="1">
        <f t="array" ref="AU809">$C809*EXP(poly_from_str($AO809,AU$4341))</f>
        <v>35.50852005984364</v>
      </c>
      <c r="AV809" s="13">
        <f>LN(AS809/AU809)</f>
        <v>-0.73594908500081313</v>
      </c>
    </row>
    <row r="810" spans="1:48" x14ac:dyDescent="0.25">
      <c r="A810">
        <v>4713.1710000000003</v>
      </c>
      <c r="B810" s="2" t="str">
        <f t="shared" si="535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536"/>
        <v>4713.1710000000003</v>
      </c>
      <c r="AB810" s="3">
        <f t="shared" si="537"/>
        <v>21211.200000000001</v>
      </c>
      <c r="AC810" s="3" cm="1">
        <f t="array" ref="AC810">100000000/LvacE(AA810)</f>
        <v>21211.203509068648</v>
      </c>
      <c r="AD810" s="10">
        <f t="shared" si="538"/>
        <v>7.2502051706874893E-3</v>
      </c>
      <c r="AE810" s="10" t="b">
        <f t="shared" si="539"/>
        <v>1</v>
      </c>
      <c r="AP810"/>
      <c r="AQ810"/>
      <c r="AU810" s="3" cm="1">
        <f t="array" ref="AU810">$C810*EXP(poly_from_str(100000000/$E810,AU$4341))</f>
        <v>0.23631916831997019</v>
      </c>
    </row>
    <row r="811" spans="1:48" x14ac:dyDescent="0.25">
      <c r="A811">
        <v>4710.8249999999998</v>
      </c>
      <c r="B811" s="2" t="str">
        <f t="shared" si="535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562">$G811&amp;""</f>
        <v>o</v>
      </c>
      <c r="N811" t="str">
        <f t="shared" ref="N811:N812" si="563">$H811&amp;""</f>
        <v>9/2</v>
      </c>
      <c r="O811">
        <v>31254.71</v>
      </c>
      <c r="P811" t="str">
        <f t="shared" ref="P811:P812" si="564">$J811&amp;""</f>
        <v>e</v>
      </c>
      <c r="Q811" t="str">
        <f t="shared" ref="Q811:Q812" si="565">$K811&amp;""</f>
        <v>7/2</v>
      </c>
      <c r="R811">
        <v>9</v>
      </c>
      <c r="AA811" s="10">
        <f t="shared" si="536"/>
        <v>4710.8249999999998</v>
      </c>
      <c r="AB811" s="3">
        <f t="shared" si="537"/>
        <v>21221.77</v>
      </c>
      <c r="AC811" s="3" cm="1">
        <f t="array" ref="AC811">100000000/LvacE(AA811)</f>
        <v>21221.766571489097</v>
      </c>
      <c r="AD811" s="10">
        <f t="shared" si="538"/>
        <v>7.2524469250597398E-3</v>
      </c>
      <c r="AE811" s="10" t="b">
        <f t="shared" si="539"/>
        <v>1</v>
      </c>
      <c r="AJ811" t="s">
        <v>4812</v>
      </c>
      <c r="AK811" t="s">
        <v>4735</v>
      </c>
      <c r="AL811">
        <v>10032.92</v>
      </c>
      <c r="AM811">
        <v>31254.71</v>
      </c>
      <c r="AN811" s="10" cm="1">
        <f t="array" ref="AN811">Lair(100000000/($AM811-$AL811))</f>
        <v>4710.8197997340012</v>
      </c>
      <c r="AO811" s="10">
        <f t="shared" ref="AO811:AO812" si="566">100000000/($AM811-$AL811)</f>
        <v>4712.1378545353618</v>
      </c>
      <c r="AP811" s="12">
        <v>869000</v>
      </c>
      <c r="AQ811" s="3">
        <v>1.0999999999999999E-2</v>
      </c>
      <c r="AR811" s="3"/>
      <c r="AS811" s="13">
        <f t="shared" ref="AS811:AS812" si="567">EXP(AR$4341*$AM811+AR$4342)*$AP811/(100000000/($AM811-$AL811))</f>
        <v>1.5618205794001334</v>
      </c>
      <c r="AT811" s="3"/>
      <c r="AU811" s="3" cm="1">
        <f t="array" ref="AU811">$C811*EXP(poly_from_str($AO811,AU$4341))</f>
        <v>0.87947703244753661</v>
      </c>
    </row>
    <row r="812" spans="1:48" x14ac:dyDescent="0.25">
      <c r="A812">
        <v>4706.0829999999996</v>
      </c>
      <c r="B812" s="2" t="str">
        <f t="shared" si="535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562"/>
        <v>e</v>
      </c>
      <c r="N812" t="str">
        <f t="shared" si="563"/>
        <v>9/2</v>
      </c>
      <c r="O812">
        <v>67049.179999999993</v>
      </c>
      <c r="P812" t="str">
        <f t="shared" si="564"/>
        <v>o</v>
      </c>
      <c r="Q812" t="str">
        <f t="shared" si="565"/>
        <v>9/2</v>
      </c>
      <c r="R812">
        <v>9</v>
      </c>
      <c r="AA812" s="10">
        <f t="shared" si="536"/>
        <v>4706.0829999999996</v>
      </c>
      <c r="AB812" s="3">
        <f t="shared" si="537"/>
        <v>21243.15</v>
      </c>
      <c r="AC812" s="3" cm="1">
        <f t="array" ref="AC812">100000000/LvacE(AA812)</f>
        <v>21243.149982660085</v>
      </c>
      <c r="AD812" s="10">
        <f t="shared" si="538"/>
        <v>7.256988453312456E-3</v>
      </c>
      <c r="AE812" s="10" t="b">
        <f t="shared" si="539"/>
        <v>1</v>
      </c>
      <c r="AJ812" t="s">
        <v>4802</v>
      </c>
      <c r="AK812" t="s">
        <v>4862</v>
      </c>
      <c r="AL812">
        <v>45805.95</v>
      </c>
      <c r="AM812">
        <v>67049.179999999993</v>
      </c>
      <c r="AN812" s="10" cm="1">
        <f t="array" ref="AN812">Lair(100000000/($AM812-$AL812))</f>
        <v>4706.0652736821694</v>
      </c>
      <c r="AO812" s="10">
        <f t="shared" si="566"/>
        <v>4707.3820694875503</v>
      </c>
      <c r="AP812" s="12">
        <v>1430000</v>
      </c>
      <c r="AQ812" s="3">
        <v>0.13</v>
      </c>
      <c r="AR812" s="3">
        <f>LN(AU812*100000000/($AM812-$AL812)/AP812)</f>
        <v>-6.3711496881167013</v>
      </c>
      <c r="AS812" s="13">
        <f t="shared" si="567"/>
        <v>0.17529054124761606</v>
      </c>
      <c r="AT812" s="3">
        <f t="shared" ref="AT812" si="568">LN(AS812/$C812)</f>
        <v>-3.9385350233619518</v>
      </c>
      <c r="AU812" s="3" cm="1">
        <f t="array" ref="AU812">$C812*EXP(poly_from_str($AO812,AU$4341))</f>
        <v>0.51951900052338595</v>
      </c>
      <c r="AV812" s="13">
        <f>LN(AS812/AU812)</f>
        <v>-1.0864585515500109</v>
      </c>
    </row>
    <row r="813" spans="1:48" x14ac:dyDescent="0.25">
      <c r="A813">
        <v>4705.7560000000003</v>
      </c>
      <c r="B813" s="2" t="str">
        <f t="shared" si="535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536"/>
        <v>4705.7560000000003</v>
      </c>
      <c r="AB813" s="3">
        <f t="shared" si="537"/>
        <v>21244.63</v>
      </c>
      <c r="AC813" s="3" cm="1">
        <f t="array" ref="AC813">100000000/LvacE(AA813)</f>
        <v>21244.626133524784</v>
      </c>
      <c r="AD813" s="10">
        <f t="shared" si="538"/>
        <v>7.2573021352493397E-3</v>
      </c>
      <c r="AE813" s="10" t="b">
        <f t="shared" si="539"/>
        <v>1</v>
      </c>
      <c r="AP813"/>
      <c r="AQ813"/>
      <c r="AU813" s="3" cm="1">
        <f t="array" ref="AU813">$C813*EXP(poly_from_str(100000000/$E813,AU$4341))</f>
        <v>0.23066024718571834</v>
      </c>
    </row>
    <row r="814" spans="1:48" x14ac:dyDescent="0.25">
      <c r="A814">
        <v>4704.92</v>
      </c>
      <c r="B814" s="2" t="str">
        <f t="shared" si="535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536"/>
        <v>4704.92</v>
      </c>
      <c r="AB814" s="3">
        <f t="shared" si="537"/>
        <v>21248.400000000001</v>
      </c>
      <c r="AC814" s="3" cm="1">
        <f t="array" ref="AC814">100000000/LvacE(AA814)</f>
        <v>21248.400956647194</v>
      </c>
      <c r="AD814" s="10">
        <f t="shared" si="538"/>
        <v>7.2581043839902906E-3</v>
      </c>
      <c r="AE814" s="10" t="b">
        <f t="shared" si="539"/>
        <v>1</v>
      </c>
      <c r="AP814"/>
      <c r="AQ814"/>
      <c r="AU814" s="3" cm="1">
        <f t="array" ref="AU814">$C814*EXP(poly_from_str(100000000/$E814,AU$4341))</f>
        <v>0.34503267741384719</v>
      </c>
    </row>
    <row r="815" spans="1:48" x14ac:dyDescent="0.25">
      <c r="A815">
        <v>4700.3519999999999</v>
      </c>
      <c r="B815" s="2" t="str">
        <f t="shared" si="535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536"/>
        <v>4700.3519999999999</v>
      </c>
      <c r="AB815" s="3">
        <f t="shared" si="537"/>
        <v>21269.05</v>
      </c>
      <c r="AC815" s="3" cm="1">
        <f t="array" ref="AC815">100000000/LvacE(AA815)</f>
        <v>21269.050736907138</v>
      </c>
      <c r="AD815" s="10">
        <f t="shared" si="538"/>
        <v>7.2624955255379958E-3</v>
      </c>
      <c r="AE815" s="10" t="b">
        <f t="shared" si="539"/>
        <v>1</v>
      </c>
      <c r="AP815"/>
      <c r="AQ815"/>
      <c r="AU815" s="3" cm="1">
        <f t="array" ref="AU815">$C815*EXP(poly_from_str(100000000/$E815,AU$4341))</f>
        <v>0.1132622109830972</v>
      </c>
    </row>
    <row r="816" spans="1:48" x14ac:dyDescent="0.25">
      <c r="A816">
        <v>4699.4470000000001</v>
      </c>
      <c r="B816" s="2" t="str">
        <f t="shared" si="535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AA816" s="10">
        <f t="shared" si="536"/>
        <v>4699.4470000000001</v>
      </c>
      <c r="AB816" s="3">
        <f t="shared" si="537"/>
        <v>21273.15</v>
      </c>
      <c r="AC816" s="3" cm="1">
        <f t="array" ref="AC816">100000000/LvacE(AA816)</f>
        <v>21273.146580780889</v>
      </c>
      <c r="AD816" s="10">
        <f t="shared" si="538"/>
        <v>7.2633670068819687E-3</v>
      </c>
      <c r="AE816" s="10" t="b">
        <f t="shared" si="539"/>
        <v>1</v>
      </c>
      <c r="AJ816" t="s">
        <v>4939</v>
      </c>
      <c r="AK816" t="s">
        <v>4959</v>
      </c>
      <c r="AL816">
        <v>50227.79</v>
      </c>
      <c r="AM816">
        <v>71501</v>
      </c>
      <c r="AN816" s="10" cm="1">
        <f t="array" ref="AN816">Lair(100000000/($AM816-$AL816))</f>
        <v>4699.432990312248</v>
      </c>
      <c r="AO816" s="10">
        <f>100000000/($AM816-$AL816)</f>
        <v>4700.7480300340194</v>
      </c>
      <c r="AP816" s="12">
        <v>685000</v>
      </c>
      <c r="AQ816" s="3">
        <v>0.35</v>
      </c>
      <c r="AR816" s="3">
        <f>LN(AU816*100000000/($AM816-$AL816)/AP816)</f>
        <v>-7.1628618364802454</v>
      </c>
      <c r="AS816" s="13">
        <f>EXP(AR$4341*$AM816+AR$4342)*$AP816/(100000000/($AM816-$AL816))</f>
        <v>6.0204648058799222E-2</v>
      </c>
      <c r="AT816" s="3">
        <f>LN(AS816/$C816)</f>
        <v>-3.5031528999288102</v>
      </c>
      <c r="AU816" s="3" cm="1">
        <f t="array" ref="AU816">$C816*EXP(poly_from_str($AO816,AU$4341))</f>
        <v>0.11290995350289826</v>
      </c>
      <c r="AV816" s="13">
        <f>LN(AS816/AU816)</f>
        <v>-0.62884106977230991</v>
      </c>
    </row>
    <row r="817" spans="1:48" x14ac:dyDescent="0.25">
      <c r="A817">
        <v>4699.2730000000001</v>
      </c>
      <c r="B817" s="2" t="str">
        <f t="shared" si="535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536"/>
        <v>4699.2730000000001</v>
      </c>
      <c r="AB817" s="3">
        <f t="shared" si="537"/>
        <v>21273.93</v>
      </c>
      <c r="AC817" s="3" cm="1">
        <f t="array" ref="AC817">100000000/LvacE(AA817)</f>
        <v>21273.934249806123</v>
      </c>
      <c r="AD817" s="10">
        <f t="shared" si="538"/>
        <v>7.2635346201216791E-3</v>
      </c>
      <c r="AE817" s="10" t="b">
        <f t="shared" si="539"/>
        <v>1</v>
      </c>
      <c r="AP817"/>
      <c r="AQ817"/>
      <c r="AU817" s="3" cm="1">
        <f t="array" ref="AU817">$C817*EXP(poly_from_str(100000000/$E817,AU$4341))</f>
        <v>5.6424493885521156E-2</v>
      </c>
    </row>
    <row r="818" spans="1:48" x14ac:dyDescent="0.25">
      <c r="A818">
        <v>4692.0240000000003</v>
      </c>
      <c r="B818" s="2" t="str">
        <f t="shared" si="535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536"/>
        <v>4692.0240000000003</v>
      </c>
      <c r="AB818" s="3">
        <f t="shared" si="537"/>
        <v>21306.799999999999</v>
      </c>
      <c r="AC818" s="3" cm="1">
        <f t="array" ref="AC818">100000000/LvacE(AA818)</f>
        <v>21306.801179327278</v>
      </c>
      <c r="AD818" s="10">
        <f t="shared" si="538"/>
        <v>7.2705341212371544E-3</v>
      </c>
      <c r="AE818" s="10" t="b">
        <f t="shared" si="539"/>
        <v>1</v>
      </c>
      <c r="AP818"/>
      <c r="AQ818"/>
      <c r="AU818" s="3" cm="1">
        <f t="array" ref="AU818">$C818*EXP(poly_from_str(100000000/$E818,AU$4341))</f>
        <v>0.16510036622617372</v>
      </c>
    </row>
    <row r="819" spans="1:48" x14ac:dyDescent="0.25">
      <c r="A819">
        <v>4689.6459999999997</v>
      </c>
      <c r="B819" s="2" t="str">
        <f t="shared" si="535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536"/>
        <v>4689.6459999999997</v>
      </c>
      <c r="AB819" s="3">
        <f t="shared" si="537"/>
        <v>21317.599999999999</v>
      </c>
      <c r="AC819" s="3" cm="1">
        <f t="array" ref="AC819">100000000/LvacE(AA819)</f>
        <v>21317.605152008578</v>
      </c>
      <c r="AD819" s="10">
        <f t="shared" si="538"/>
        <v>7.2728373476386686E-3</v>
      </c>
      <c r="AE819" s="10" t="b">
        <f t="shared" si="539"/>
        <v>1</v>
      </c>
      <c r="AP819"/>
      <c r="AQ819"/>
      <c r="AU819" s="3" cm="1">
        <f t="array" ref="AU819">$C819*EXP(poly_from_str(100000000/$E819,AU$4341))</f>
        <v>5.4576801835092878E-2</v>
      </c>
    </row>
    <row r="820" spans="1:48" x14ac:dyDescent="0.25">
      <c r="A820">
        <v>4685.59</v>
      </c>
      <c r="B820" s="2" t="str">
        <f t="shared" si="535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536"/>
        <v>4685.59</v>
      </c>
      <c r="AB820" s="3">
        <f t="shared" si="537"/>
        <v>21336.06</v>
      </c>
      <c r="AC820" s="3" cm="1">
        <f t="array" ref="AC820">100000000/LvacE(AA820)</f>
        <v>21336.05808904321</v>
      </c>
      <c r="AD820" s="10">
        <f t="shared" si="538"/>
        <v>7.2767739056386928E-3</v>
      </c>
      <c r="AE820" s="10" t="b">
        <f t="shared" si="539"/>
        <v>1</v>
      </c>
      <c r="AP820"/>
      <c r="AQ820"/>
      <c r="AU820" s="3" cm="1">
        <f t="array" ref="AU820">$C820*EXP(poly_from_str(100000000/$E820,AU$4341))</f>
        <v>0.10759389025515306</v>
      </c>
    </row>
    <row r="821" spans="1:48" x14ac:dyDescent="0.25">
      <c r="A821">
        <v>4685.0219999999999</v>
      </c>
      <c r="B821" s="2" t="str">
        <f t="shared" si="535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536"/>
        <v>4685.0219999999999</v>
      </c>
      <c r="AB821" s="3">
        <f t="shared" si="537"/>
        <v>21338.639999999999</v>
      </c>
      <c r="AC821" s="3" cm="1">
        <f t="array" ref="AC821">100000000/LvacE(AA821)</f>
        <v>21338.64477857414</v>
      </c>
      <c r="AD821" s="10">
        <f t="shared" si="538"/>
        <v>7.2773259953287459E-3</v>
      </c>
      <c r="AE821" s="10" t="b">
        <f t="shared" si="539"/>
        <v>1</v>
      </c>
      <c r="AJ821" t="s">
        <v>4815</v>
      </c>
      <c r="AK821" t="s">
        <v>4719</v>
      </c>
      <c r="AL821">
        <v>10950.24</v>
      </c>
      <c r="AM821">
        <v>32288.92</v>
      </c>
      <c r="AN821" s="10" cm="1">
        <f t="array" ref="AN821">Lair(100000000/($AM821-$AL821))</f>
        <v>4685.0142671425601</v>
      </c>
      <c r="AO821" s="10">
        <f>100000000/($AM821-$AL821)</f>
        <v>4686.32548967415</v>
      </c>
      <c r="AU821" s="3" cm="1">
        <f t="array" ref="AU821">$C821*EXP(poly_from_str($AO821,AU$4341))</f>
        <v>0.4831770866015323</v>
      </c>
    </row>
    <row r="822" spans="1:48" x14ac:dyDescent="0.25">
      <c r="A822">
        <v>4684.0569999999998</v>
      </c>
      <c r="B822" s="2" t="str">
        <f t="shared" si="535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536"/>
        <v>4684.0569999999998</v>
      </c>
      <c r="AB822" s="3">
        <f t="shared" si="537"/>
        <v>21343.040000000001</v>
      </c>
      <c r="AC822" s="3" cm="1">
        <f t="array" ref="AC822">100000000/LvacE(AA822)</f>
        <v>21343.040856602998</v>
      </c>
      <c r="AD822" s="10">
        <f t="shared" si="538"/>
        <v>7.2782644251129947E-3</v>
      </c>
      <c r="AE822" s="10" t="b">
        <f t="shared" si="539"/>
        <v>1</v>
      </c>
      <c r="AP822"/>
      <c r="AQ822"/>
      <c r="AU822" s="3" cm="1">
        <f t="array" ref="AU822">$C822*EXP(poly_from_str(100000000/$E822,AU$4341))</f>
        <v>0.42801870136987691</v>
      </c>
    </row>
    <row r="823" spans="1:48" x14ac:dyDescent="0.25">
      <c r="A823">
        <v>4668.8059999999996</v>
      </c>
      <c r="B823" s="2" t="str">
        <f t="shared" si="535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536"/>
        <v>4668.8059999999996</v>
      </c>
      <c r="AB823" s="3">
        <f t="shared" si="537"/>
        <v>21412.76</v>
      </c>
      <c r="AC823" s="3" cm="1">
        <f t="array" ref="AC823">100000000/LvacE(AA823)</f>
        <v>21412.758415144279</v>
      </c>
      <c r="AD823" s="10">
        <f t="shared" si="538"/>
        <v>7.29317285995009E-3</v>
      </c>
      <c r="AE823" s="10" t="b">
        <f t="shared" si="539"/>
        <v>1</v>
      </c>
      <c r="AP823"/>
      <c r="AQ823"/>
      <c r="AU823" s="3" cm="1">
        <f t="array" ref="AU823">$C823*EXP(poly_from_str(100000000/$E823,AU$4341))</f>
        <v>0.10114218375705233</v>
      </c>
    </row>
    <row r="824" spans="1:48" x14ac:dyDescent="0.25">
      <c r="A824">
        <v>4664.1970000000001</v>
      </c>
      <c r="B824" s="2" t="str">
        <f t="shared" si="535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536"/>
        <v>4664.1970000000001</v>
      </c>
      <c r="AB824" s="3">
        <f t="shared" si="537"/>
        <v>21433.919999999998</v>
      </c>
      <c r="AC824" s="3" cm="1">
        <f t="array" ref="AC824">100000000/LvacE(AA824)</f>
        <v>21433.917447294556</v>
      </c>
      <c r="AD824" s="10">
        <f t="shared" si="538"/>
        <v>7.2977071345072426E-3</v>
      </c>
      <c r="AE824" s="10" t="b">
        <f t="shared" si="539"/>
        <v>1</v>
      </c>
      <c r="AP824"/>
      <c r="AQ824"/>
      <c r="AU824" s="3" cm="1">
        <f t="array" ref="AU824">$C824*EXP(poly_from_str(100000000/$E824,AU$4341))</f>
        <v>0.44718123332780246</v>
      </c>
    </row>
    <row r="825" spans="1:48" x14ac:dyDescent="0.25">
      <c r="A825">
        <v>4661.1369999999997</v>
      </c>
      <c r="B825" s="2" t="str">
        <f t="shared" si="535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569">$G825&amp;""</f>
        <v>o</v>
      </c>
      <c r="N825" t="str">
        <f t="shared" ref="N825:N828" si="570">$H825&amp;""</f>
        <v>11/2</v>
      </c>
      <c r="O825">
        <v>45805.95</v>
      </c>
      <c r="P825" t="str">
        <f t="shared" ref="P825:P828" si="571">$J825&amp;""</f>
        <v>e</v>
      </c>
      <c r="Q825" t="str">
        <f t="shared" ref="Q825:Q828" si="572">$K825&amp;""</f>
        <v>9/2</v>
      </c>
      <c r="R825">
        <v>9</v>
      </c>
      <c r="AA825" s="10">
        <f t="shared" si="536"/>
        <v>4661.1369999999997</v>
      </c>
      <c r="AB825" s="3">
        <f t="shared" si="537"/>
        <v>21447.99</v>
      </c>
      <c r="AC825" s="3" cm="1">
        <f t="array" ref="AC825">100000000/LvacE(AA825)</f>
        <v>21447.988430993191</v>
      </c>
      <c r="AD825" s="10">
        <f t="shared" si="538"/>
        <v>7.3007249551979691E-3</v>
      </c>
      <c r="AE825" s="10" t="b">
        <f t="shared" si="539"/>
        <v>1</v>
      </c>
      <c r="AJ825" t="s">
        <v>4987</v>
      </c>
      <c r="AK825" t="s">
        <v>4802</v>
      </c>
      <c r="AL825">
        <v>24357.98</v>
      </c>
      <c r="AM825">
        <v>45805.95</v>
      </c>
      <c r="AN825" s="10" cm="1">
        <f t="array" ref="AN825">Lair(100000000/($AM825-$AL825))</f>
        <v>4661.141005694225</v>
      </c>
      <c r="AO825" s="10">
        <f t="shared" ref="AO825:AO828" si="573">100000000/($AM825-$AL825)</f>
        <v>4662.4459097993895</v>
      </c>
      <c r="AP825" s="12">
        <v>345000</v>
      </c>
      <c r="AQ825" s="3">
        <v>2.9000000000000001E-2</v>
      </c>
      <c r="AR825" s="3"/>
      <c r="AS825" s="13">
        <f>EXP(AR$4341*$AM825+AR$4342)*$AP825/(100000000/($AM825-$AL825))</f>
        <v>0.21026882971303887</v>
      </c>
      <c r="AT825" s="3"/>
      <c r="AU825" s="3" cm="1">
        <f t="array" ref="AU825">$C825*EXP(poly_from_str($AO825,AU$4341))</f>
        <v>0.44191216872890493</v>
      </c>
    </row>
    <row r="826" spans="1:48" x14ac:dyDescent="0.25">
      <c r="A826">
        <v>4654.1589999999997</v>
      </c>
      <c r="B826" s="2" t="str">
        <f t="shared" si="535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569"/>
        <v>o</v>
      </c>
      <c r="N826" t="str">
        <f t="shared" si="570"/>
        <v>3/2</v>
      </c>
      <c r="O826">
        <v>48401.64</v>
      </c>
      <c r="P826" t="str">
        <f t="shared" si="571"/>
        <v>e</v>
      </c>
      <c r="Q826" t="str">
        <f t="shared" si="572"/>
        <v>3/2</v>
      </c>
      <c r="R826">
        <v>9</v>
      </c>
      <c r="AA826" s="10">
        <f t="shared" si="536"/>
        <v>4654.1589999999997</v>
      </c>
      <c r="AB826" s="3">
        <f t="shared" si="537"/>
        <v>21480.14</v>
      </c>
      <c r="AC826" s="3" cm="1">
        <f t="array" ref="AC826">100000000/LvacE(AA826)</f>
        <v>21480.144995568924</v>
      </c>
      <c r="AD826" s="10">
        <f t="shared" si="538"/>
        <v>7.307629047006014E-3</v>
      </c>
      <c r="AE826" s="10" t="b">
        <f t="shared" si="539"/>
        <v>1</v>
      </c>
      <c r="AJ826" t="s">
        <v>4981</v>
      </c>
      <c r="AK826" t="s">
        <v>4945</v>
      </c>
      <c r="AL826">
        <v>26921.49</v>
      </c>
      <c r="AM826">
        <v>48401.64</v>
      </c>
      <c r="AN826" s="10" cm="1">
        <f t="array" ref="AN826">Lair(100000000/($AM826-$AL826))</f>
        <v>4654.1579157683627</v>
      </c>
      <c r="AO826" s="10">
        <f t="shared" si="573"/>
        <v>4655.4609721068064</v>
      </c>
      <c r="AU826" s="3" cm="1">
        <f t="array" ref="AU826">$C826*EXP(poly_from_str($AO826,AU$4341))</f>
        <v>5.7319426922259744</v>
      </c>
    </row>
    <row r="827" spans="1:48" x14ac:dyDescent="0.25">
      <c r="A827">
        <v>4652.7169999999996</v>
      </c>
      <c r="B827" s="2" t="str">
        <f t="shared" si="535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569"/>
        <v>e</v>
      </c>
      <c r="N827" t="str">
        <f t="shared" si="570"/>
        <v>9/2</v>
      </c>
      <c r="O827">
        <v>61357.04</v>
      </c>
      <c r="P827" t="str">
        <f t="shared" si="571"/>
        <v>o</v>
      </c>
      <c r="Q827" t="str">
        <f t="shared" si="572"/>
        <v>9/2</v>
      </c>
      <c r="R827">
        <v>9</v>
      </c>
      <c r="AA827" s="10">
        <f t="shared" si="536"/>
        <v>4652.7169999999996</v>
      </c>
      <c r="AB827" s="3">
        <f t="shared" si="537"/>
        <v>21486.799999999999</v>
      </c>
      <c r="AC827" s="3" cm="1">
        <f t="array" ref="AC827">100000000/LvacE(AA827)</f>
        <v>21486.802157967173</v>
      </c>
      <c r="AD827" s="10">
        <f t="shared" si="538"/>
        <v>7.3090596481547422E-3</v>
      </c>
      <c r="AE827" s="10" t="b">
        <f t="shared" si="539"/>
        <v>1</v>
      </c>
      <c r="AJ827" t="s">
        <v>4731</v>
      </c>
      <c r="AK827" t="s">
        <v>4903</v>
      </c>
      <c r="AL827">
        <v>39870.17</v>
      </c>
      <c r="AM827">
        <v>61357.04</v>
      </c>
      <c r="AN827" s="10" cm="1">
        <f t="array" ref="AN827">Lair(100000000/($AM827-$AL827))</f>
        <v>4652.7023095157883</v>
      </c>
      <c r="AO827" s="10">
        <f t="shared" si="573"/>
        <v>4654.0049807161295</v>
      </c>
      <c r="AP827" s="12">
        <v>1510000</v>
      </c>
      <c r="AQ827" s="3">
        <v>8.3000000000000004E-2</v>
      </c>
      <c r="AR827" s="3">
        <f t="shared" ref="AR827:AR828" si="574">LN(AU827*100000000/($AM827-$AL827)/AP827)</f>
        <v>-6.1213549710346866</v>
      </c>
      <c r="AS827" s="13">
        <f t="shared" ref="AS827:AS828" si="575">EXP(AR$4341*$AM827+AR$4342)*$AP827/(100000000/($AM827-$AL827))</f>
        <v>0.28699376702722734</v>
      </c>
      <c r="AT827" s="3">
        <f t="shared" ref="AT827:AT828" si="576">LN(AS827/$C827)</f>
        <v>-3.9563449822357244</v>
      </c>
      <c r="AU827" s="3" cm="1">
        <f t="array" ref="AU827">$C827*EXP(poly_from_str($AO827,AU$4341))</f>
        <v>0.71232701925625219</v>
      </c>
      <c r="AV827" s="13">
        <f t="shared" ref="AV827:AV828" si="577">LN(AS827/AU827)</f>
        <v>-0.90907660482712471</v>
      </c>
    </row>
    <row r="828" spans="1:48" x14ac:dyDescent="0.25">
      <c r="A828">
        <v>4650.6090000000004</v>
      </c>
      <c r="B828" s="2" t="str">
        <f t="shared" si="535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569"/>
        <v>o</v>
      </c>
      <c r="N828" t="str">
        <f t="shared" si="570"/>
        <v>7/2</v>
      </c>
      <c r="O828">
        <v>35384.17</v>
      </c>
      <c r="P828" t="str">
        <f t="shared" si="571"/>
        <v>e</v>
      </c>
      <c r="Q828" t="str">
        <f t="shared" si="572"/>
        <v>5/2</v>
      </c>
      <c r="R828">
        <v>9</v>
      </c>
      <c r="AA828" s="10">
        <f t="shared" si="536"/>
        <v>4650.6090000000004</v>
      </c>
      <c r="AB828" s="3">
        <f t="shared" si="537"/>
        <v>21496.54</v>
      </c>
      <c r="AC828" s="3" cm="1">
        <f t="array" ref="AC828">100000000/LvacE(AA828)</f>
        <v>21496.541416125143</v>
      </c>
      <c r="AD828" s="10">
        <f t="shared" si="538"/>
        <v>7.3111533797106075E-3</v>
      </c>
      <c r="AE828" s="10" t="b">
        <f t="shared" si="539"/>
        <v>1</v>
      </c>
      <c r="AJ828" t="s">
        <v>4818</v>
      </c>
      <c r="AK828" t="s">
        <v>4728</v>
      </c>
      <c r="AL828">
        <v>13887.6</v>
      </c>
      <c r="AM828">
        <v>35384.17</v>
      </c>
      <c r="AN828" s="10" cm="1">
        <f t="array" ref="AN828">Lair(100000000/($AM828-$AL828))</f>
        <v>4650.6028160990309</v>
      </c>
      <c r="AO828" s="10">
        <f t="shared" si="573"/>
        <v>4651.9049318100515</v>
      </c>
      <c r="AP828" s="12">
        <v>448000</v>
      </c>
      <c r="AQ828" s="3">
        <v>8.3000000000000004E-2</v>
      </c>
      <c r="AR828" s="3">
        <f t="shared" si="574"/>
        <v>-5.4260224849109813</v>
      </c>
      <c r="AS828" s="13">
        <f t="shared" si="575"/>
        <v>0.59825666972566416</v>
      </c>
      <c r="AT828" s="3">
        <f t="shared" si="576"/>
        <v>-2.7109599808654608</v>
      </c>
      <c r="AU828" s="3" cm="1">
        <f t="array" ref="AU828">$C828*EXP(poly_from_str($AO828,AU$4341))</f>
        <v>0.42379473736340051</v>
      </c>
      <c r="AV828" s="13">
        <f t="shared" si="577"/>
        <v>0.34477064743199271</v>
      </c>
    </row>
    <row r="829" spans="1:48" x14ac:dyDescent="0.25">
      <c r="A829">
        <v>4650.5420000000004</v>
      </c>
      <c r="B829" s="2" t="str">
        <f t="shared" si="535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536"/>
        <v>4650.5420000000004</v>
      </c>
      <c r="AB829" s="3">
        <f t="shared" si="537"/>
        <v>21496.85</v>
      </c>
      <c r="AC829" s="3" cm="1">
        <f t="array" ref="AC829">100000000/LvacE(AA829)</f>
        <v>21496.851110370557</v>
      </c>
      <c r="AD829" s="10">
        <f t="shared" si="538"/>
        <v>7.3112199728946172E-3</v>
      </c>
      <c r="AE829" s="10" t="b">
        <f t="shared" si="539"/>
        <v>1</v>
      </c>
      <c r="AP829"/>
      <c r="AQ829"/>
      <c r="AU829" s="3" cm="1">
        <f t="array" ref="AU829">$C829*EXP(poly_from_str(100000000/$E829,AU$4341))</f>
        <v>0</v>
      </c>
    </row>
    <row r="830" spans="1:48" x14ac:dyDescent="0.25">
      <c r="A830">
        <v>4648.6189999999997</v>
      </c>
      <c r="B830" s="2" t="str">
        <f t="shared" si="535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578">$G830&amp;""</f>
        <v>e</v>
      </c>
      <c r="N830" t="str">
        <f t="shared" ref="N830:N833" si="579">$H830&amp;""</f>
        <v>5/2</v>
      </c>
      <c r="O830">
        <v>58158.080000000002</v>
      </c>
      <c r="P830" t="str">
        <f t="shared" ref="P830:P833" si="580">$J830&amp;""</f>
        <v>o</v>
      </c>
      <c r="Q830" t="str">
        <f t="shared" ref="Q830:Q833" si="581">$K830&amp;""</f>
        <v>7/2</v>
      </c>
      <c r="R830">
        <v>9</v>
      </c>
      <c r="AA830" s="10">
        <f t="shared" si="536"/>
        <v>4648.6189999999997</v>
      </c>
      <c r="AB830" s="3">
        <f t="shared" si="537"/>
        <v>21505.74</v>
      </c>
      <c r="AC830" s="3" cm="1">
        <f t="array" ref="AC830">100000000/LvacE(AA830)</f>
        <v>21505.743602456714</v>
      </c>
      <c r="AD830" s="10">
        <f t="shared" si="538"/>
        <v>7.3131325241385364E-3</v>
      </c>
      <c r="AE830" s="10" t="b">
        <f t="shared" si="539"/>
        <v>1</v>
      </c>
      <c r="AJ830" t="s">
        <v>4771</v>
      </c>
      <c r="AK830" t="s">
        <v>4902</v>
      </c>
      <c r="AL830">
        <v>36652.29</v>
      </c>
      <c r="AM830">
        <v>58158.080000000002</v>
      </c>
      <c r="AN830" s="10" cm="1">
        <f t="array" ref="AN830">Lair(100000000/($AM830-$AL830))</f>
        <v>4648.6089707801211</v>
      </c>
      <c r="AO830" s="10">
        <f t="shared" ref="AO830:AO833" si="582">100000000/($AM830-$AL830)</f>
        <v>4649.9105589703977</v>
      </c>
      <c r="AU830" s="3" cm="1">
        <f t="array" ref="AU830">$C830*EXP(poly_from_str($AO830,AU$4341))</f>
        <v>0.32696125091238953</v>
      </c>
    </row>
    <row r="831" spans="1:48" x14ac:dyDescent="0.25">
      <c r="A831">
        <v>4647.2470000000003</v>
      </c>
      <c r="B831" s="2" t="str">
        <f t="shared" si="535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578"/>
        <v>o</v>
      </c>
      <c r="N831" t="str">
        <f t="shared" si="579"/>
        <v>1/2</v>
      </c>
      <c r="O831">
        <v>40205.74</v>
      </c>
      <c r="P831" t="str">
        <f t="shared" si="580"/>
        <v>e</v>
      </c>
      <c r="Q831" t="str">
        <f t="shared" si="581"/>
        <v>3/2</v>
      </c>
      <c r="R831">
        <v>9</v>
      </c>
      <c r="S831" t="s">
        <v>1319</v>
      </c>
      <c r="AA831" s="10">
        <f t="shared" si="536"/>
        <v>4647.2470000000003</v>
      </c>
      <c r="AB831" s="3">
        <f t="shared" si="537"/>
        <v>21512.09</v>
      </c>
      <c r="AC831" s="3" cm="1">
        <f t="array" ref="AC831">100000000/LvacE(AA831)</f>
        <v>21512.092614079971</v>
      </c>
      <c r="AD831" s="10">
        <f t="shared" si="538"/>
        <v>7.31449852074572E-3</v>
      </c>
      <c r="AE831" s="10" t="b">
        <f t="shared" si="539"/>
        <v>1</v>
      </c>
      <c r="AJ831" t="s">
        <v>4795</v>
      </c>
      <c r="AK831" t="s">
        <v>4779</v>
      </c>
      <c r="AL831">
        <v>18693.650000000001</v>
      </c>
      <c r="AM831">
        <v>40205.74</v>
      </c>
      <c r="AN831" s="10" cm="1">
        <f t="array" ref="AN831">Lair(100000000/($AM831-$AL831))</f>
        <v>4647.2475647893025</v>
      </c>
      <c r="AO831" s="10">
        <f t="shared" si="582"/>
        <v>4648.5487927951217</v>
      </c>
      <c r="AU831" s="3" cm="1">
        <f t="array" ref="AU831">$C831*EXP(poly_from_str($AO831,AU$4341))</f>
        <v>1.3934960763840627</v>
      </c>
    </row>
    <row r="832" spans="1:48" x14ac:dyDescent="0.25">
      <c r="A832">
        <v>4644.335</v>
      </c>
      <c r="B832" s="2" t="str">
        <f t="shared" si="535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578"/>
        <v>o</v>
      </c>
      <c r="N832" t="str">
        <f t="shared" si="579"/>
        <v>15/2</v>
      </c>
      <c r="O832">
        <v>25979.34</v>
      </c>
      <c r="P832" t="str">
        <f t="shared" si="580"/>
        <v>e</v>
      </c>
      <c r="Q832" t="str">
        <f t="shared" si="581"/>
        <v>15/2</v>
      </c>
      <c r="R832">
        <v>9</v>
      </c>
      <c r="AA832" s="10">
        <f t="shared" si="536"/>
        <v>4644.335</v>
      </c>
      <c r="AB832" s="3">
        <f t="shared" si="537"/>
        <v>21525.58</v>
      </c>
      <c r="AC832" s="3" cm="1">
        <f t="array" ref="AC832">100000000/LvacE(AA832)</f>
        <v>21525.580496963972</v>
      </c>
      <c r="AD832" s="10">
        <f t="shared" si="538"/>
        <v>7.3174017913182378E-3</v>
      </c>
      <c r="AE832" s="10" t="b">
        <f t="shared" si="539"/>
        <v>1</v>
      </c>
      <c r="AJ832" t="s">
        <v>4994</v>
      </c>
      <c r="AK832" t="s">
        <v>4963</v>
      </c>
      <c r="AL832">
        <v>4453.76</v>
      </c>
      <c r="AM832">
        <v>25979.34</v>
      </c>
      <c r="AN832" s="10" cm="1">
        <f t="array" ref="AN832">Lair(100000000/($AM832-$AL832))</f>
        <v>4644.335107268842</v>
      </c>
      <c r="AO832" s="10">
        <f t="shared" si="582"/>
        <v>4645.6355647559785</v>
      </c>
      <c r="AP832" s="12">
        <v>479000</v>
      </c>
      <c r="AQ832" s="3">
        <v>7.9000000000000001E-2</v>
      </c>
      <c r="AR832" s="3">
        <f t="shared" ref="AR832:AR833" si="583">LN(AU832*100000000/($AM832-$AL832)/AP832)</f>
        <v>-4.3159336832963717</v>
      </c>
      <c r="AS832" s="13">
        <f t="shared" ref="AS832:AS833" si="584">EXP(AR$4341*$AM832+AR$4342)*$AP832/(100000000/($AM832-$AL832))</f>
        <v>1.2973485283210708</v>
      </c>
      <c r="AT832" s="3">
        <f t="shared" ref="AT832:AT833" si="585">LN(AS832/$C832)</f>
        <v>-3.140874793597396</v>
      </c>
      <c r="AU832" s="3" cm="1">
        <f t="array" ref="AU832">$C832*EXP(poly_from_str($AO832,AU$4341))</f>
        <v>1.3769056838843248</v>
      </c>
      <c r="AV832" s="13">
        <f t="shared" ref="AV832:AV833" si="586">LN(AS832/AU832)</f>
        <v>-5.9516135424777517E-2</v>
      </c>
    </row>
    <row r="833" spans="1:48" x14ac:dyDescent="0.25">
      <c r="A833">
        <v>4642.2719999999999</v>
      </c>
      <c r="B833" s="2" t="str">
        <f t="shared" si="535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578"/>
        <v>o</v>
      </c>
      <c r="N833" t="str">
        <f t="shared" si="579"/>
        <v>9/2</v>
      </c>
      <c r="O833">
        <v>21535.17</v>
      </c>
      <c r="P833" t="str">
        <f t="shared" si="580"/>
        <v>e</v>
      </c>
      <c r="Q833" t="str">
        <f t="shared" si="581"/>
        <v>9/2</v>
      </c>
      <c r="R833">
        <v>9</v>
      </c>
      <c r="S833" t="s">
        <v>6</v>
      </c>
      <c r="AA833" s="10">
        <f t="shared" si="536"/>
        <v>4642.2719999999999</v>
      </c>
      <c r="AB833" s="3">
        <f t="shared" si="537"/>
        <v>21535.15</v>
      </c>
      <c r="AC833" s="3" cm="1">
        <f t="array" ref="AC833">100000000/LvacE(AA833)</f>
        <v>21535.146198032446</v>
      </c>
      <c r="AD833" s="10">
        <f t="shared" si="538"/>
        <v>7.3194619141265793E-3</v>
      </c>
      <c r="AE833" s="10" t="b">
        <f t="shared" si="539"/>
        <v>1</v>
      </c>
      <c r="AJ833" t="s">
        <v>4757</v>
      </c>
      <c r="AK833" t="s">
        <v>4798</v>
      </c>
      <c r="AL833">
        <v>0</v>
      </c>
      <c r="AM833">
        <v>21535.17</v>
      </c>
      <c r="AN833" s="10" cm="1">
        <f t="array" ref="AN833">Lair(100000000/($AM833-$AL833))</f>
        <v>4642.2668690310356</v>
      </c>
      <c r="AO833" s="10">
        <f t="shared" si="582"/>
        <v>4643.5667793660332</v>
      </c>
      <c r="AP833" s="12">
        <v>347000</v>
      </c>
      <c r="AQ833" s="3">
        <v>5.8000000000000003E-2</v>
      </c>
      <c r="AR833" s="3">
        <f t="shared" si="583"/>
        <v>-4.0025809188795893</v>
      </c>
      <c r="AS833" s="13">
        <f t="shared" si="584"/>
        <v>1.3124724787745932</v>
      </c>
      <c r="AT833" s="3">
        <f t="shared" si="585"/>
        <v>-3.1292846349510479</v>
      </c>
      <c r="AU833" s="3" cm="1">
        <f t="array" ref="AU833">$C833*EXP(poly_from_str($AO833,AU$4341))</f>
        <v>1.3651455973582116</v>
      </c>
      <c r="AV833" s="13">
        <f t="shared" si="586"/>
        <v>-3.9348340968828027E-2</v>
      </c>
    </row>
    <row r="834" spans="1:48" x14ac:dyDescent="0.25">
      <c r="A834">
        <v>4639.8090000000002</v>
      </c>
      <c r="B834" s="2" t="str">
        <f t="shared" si="535"/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536"/>
        <v>4639.8090000000002</v>
      </c>
      <c r="AB834" s="3">
        <f t="shared" si="537"/>
        <v>21546.58</v>
      </c>
      <c r="AC834" s="3" cm="1">
        <f t="array" ref="AC834">100000000/LvacE(AA834)</f>
        <v>21546.577755754908</v>
      </c>
      <c r="AD834" s="10">
        <f t="shared" si="538"/>
        <v>7.3219250787860991E-3</v>
      </c>
      <c r="AE834" s="10" t="b">
        <f t="shared" si="539"/>
        <v>1</v>
      </c>
      <c r="AP834"/>
      <c r="AQ834"/>
      <c r="AU834" s="3" cm="1">
        <f t="array" ref="AU834">$C834*EXP(poly_from_str(100000000/$E834,AU$4341))</f>
        <v>4.5039728540726853E-2</v>
      </c>
    </row>
    <row r="835" spans="1:48" x14ac:dyDescent="0.25">
      <c r="A835">
        <v>4639.4610000000002</v>
      </c>
      <c r="B835" s="2" t="str">
        <f t="shared" ref="B835:B898" si="587">IF(OR(A835=A834,A835=A836),IF(B834="",1,B834+1),"")</f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588">ROUND($A835,3)+0</f>
        <v>4639.4610000000002</v>
      </c>
      <c r="AB835" s="3">
        <f t="shared" ref="AB835:AB898" si="589">ROUND($E835,2)+0</f>
        <v>21548.19</v>
      </c>
      <c r="AC835" s="3" cm="1">
        <f t="array" ref="AC835">100000000/LvacE(AA835)</f>
        <v>21548.193911811039</v>
      </c>
      <c r="AD835" s="10">
        <f t="shared" ref="AD835:AD898" si="590">0.0005/$AA835*AC835+0.005</f>
        <v>7.3222734183788843E-3</v>
      </c>
      <c r="AE835" s="10" t="b">
        <f t="shared" ref="AE835:AE898" si="591">ABS(AB835-AC835)&lt;AD835</f>
        <v>1</v>
      </c>
      <c r="AP835"/>
      <c r="AQ835"/>
      <c r="AU835" s="3" cm="1">
        <f t="array" ref="AU835">$C835*EXP(poly_from_str(100000000/$E835,AU$4341))</f>
        <v>4.4974211471546177E-2</v>
      </c>
    </row>
    <row r="836" spans="1:48" x14ac:dyDescent="0.25">
      <c r="A836">
        <v>4634.0219999999999</v>
      </c>
      <c r="B836" s="2" t="str">
        <f t="shared" si="587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588"/>
        <v>4634.0219999999999</v>
      </c>
      <c r="AB836" s="3">
        <f t="shared" si="589"/>
        <v>21573.48</v>
      </c>
      <c r="AC836" s="3" cm="1">
        <f t="array" ref="AC836">100000000/LvacE(AA836)</f>
        <v>21573.484859726326</v>
      </c>
      <c r="AD836" s="10">
        <f t="shared" si="590"/>
        <v>7.3277279283229906E-3</v>
      </c>
      <c r="AE836" s="10" t="b">
        <f t="shared" si="591"/>
        <v>1</v>
      </c>
      <c r="AP836"/>
      <c r="AQ836"/>
      <c r="AU836" s="3" cm="1">
        <f t="array" ref="AU836">$C836*EXP(poly_from_str(100000000/$E836,AU$4341))</f>
        <v>0.13184672863710134</v>
      </c>
    </row>
    <row r="837" spans="1:48" x14ac:dyDescent="0.25">
      <c r="A837">
        <v>4625.1850000000004</v>
      </c>
      <c r="B837" s="2" t="str">
        <f t="shared" si="587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588"/>
        <v>4625.1850000000004</v>
      </c>
      <c r="AB837" s="3">
        <f t="shared" si="589"/>
        <v>21614.7</v>
      </c>
      <c r="AC837" s="3" cm="1">
        <f t="array" ref="AC837">100000000/LvacE(AA837)</f>
        <v>21614.703085154841</v>
      </c>
      <c r="AD837" s="10">
        <f t="shared" si="590"/>
        <v>7.3366311926068729E-3</v>
      </c>
      <c r="AE837" s="10" t="b">
        <f t="shared" si="591"/>
        <v>1</v>
      </c>
      <c r="AJ837" t="s">
        <v>4980</v>
      </c>
      <c r="AK837" t="s">
        <v>4702</v>
      </c>
      <c r="AL837">
        <v>17409.580000000002</v>
      </c>
      <c r="AM837">
        <v>39024.269999999997</v>
      </c>
      <c r="AN837" s="10" cm="1">
        <f t="array" ref="AN837">Lair(100000000/($AM837-$AL837))</f>
        <v>4625.1877999659346</v>
      </c>
      <c r="AO837" s="10">
        <f>100000000/($AM837-$AL837)</f>
        <v>4626.4831926805346</v>
      </c>
      <c r="AP837" s="12">
        <v>41000000</v>
      </c>
      <c r="AQ837" s="3">
        <v>0.49099999999999999</v>
      </c>
      <c r="AR837" s="3">
        <f>LN(AU837*100000000/($AM837-$AL837)/AP837)</f>
        <v>-5.8556945966961313</v>
      </c>
      <c r="AS837" s="13">
        <f>EXP(AR$4341*$AM837+AR$4342)*$AP837/(100000000/($AM837-$AL837))</f>
        <v>41.892247573236823</v>
      </c>
      <c r="AT837" s="3">
        <f>LN(AS837/$C837)</f>
        <v>-2.6618288675252111</v>
      </c>
      <c r="AU837" s="3" cm="1">
        <f t="array" ref="AU837">$C837*EXP(poly_from_str($AO837,AU$4341))</f>
        <v>25.376809346786217</v>
      </c>
      <c r="AV837" s="13">
        <f>LN(AS837/AU837)</f>
        <v>0.5012650485641692</v>
      </c>
    </row>
    <row r="838" spans="1:48" x14ac:dyDescent="0.25">
      <c r="A838">
        <v>4614.683</v>
      </c>
      <c r="B838" s="2" t="str">
        <f t="shared" si="587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588"/>
        <v>4614.683</v>
      </c>
      <c r="AB838" s="3">
        <f t="shared" si="589"/>
        <v>21663.89</v>
      </c>
      <c r="AC838" s="3" cm="1">
        <f t="array" ref="AC838">100000000/LvacE(AA838)</f>
        <v>21663.892609413626</v>
      </c>
      <c r="AD838" s="10">
        <f t="shared" si="590"/>
        <v>7.3472785248102227E-3</v>
      </c>
      <c r="AE838" s="10" t="b">
        <f t="shared" si="591"/>
        <v>1</v>
      </c>
      <c r="AP838"/>
      <c r="AQ838"/>
      <c r="AU838" s="3" cm="1">
        <f t="array" ref="AU838">$C838*EXP(poly_from_str(100000000/$E838,AU$4341))</f>
        <v>0.32279352577722259</v>
      </c>
    </row>
    <row r="839" spans="1:48" x14ac:dyDescent="0.25">
      <c r="A839">
        <v>4612.0219999999999</v>
      </c>
      <c r="B839" s="2" t="str">
        <f t="shared" si="587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588"/>
        <v>4612.0219999999999</v>
      </c>
      <c r="AB839" s="3">
        <f t="shared" si="589"/>
        <v>21676.39</v>
      </c>
      <c r="AC839" s="3" cm="1">
        <f t="array" ref="AC839">100000000/LvacE(AA839)</f>
        <v>21676.391837417719</v>
      </c>
      <c r="AD839" s="10">
        <f t="shared" si="590"/>
        <v>7.3499879052417484E-3</v>
      </c>
      <c r="AE839" s="10" t="b">
        <f t="shared" si="591"/>
        <v>1</v>
      </c>
      <c r="AJ839" t="s">
        <v>4979</v>
      </c>
      <c r="AK839" t="s">
        <v>4811</v>
      </c>
      <c r="AL839">
        <v>14187.35</v>
      </c>
      <c r="AM839">
        <v>35863.74</v>
      </c>
      <c r="AN839" s="10" cm="1">
        <f t="array" ref="AN839">Lair(100000000/($AM839-$AL839))</f>
        <v>4612.0223907777299</v>
      </c>
      <c r="AO839" s="10">
        <f>100000000/($AM839-$AL839)</f>
        <v>4613.3143018740666</v>
      </c>
      <c r="AP839" s="12">
        <v>17300000</v>
      </c>
      <c r="AQ839" s="3">
        <v>0.60099999999999998</v>
      </c>
      <c r="AR839" s="3">
        <f>LN(AU839*100000000/($AM839-$AL839)/AP839)</f>
        <v>-5.3426392323900505</v>
      </c>
      <c r="AS839" s="13">
        <f>EXP(AR$4341*$AM839+AR$4342)*$AP839/(100000000/($AM839-$AL839))</f>
        <v>22.472070615469406</v>
      </c>
      <c r="AT839" s="3">
        <f>LN(AS839/$C839)</f>
        <v>-2.9969743505915409</v>
      </c>
      <c r="AU839" s="3" cm="1">
        <f t="array" ref="AU839">$C839*EXP(poly_from_str($AO839,AU$4341))</f>
        <v>17.937186426171206</v>
      </c>
      <c r="AV839" s="13">
        <f>LN(AS839/AU839)</f>
        <v>0.22539722027359449</v>
      </c>
    </row>
    <row r="840" spans="1:48" x14ac:dyDescent="0.25">
      <c r="A840">
        <v>4609.5659999999998</v>
      </c>
      <c r="B840" s="2" t="str">
        <f t="shared" si="587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588"/>
        <v>4609.5659999999998</v>
      </c>
      <c r="AB840" s="3">
        <f t="shared" si="589"/>
        <v>21687.94</v>
      </c>
      <c r="AC840" s="3" cm="1">
        <f t="array" ref="AC840">100000000/LvacE(AA840)</f>
        <v>21687.940946987386</v>
      </c>
      <c r="AD840" s="10">
        <f t="shared" si="590"/>
        <v>7.3524927235001508E-3</v>
      </c>
      <c r="AE840" s="10" t="b">
        <f t="shared" si="591"/>
        <v>1</v>
      </c>
      <c r="AP840"/>
      <c r="AQ840"/>
      <c r="AU840" s="3" cm="1">
        <f t="array" ref="AU840">$C840*EXP(poly_from_str(100000000/$E840,AU$4341))</f>
        <v>0.19705432432314862</v>
      </c>
    </row>
    <row r="841" spans="1:48" x14ac:dyDescent="0.25">
      <c r="A841">
        <v>4606.1639999999998</v>
      </c>
      <c r="B841" s="2" t="str">
        <f t="shared" si="587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588"/>
        <v>4606.1639999999998</v>
      </c>
      <c r="AB841" s="3">
        <f t="shared" si="589"/>
        <v>21703.96</v>
      </c>
      <c r="AC841" s="3" cm="1">
        <f t="array" ref="AC841">100000000/LvacE(AA841)</f>
        <v>21703.958877606379</v>
      </c>
      <c r="AD841" s="10">
        <f t="shared" si="590"/>
        <v>7.3559689665420487E-3</v>
      </c>
      <c r="AE841" s="10" t="b">
        <f t="shared" si="591"/>
        <v>1</v>
      </c>
      <c r="AP841"/>
      <c r="AQ841"/>
      <c r="AU841" s="3" cm="1">
        <f t="array" ref="AU841">$C841*EXP(poly_from_str(100000000/$E841,AU$4341))</f>
        <v>0.1163721689923792</v>
      </c>
    </row>
    <row r="842" spans="1:48" x14ac:dyDescent="0.25">
      <c r="A842">
        <v>4603.1639999999998</v>
      </c>
      <c r="B842" s="2" t="str">
        <f t="shared" si="587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588"/>
        <v>4603.1639999999998</v>
      </c>
      <c r="AB842" s="3">
        <f t="shared" si="589"/>
        <v>21718.1</v>
      </c>
      <c r="AC842" s="3" cm="1">
        <f t="array" ref="AC842">100000000/LvacE(AA842)</f>
        <v>21718.10368141493</v>
      </c>
      <c r="AD842" s="10">
        <f t="shared" si="590"/>
        <v>7.3590408338063702E-3</v>
      </c>
      <c r="AE842" s="10" t="b">
        <f t="shared" si="591"/>
        <v>1</v>
      </c>
      <c r="AJ842" t="s">
        <v>4751</v>
      </c>
      <c r="AK842" t="s">
        <v>4849</v>
      </c>
      <c r="AL842">
        <v>38701.589999999997</v>
      </c>
      <c r="AM842">
        <v>60419.73</v>
      </c>
      <c r="AN842" s="10" cm="1">
        <f t="array" ref="AN842">Lair(100000000/($AM842-$AL842))</f>
        <v>4603.1563019189962</v>
      </c>
      <c r="AO842" s="10">
        <f>100000000/($AM842-$AL842)</f>
        <v>4604.4458687530314</v>
      </c>
      <c r="AP842" s="12">
        <v>1110000</v>
      </c>
      <c r="AQ842" s="3">
        <v>5.1999999999999998E-2</v>
      </c>
      <c r="AR842" s="3">
        <f>LN(AU842*100000000/($AM842-$AL842)/AP842)</f>
        <v>-6.5516062548956571</v>
      </c>
      <c r="AS842" s="13">
        <f>EXP(AR$4341*$AM842+AR$4342)*$AP842/(100000000/($AM842-$AL842))</f>
        <v>0.22877952022309647</v>
      </c>
      <c r="AT842" s="3">
        <f>LN(AS842/$C842)</f>
        <v>-3.6722211103333677</v>
      </c>
      <c r="AU842" s="3" cm="1">
        <f t="array" ref="AU842">$C842*EXP(poly_from_str($AO842,AU$4341))</f>
        <v>0.34420657588920728</v>
      </c>
      <c r="AV842" s="13">
        <f>LN(AS842/AU842)</f>
        <v>-0.40848324245948237</v>
      </c>
    </row>
    <row r="843" spans="1:48" x14ac:dyDescent="0.25">
      <c r="A843">
        <v>4603.0720000000001</v>
      </c>
      <c r="B843" s="2" t="str">
        <f t="shared" si="587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588"/>
        <v>4603.0720000000001</v>
      </c>
      <c r="AB843" s="3">
        <f t="shared" si="589"/>
        <v>21718.54</v>
      </c>
      <c r="AC843" s="3" cm="1">
        <f t="array" ref="AC843">100000000/LvacE(AA843)</f>
        <v>21718.537746768059</v>
      </c>
      <c r="AD843" s="10">
        <f t="shared" si="590"/>
        <v>7.3591351326644534E-3</v>
      </c>
      <c r="AE843" s="10" t="b">
        <f t="shared" si="591"/>
        <v>1</v>
      </c>
      <c r="AP843"/>
      <c r="AQ843"/>
      <c r="AU843" s="3" cm="1">
        <f t="array" ref="AU843">$C843*EXP(poly_from_str(100000000/$E843,AU$4341))</f>
        <v>0.34406849267272782</v>
      </c>
    </row>
    <row r="844" spans="1:48" x14ac:dyDescent="0.25">
      <c r="A844">
        <v>4600.8639999999996</v>
      </c>
      <c r="B844" s="2" t="str">
        <f t="shared" si="587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588"/>
        <v>4600.8639999999996</v>
      </c>
      <c r="AB844" s="3">
        <f t="shared" si="589"/>
        <v>21728.959999999999</v>
      </c>
      <c r="AC844" s="3" cm="1">
        <f t="array" ref="AC844">100000000/LvacE(AA844)</f>
        <v>21728.960522918562</v>
      </c>
      <c r="AD844" s="10">
        <f t="shared" si="590"/>
        <v>7.361400002577621E-3</v>
      </c>
      <c r="AE844" s="10" t="b">
        <f t="shared" si="591"/>
        <v>1</v>
      </c>
      <c r="AJ844" t="s">
        <v>4970</v>
      </c>
      <c r="AK844" t="s">
        <v>4752</v>
      </c>
      <c r="AL844">
        <v>18211.759999999998</v>
      </c>
      <c r="AM844">
        <v>39940.720000000001</v>
      </c>
      <c r="AN844" s="10" cm="1">
        <f t="array" ref="AN844">Lair(100000000/($AM844-$AL844))</f>
        <v>4600.8641104802573</v>
      </c>
      <c r="AO844" s="10">
        <f>100000000/($AM844-$AL844)</f>
        <v>4602.1530712928734</v>
      </c>
      <c r="AP844" s="12">
        <v>486000</v>
      </c>
      <c r="AQ844" s="3">
        <v>1.2E-2</v>
      </c>
      <c r="AR844" s="3"/>
      <c r="AS844" s="13">
        <f>EXP(AR$4341*$AM844+AR$4342)*$AP844/(100000000/($AM844-$AL844))</f>
        <v>0.46602230542026601</v>
      </c>
      <c r="AT844" s="3"/>
      <c r="AU844" s="3" cm="1">
        <f t="array" ref="AU844">$C844*EXP(poly_from_str($AO844,AU$4341))</f>
        <v>0.75662144585143354</v>
      </c>
    </row>
    <row r="845" spans="1:48" x14ac:dyDescent="0.25">
      <c r="A845">
        <v>4597.4489999999996</v>
      </c>
      <c r="B845" s="2" t="str">
        <f t="shared" si="587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588"/>
        <v>4597.4489999999996</v>
      </c>
      <c r="AB845" s="3">
        <f t="shared" si="589"/>
        <v>21745.1</v>
      </c>
      <c r="AC845" s="3" cm="1">
        <f t="array" ref="AC845">100000000/LvacE(AA845)</f>
        <v>21745.100610387155</v>
      </c>
      <c r="AD845" s="10">
        <f t="shared" si="590"/>
        <v>7.3649093889227657E-3</v>
      </c>
      <c r="AE845" s="10" t="b">
        <f t="shared" si="591"/>
        <v>1</v>
      </c>
      <c r="AP845"/>
      <c r="AQ845"/>
      <c r="AU845" s="3" cm="1">
        <f t="array" ref="AU845">$C845*EXP(poly_from_str(100000000/$E845,AU$4341))</f>
        <v>0.26051857651123789</v>
      </c>
    </row>
    <row r="846" spans="1:48" x14ac:dyDescent="0.25">
      <c r="A846">
        <v>4595.1869999999999</v>
      </c>
      <c r="B846" s="2" t="str">
        <f t="shared" si="587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588"/>
        <v>4595.1869999999999</v>
      </c>
      <c r="AB846" s="3">
        <f t="shared" si="589"/>
        <v>21755.8</v>
      </c>
      <c r="AC846" s="3" cm="1">
        <f t="array" ref="AC846">100000000/LvacE(AA846)</f>
        <v>21755.80455786283</v>
      </c>
      <c r="AD846" s="10">
        <f t="shared" si="590"/>
        <v>7.3672382166234838E-3</v>
      </c>
      <c r="AE846" s="10" t="b">
        <f t="shared" si="591"/>
        <v>1</v>
      </c>
      <c r="AJ846" t="s">
        <v>4757</v>
      </c>
      <c r="AK846" t="s">
        <v>4965</v>
      </c>
      <c r="AL846">
        <v>0</v>
      </c>
      <c r="AM846">
        <v>21755.84</v>
      </c>
      <c r="AN846" s="10" cm="1">
        <f t="array" ref="AN846">Lair(100000000/($AM846-$AL846))</f>
        <v>4595.1795136453811</v>
      </c>
      <c r="AO846" s="10">
        <f>100000000/($AM846-$AL846)</f>
        <v>4596.4669716269291</v>
      </c>
      <c r="AP846" s="12">
        <v>47400</v>
      </c>
      <c r="AQ846" s="3">
        <v>0.19400000000000001</v>
      </c>
      <c r="AR846" s="3">
        <f>LN(AU846*100000000/($AM846-$AL846)/AP846)</f>
        <v>-3.843541580999942</v>
      </c>
      <c r="AS846" s="13">
        <f>EXP(AR$4341*$AM846+AR$4342)*$AP846/(100000000/($AM846-$AL846))</f>
        <v>0.17814533761396215</v>
      </c>
      <c r="AT846" s="3">
        <f>LN(AS846/$C846)</f>
        <v>-3.5169150276264856</v>
      </c>
      <c r="AU846" s="3" cm="1">
        <f t="array" ref="AU846">$C846*EXP(poly_from_str($AO846,AU$4341))</f>
        <v>0.22086418562747939</v>
      </c>
      <c r="AV846" s="13">
        <f>LN(AS846/AU846)</f>
        <v>-0.21494824735203064</v>
      </c>
    </row>
    <row r="847" spans="1:48" x14ac:dyDescent="0.25">
      <c r="A847">
        <v>4594.1099999999997</v>
      </c>
      <c r="B847" s="2" t="str">
        <f t="shared" si="587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588"/>
        <v>4594.1099999999997</v>
      </c>
      <c r="AB847" s="3">
        <f t="shared" si="589"/>
        <v>21760.9</v>
      </c>
      <c r="AC847" s="3" cm="1">
        <f t="array" ref="AC847">100000000/LvacE(AA847)</f>
        <v>21760.904703699711</v>
      </c>
      <c r="AD847" s="10">
        <f t="shared" si="590"/>
        <v>7.3683482441321297E-3</v>
      </c>
      <c r="AE847" s="10" t="b">
        <f t="shared" si="591"/>
        <v>1</v>
      </c>
      <c r="AP847"/>
      <c r="AQ847"/>
      <c r="AU847" s="3" cm="1">
        <f t="array" ref="AU847">$C847*EXP(poly_from_str(100000000/$E847,AU$4341))</f>
        <v>0.21971989725318924</v>
      </c>
    </row>
    <row r="848" spans="1:48" x14ac:dyDescent="0.25">
      <c r="A848">
        <v>4593.7579999999998</v>
      </c>
      <c r="B848" s="2" t="str">
        <f t="shared" si="587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588"/>
        <v>4593.7579999999998</v>
      </c>
      <c r="AB848" s="3">
        <f t="shared" si="589"/>
        <v>21762.57</v>
      </c>
      <c r="AC848" s="3" cm="1">
        <f t="array" ref="AC848">100000000/LvacE(AA848)</f>
        <v>21762.572122248501</v>
      </c>
      <c r="AD848" s="10">
        <f t="shared" si="590"/>
        <v>7.3687112079313388E-3</v>
      </c>
      <c r="AE848" s="10" t="b">
        <f t="shared" si="591"/>
        <v>1</v>
      </c>
      <c r="AP848"/>
      <c r="AQ848"/>
      <c r="AU848" s="3" cm="1">
        <f t="array" ref="AU848">$C848*EXP(poly_from_str(100000000/$E848,AU$4341))</f>
        <v>0.18278567964690126</v>
      </c>
    </row>
    <row r="849" spans="1:47" x14ac:dyDescent="0.25">
      <c r="A849">
        <v>4591.3689999999997</v>
      </c>
      <c r="B849" s="2" t="str">
        <f t="shared" si="587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588"/>
        <v>4591.3689999999997</v>
      </c>
      <c r="AB849" s="3">
        <f t="shared" si="589"/>
        <v>21773.9</v>
      </c>
      <c r="AC849" s="3" cm="1">
        <f t="array" ref="AC849">100000000/LvacE(AA849)</f>
        <v>21773.89553400833</v>
      </c>
      <c r="AD849" s="10">
        <f t="shared" si="590"/>
        <v>7.3711768248215653E-3</v>
      </c>
      <c r="AE849" s="10" t="b">
        <f t="shared" si="591"/>
        <v>1</v>
      </c>
      <c r="AP849"/>
      <c r="AQ849"/>
      <c r="AU849" s="3" cm="1">
        <f t="array" ref="AU849">$C849*EXP(poly_from_str(100000000/$E849,AU$4341))</f>
        <v>3.6132029834877719E-2</v>
      </c>
    </row>
    <row r="850" spans="1:47" x14ac:dyDescent="0.25">
      <c r="A850">
        <v>4591.2929999999997</v>
      </c>
      <c r="B850" s="2" t="str">
        <f t="shared" si="587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588"/>
        <v>4591.2929999999997</v>
      </c>
      <c r="AB850" s="3">
        <f t="shared" si="589"/>
        <v>21774.26</v>
      </c>
      <c r="AC850" s="3" cm="1">
        <f t="array" ref="AC850">100000000/LvacE(AA850)</f>
        <v>21774.255953143907</v>
      </c>
      <c r="AD850" s="10">
        <f t="shared" si="590"/>
        <v>7.3712553253673756E-3</v>
      </c>
      <c r="AE850" s="10" t="b">
        <f t="shared" si="591"/>
        <v>1</v>
      </c>
      <c r="AP850"/>
      <c r="AQ850"/>
      <c r="AU850" s="3" cm="1">
        <f t="array" ref="AU850">$C850*EXP(poly_from_str(100000000/$E850,AU$4341))</f>
        <v>3.6118559135848473E-2</v>
      </c>
    </row>
    <row r="851" spans="1:47" x14ac:dyDescent="0.25">
      <c r="A851">
        <v>4590.5619999999999</v>
      </c>
      <c r="B851" s="2" t="str">
        <f t="shared" si="587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588"/>
        <v>4590.5619999999999</v>
      </c>
      <c r="AB851" s="3">
        <f t="shared" si="589"/>
        <v>21777.72</v>
      </c>
      <c r="AC851" s="3" cm="1">
        <f t="array" ref="AC851">100000000/LvacE(AA851)</f>
        <v>21777.723225553615</v>
      </c>
      <c r="AD851" s="10">
        <f t="shared" si="590"/>
        <v>7.3720105757806575E-3</v>
      </c>
      <c r="AE851" s="10" t="b">
        <f t="shared" si="591"/>
        <v>1</v>
      </c>
      <c r="AJ851" t="s">
        <v>4765</v>
      </c>
      <c r="AK851" t="s">
        <v>4851</v>
      </c>
      <c r="AL851">
        <v>44903.42</v>
      </c>
      <c r="AM851">
        <v>66681.14</v>
      </c>
      <c r="AN851" s="10" cm="1">
        <f t="array" ref="AN851">Lair(100000000/($AM851-$AL851))</f>
        <v>4590.5626796195138</v>
      </c>
      <c r="AO851" s="10">
        <f>100000000/($AM851-$AL851)</f>
        <v>4591.8489171501878</v>
      </c>
      <c r="AP851" s="12">
        <v>339000</v>
      </c>
      <c r="AQ851" s="3">
        <v>1.7999999999999999E-2</v>
      </c>
      <c r="AR851" s="3"/>
      <c r="AS851" s="13">
        <f>EXP(AR$4341*$AM851+AR$4342)*$AP851/(100000000/($AM851-$AL851))</f>
        <v>4.3793464724423983E-2</v>
      </c>
      <c r="AT851" s="3"/>
      <c r="AU851" s="3" cm="1">
        <f t="array" ref="AU851">$C851*EXP(poly_from_str($AO851,AU$4341))</f>
        <v>0.28791365300574717</v>
      </c>
    </row>
    <row r="852" spans="1:47" x14ac:dyDescent="0.25">
      <c r="A852">
        <v>4587.4620000000004</v>
      </c>
      <c r="B852" s="2" t="str">
        <f t="shared" si="587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588"/>
        <v>4587.4620000000004</v>
      </c>
      <c r="AB852" s="3">
        <f t="shared" si="589"/>
        <v>21792.44</v>
      </c>
      <c r="AC852" s="3" cm="1">
        <f t="array" ref="AC852">100000000/LvacE(AA852)</f>
        <v>21792.439395700683</v>
      </c>
      <c r="AD852" s="10">
        <f t="shared" si="590"/>
        <v>7.3752174291253723E-3</v>
      </c>
      <c r="AE852" s="10" t="b">
        <f t="shared" si="591"/>
        <v>1</v>
      </c>
      <c r="AP852"/>
      <c r="AQ852"/>
      <c r="AU852" s="3" cm="1">
        <f t="array" ref="AU852">$C852*EXP(poly_from_str(100000000/$E852,AU$4341))</f>
        <v>0.14176505222341299</v>
      </c>
    </row>
    <row r="853" spans="1:47" x14ac:dyDescent="0.25">
      <c r="A853">
        <v>4587.2510000000002</v>
      </c>
      <c r="B853" s="2" t="str">
        <f t="shared" si="587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588"/>
        <v>4587.2510000000002</v>
      </c>
      <c r="AB853" s="3">
        <f t="shared" si="589"/>
        <v>21793.439999999999</v>
      </c>
      <c r="AC853" s="3" cm="1">
        <f t="array" ref="AC853">100000000/LvacE(AA853)</f>
        <v>21793.441767656026</v>
      </c>
      <c r="AD853" s="10">
        <f t="shared" si="590"/>
        <v>7.3754359383927347E-3</v>
      </c>
      <c r="AE853" s="10" t="b">
        <f t="shared" si="591"/>
        <v>1</v>
      </c>
      <c r="AP853"/>
      <c r="AQ853"/>
      <c r="AU853" s="3" cm="1">
        <f t="array" ref="AU853">$C853*EXP(poly_from_str(100000000/$E853,AU$4341))</f>
        <v>7.0808357468667552E-2</v>
      </c>
    </row>
    <row r="854" spans="1:47" x14ac:dyDescent="0.25">
      <c r="A854">
        <v>4586.9830000000002</v>
      </c>
      <c r="B854" s="2" t="str">
        <f t="shared" si="587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588"/>
        <v>4586.9830000000002</v>
      </c>
      <c r="AB854" s="3">
        <f t="shared" si="589"/>
        <v>21794.71</v>
      </c>
      <c r="AC854" s="3" cm="1">
        <f t="array" ref="AC854">100000000/LvacE(AA854)</f>
        <v>21794.715055503679</v>
      </c>
      <c r="AD854" s="10">
        <f t="shared" si="590"/>
        <v>7.3757135197038744E-3</v>
      </c>
      <c r="AE854" s="10" t="b">
        <f t="shared" si="591"/>
        <v>1</v>
      </c>
      <c r="AP854"/>
      <c r="AQ854"/>
      <c r="AU854" s="3" cm="1">
        <f t="array" ref="AU854">$C854*EXP(poly_from_str(100000000/$E854,AU$4341))</f>
        <v>3.5357107526372396E-2</v>
      </c>
    </row>
    <row r="855" spans="1:47" x14ac:dyDescent="0.25">
      <c r="A855">
        <v>4584.8230000000003</v>
      </c>
      <c r="B855" s="2" t="str">
        <f t="shared" si="587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588"/>
        <v>4584.8230000000003</v>
      </c>
      <c r="AB855" s="3">
        <f t="shared" si="589"/>
        <v>21804.98</v>
      </c>
      <c r="AC855" s="3" cm="1">
        <f t="array" ref="AC855">100000000/LvacE(AA855)</f>
        <v>21804.982809983416</v>
      </c>
      <c r="AD855" s="10">
        <f t="shared" si="590"/>
        <v>7.3779525196483505E-3</v>
      </c>
      <c r="AE855" s="10" t="b">
        <f t="shared" si="591"/>
        <v>1</v>
      </c>
      <c r="AP855"/>
      <c r="AQ855"/>
      <c r="AU855" s="3" cm="1">
        <f t="array" ref="AU855">$C855*EXP(poly_from_str(100000000/$E855,AU$4341))</f>
        <v>0.27982024268649791</v>
      </c>
    </row>
    <row r="856" spans="1:47" x14ac:dyDescent="0.25">
      <c r="A856">
        <v>4583.42</v>
      </c>
      <c r="B856" s="2" t="str">
        <f t="shared" si="587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588"/>
        <v>4583.42</v>
      </c>
      <c r="AB856" s="3">
        <f t="shared" si="589"/>
        <v>21811.66</v>
      </c>
      <c r="AC856" s="3" cm="1">
        <f t="array" ref="AC856">100000000/LvacE(AA856)</f>
        <v>21811.657281158299</v>
      </c>
      <c r="AD856" s="10">
        <f t="shared" si="590"/>
        <v>7.3794085291287188E-3</v>
      </c>
      <c r="AE856" s="10" t="b">
        <f t="shared" si="591"/>
        <v>1</v>
      </c>
      <c r="AP856"/>
      <c r="AQ856"/>
      <c r="AU856" s="3" cm="1">
        <f t="array" ref="AU856">$C856*EXP(poly_from_str(100000000/$E856,AU$4341))</f>
        <v>0.31258501440536346</v>
      </c>
    </row>
    <row r="857" spans="1:47" x14ac:dyDescent="0.25">
      <c r="A857">
        <v>4583.2839999999997</v>
      </c>
      <c r="B857" s="2" t="str">
        <f t="shared" si="587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588"/>
        <v>4583.2839999999997</v>
      </c>
      <c r="AB857" s="3">
        <f t="shared" si="589"/>
        <v>21812.3</v>
      </c>
      <c r="AC857" s="3" cm="1">
        <f t="array" ref="AC857">100000000/LvacE(AA857)</f>
        <v>21812.304489193895</v>
      </c>
      <c r="AD857" s="10">
        <f t="shared" si="590"/>
        <v>7.3795497387019763E-3</v>
      </c>
      <c r="AE857" s="10" t="b">
        <f t="shared" si="591"/>
        <v>1</v>
      </c>
      <c r="AP857"/>
      <c r="AQ857"/>
      <c r="AU857" s="3" cm="1">
        <f t="array" ref="AU857">$C857*EXP(poly_from_str(100000000/$E857,AU$4341))</f>
        <v>6.9416311031496841E-2</v>
      </c>
    </row>
    <row r="858" spans="1:47" x14ac:dyDescent="0.25">
      <c r="A858">
        <v>4582.9520000000002</v>
      </c>
      <c r="B858" s="2" t="str">
        <f t="shared" si="587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588"/>
        <v>4582.9520000000002</v>
      </c>
      <c r="AB858" s="3">
        <f t="shared" si="589"/>
        <v>21813.88</v>
      </c>
      <c r="AC858" s="3" cm="1">
        <f t="array" ref="AC858">100000000/LvacE(AA858)</f>
        <v>21813.884599558445</v>
      </c>
      <c r="AD858" s="10">
        <f t="shared" si="590"/>
        <v>7.3798945089931598E-3</v>
      </c>
      <c r="AE858" s="10" t="b">
        <f t="shared" si="591"/>
        <v>1</v>
      </c>
      <c r="AP858"/>
      <c r="AQ858"/>
      <c r="AU858" s="3" cm="1">
        <f t="array" ref="AU858">$C858*EXP(poly_from_str(100000000/$E858,AU$4341))</f>
        <v>6.9300281281563583E-2</v>
      </c>
    </row>
    <row r="859" spans="1:47" x14ac:dyDescent="0.25">
      <c r="A859">
        <v>4579.2070000000003</v>
      </c>
      <c r="B859" s="2" t="str">
        <f t="shared" si="587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588"/>
        <v>4579.2070000000003</v>
      </c>
      <c r="AB859" s="3">
        <f t="shared" si="589"/>
        <v>21831.72</v>
      </c>
      <c r="AC859" s="3" cm="1">
        <f t="array" ref="AC859">100000000/LvacE(AA859)</f>
        <v>21831.724303517487</v>
      </c>
      <c r="AD859" s="10">
        <f t="shared" si="590"/>
        <v>7.3837887546378102E-3</v>
      </c>
      <c r="AE859" s="10" t="b">
        <f t="shared" si="591"/>
        <v>1</v>
      </c>
      <c r="AP859"/>
      <c r="AQ859"/>
      <c r="AU859" s="3" cm="1">
        <f t="array" ref="AU859">$C859*EXP(poly_from_str(100000000/$E859,AU$4341))</f>
        <v>0.23798806473429557</v>
      </c>
    </row>
    <row r="860" spans="1:47" x14ac:dyDescent="0.25">
      <c r="A860">
        <v>4577.88</v>
      </c>
      <c r="B860" s="2" t="str">
        <f t="shared" si="587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588"/>
        <v>4577.88</v>
      </c>
      <c r="AB860" s="3">
        <f t="shared" si="589"/>
        <v>21838.05</v>
      </c>
      <c r="AC860" s="3" cm="1">
        <f t="array" ref="AC860">100000000/LvacE(AA860)</f>
        <v>21838.052611924784</v>
      </c>
      <c r="AD860" s="10">
        <f t="shared" si="590"/>
        <v>7.3851709319515567E-3</v>
      </c>
      <c r="AE860" s="10" t="b">
        <f t="shared" si="591"/>
        <v>1</v>
      </c>
      <c r="AJ860" t="s">
        <v>4735</v>
      </c>
      <c r="AK860" t="s">
        <v>4814</v>
      </c>
      <c r="AL860">
        <v>31254.71</v>
      </c>
      <c r="AM860">
        <v>53092.800000000003</v>
      </c>
      <c r="AN860" s="10" cm="1">
        <f t="array" ref="AN860">Lair(100000000/($AM860-$AL860))</f>
        <v>4577.8721618853488</v>
      </c>
      <c r="AO860" s="10">
        <f>100000000/($AM860-$AL860)</f>
        <v>4579.1550451527573</v>
      </c>
      <c r="AP860" s="12">
        <v>2380000</v>
      </c>
      <c r="AQ860" s="3">
        <v>2.4E-2</v>
      </c>
      <c r="AR860" s="3"/>
      <c r="AS860" s="13">
        <f>EXP(AR$4341*$AM860+AR$4342)*$AP860/(100000000/($AM860-$AL860))</f>
        <v>0.85480161394483867</v>
      </c>
      <c r="AT860" s="3"/>
      <c r="AU860" s="3" cm="1">
        <f t="array" ref="AU860">$C860*EXP(poly_from_str($AO860,AU$4341))</f>
        <v>2.0260192388558114</v>
      </c>
    </row>
    <row r="861" spans="1:47" x14ac:dyDescent="0.25">
      <c r="A861">
        <v>4575.9639999999999</v>
      </c>
      <c r="B861" s="2" t="str">
        <f t="shared" si="587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588"/>
        <v>4575.9639999999999</v>
      </c>
      <c r="AB861" s="3">
        <f t="shared" si="589"/>
        <v>21847.200000000001</v>
      </c>
      <c r="AC861" s="3" cm="1">
        <f t="array" ref="AC861">100000000/LvacE(AA861)</f>
        <v>21847.19626809896</v>
      </c>
      <c r="AD861" s="10">
        <f t="shared" si="590"/>
        <v>7.3871687220549553E-3</v>
      </c>
      <c r="AE861" s="10" t="b">
        <f t="shared" si="591"/>
        <v>1</v>
      </c>
      <c r="AP861"/>
      <c r="AQ861"/>
      <c r="AU861" s="3" cm="1">
        <f t="array" ref="AU861">$C861*EXP(poly_from_str(100000000/$E861,AU$4341))</f>
        <v>6.6875039490305044E-2</v>
      </c>
    </row>
    <row r="862" spans="1:47" x14ac:dyDescent="0.25">
      <c r="A862">
        <v>4575.6419999999998</v>
      </c>
      <c r="B862" s="2" t="str">
        <f t="shared" si="587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588"/>
        <v>4575.6419999999998</v>
      </c>
      <c r="AB862" s="3">
        <f t="shared" si="589"/>
        <v>21848.73</v>
      </c>
      <c r="AC862" s="3" cm="1">
        <f t="array" ref="AC862">100000000/LvacE(AA862)</f>
        <v>21848.733688413235</v>
      </c>
      <c r="AD862" s="10">
        <f t="shared" si="590"/>
        <v>7.3875047139191873E-3</v>
      </c>
      <c r="AE862" s="10" t="b">
        <f t="shared" si="591"/>
        <v>1</v>
      </c>
      <c r="AP862"/>
      <c r="AQ862"/>
      <c r="AU862" s="3" cm="1">
        <f t="array" ref="AU862">$C862*EXP(poly_from_str(100000000/$E862,AU$4341))</f>
        <v>3.3382341605461496E-2</v>
      </c>
    </row>
    <row r="863" spans="1:47" x14ac:dyDescent="0.25">
      <c r="A863">
        <v>4573.7939999999999</v>
      </c>
      <c r="B863" s="2" t="str">
        <f t="shared" si="587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588"/>
        <v>4573.7939999999999</v>
      </c>
      <c r="AB863" s="3">
        <f t="shared" si="589"/>
        <v>21857.56</v>
      </c>
      <c r="AC863" s="3" cm="1">
        <f t="array" ref="AC863">100000000/LvacE(AA863)</f>
        <v>21857.561330241533</v>
      </c>
      <c r="AD863" s="10">
        <f t="shared" si="590"/>
        <v>7.3894343875392648E-3</v>
      </c>
      <c r="AE863" s="10" t="b">
        <f t="shared" si="591"/>
        <v>1</v>
      </c>
      <c r="AJ863" t="s">
        <v>4926</v>
      </c>
      <c r="AK863" t="s">
        <v>4841</v>
      </c>
      <c r="AL863">
        <v>78463.600000000006</v>
      </c>
      <c r="AM863">
        <v>100321.12</v>
      </c>
      <c r="AN863" s="10" cm="1">
        <f t="array" ref="AN863">Lair(100000000/($AM863-$AL863))</f>
        <v>4573.8026482747764</v>
      </c>
      <c r="AO863" s="10">
        <f>100000000/($AM863-$AL863)</f>
        <v>4575.0844560590613</v>
      </c>
      <c r="AU863" s="3" cm="1">
        <f t="array" ref="AU863">$C863*EXP(poly_from_str($AO863,AU$4341))</f>
        <v>3.3066207669817847E-2</v>
      </c>
    </row>
    <row r="864" spans="1:47" x14ac:dyDescent="0.25">
      <c r="A864">
        <v>4572.7920000000004</v>
      </c>
      <c r="B864" s="2" t="str">
        <f t="shared" si="587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588"/>
        <v>4572.7920000000004</v>
      </c>
      <c r="AB864" s="3">
        <f t="shared" si="589"/>
        <v>21862.35</v>
      </c>
      <c r="AC864" s="3" cm="1">
        <f t="array" ref="AC864">100000000/LvacE(AA864)</f>
        <v>21862.350729493373</v>
      </c>
      <c r="AD864" s="10">
        <f t="shared" si="590"/>
        <v>7.3904816498862585E-3</v>
      </c>
      <c r="AE864" s="10" t="b">
        <f t="shared" si="591"/>
        <v>1</v>
      </c>
      <c r="AP864"/>
      <c r="AQ864"/>
      <c r="AU864" s="3" cm="1">
        <f t="array" ref="AU864">$C864*EXP(poly_from_str(100000000/$E864,AU$4341))</f>
        <v>0.16446564983676754</v>
      </c>
    </row>
    <row r="865" spans="1:48" x14ac:dyDescent="0.25">
      <c r="A865">
        <v>4572.6170000000002</v>
      </c>
      <c r="B865" s="2" t="str">
        <f t="shared" si="587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588"/>
        <v>4572.6170000000002</v>
      </c>
      <c r="AB865" s="3">
        <f t="shared" si="589"/>
        <v>21863.19</v>
      </c>
      <c r="AC865" s="3" cm="1">
        <f t="array" ref="AC865">100000000/LvacE(AA865)</f>
        <v>21863.187416722525</v>
      </c>
      <c r="AD865" s="10">
        <f t="shared" si="590"/>
        <v>7.3906646256096369E-3</v>
      </c>
      <c r="AE865" s="10" t="b">
        <f t="shared" si="591"/>
        <v>1</v>
      </c>
      <c r="AP865"/>
      <c r="AQ865"/>
      <c r="AU865" s="3" cm="1">
        <f t="array" ref="AU865">$C865*EXP(poly_from_str(100000000/$E865,AU$4341))</f>
        <v>6.572615126387138E-2</v>
      </c>
    </row>
    <row r="866" spans="1:48" x14ac:dyDescent="0.25">
      <c r="A866">
        <v>4572.4560000000001</v>
      </c>
      <c r="B866" s="2" t="str">
        <f t="shared" si="587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588"/>
        <v>4572.4560000000001</v>
      </c>
      <c r="AB866" s="3">
        <f t="shared" si="589"/>
        <v>21863.96</v>
      </c>
      <c r="AC866" s="3" cm="1">
        <f t="array" ref="AC866">100000000/LvacE(AA866)</f>
        <v>21863.957225535982</v>
      </c>
      <c r="AD866" s="10">
        <f t="shared" si="590"/>
        <v>7.3908329818303314E-3</v>
      </c>
      <c r="AE866" s="10" t="b">
        <f t="shared" si="591"/>
        <v>1</v>
      </c>
      <c r="AP866"/>
      <c r="AQ866"/>
      <c r="AU866" s="3" cm="1">
        <f t="array" ref="AU866">$C866*EXP(poly_from_str(100000000/$E866,AU$4341))</f>
        <v>0.13134215143450151</v>
      </c>
    </row>
    <row r="867" spans="1:48" x14ac:dyDescent="0.25">
      <c r="A867">
        <v>4570.7740000000003</v>
      </c>
      <c r="B867" s="2" t="str">
        <f t="shared" si="587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AA867" s="10">
        <f t="shared" si="588"/>
        <v>4570.7740000000003</v>
      </c>
      <c r="AB867" s="3">
        <f t="shared" si="589"/>
        <v>21872</v>
      </c>
      <c r="AC867" s="3" cm="1">
        <f t="array" ref="AC867">100000000/LvacE(AA867)</f>
        <v>21872.002818702629</v>
      </c>
      <c r="AD867" s="10">
        <f t="shared" si="590"/>
        <v>7.3925928976911384E-3</v>
      </c>
      <c r="AE867" s="10" t="b">
        <f t="shared" si="591"/>
        <v>1</v>
      </c>
      <c r="AJ867" t="s">
        <v>4972</v>
      </c>
      <c r="AK867" t="s">
        <v>4861</v>
      </c>
      <c r="AL867">
        <v>45807.1</v>
      </c>
      <c r="AM867">
        <v>67679.210000000006</v>
      </c>
      <c r="AN867" s="10" cm="1">
        <f t="array" ref="AN867">Lair(100000000/($AM867-$AL867))</f>
        <v>4570.7516007457225</v>
      </c>
      <c r="AO867" s="10">
        <f>100000000/($AM867-$AL867)</f>
        <v>4572.0326022500785</v>
      </c>
      <c r="AP867" s="12">
        <v>1460000</v>
      </c>
      <c r="AQ867" s="3">
        <v>0.17299999999999999</v>
      </c>
      <c r="AR867" s="3">
        <f>LN(AU867*100000000/($AM867-$AL867)/AP867)</f>
        <v>-7.2454621470307838</v>
      </c>
      <c r="AS867" s="13">
        <f>EXP(AR$4341*$AM867+AR$4342)*$AP867/(100000000/($AM867-$AL867))</f>
        <v>0.17575643897218496</v>
      </c>
      <c r="AT867" s="3">
        <f>LN(AS867/$C867)</f>
        <v>-3.6845662609072156</v>
      </c>
      <c r="AU867" s="3" cm="1">
        <f t="array" ref="AU867">$C867*EXP(poly_from_str($AO867,AU$4341))</f>
        <v>0.22781342211687544</v>
      </c>
      <c r="AV867" s="13">
        <f>LN(AS867/AU867)</f>
        <v>-0.25942780276551275</v>
      </c>
    </row>
    <row r="868" spans="1:48" x14ac:dyDescent="0.25">
      <c r="A868">
        <v>4570.6210000000001</v>
      </c>
      <c r="B868" s="2" t="str">
        <f t="shared" si="587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588"/>
        <v>4570.6210000000001</v>
      </c>
      <c r="AB868" s="3">
        <f t="shared" si="589"/>
        <v>21872.73</v>
      </c>
      <c r="AC868" s="3" cm="1">
        <f t="array" ref="AC868">100000000/LvacE(AA868)</f>
        <v>21872.734964927706</v>
      </c>
      <c r="AD868" s="10">
        <f t="shared" si="590"/>
        <v>7.3927530815755347E-3</v>
      </c>
      <c r="AE868" s="10" t="b">
        <f t="shared" si="591"/>
        <v>1</v>
      </c>
      <c r="AP868"/>
      <c r="AQ868"/>
      <c r="AU868" s="3" cm="1">
        <f t="array" ref="AU868">$C868*EXP(poly_from_str(100000000/$E868,AU$4341))</f>
        <v>0.19513624974377108</v>
      </c>
    </row>
    <row r="869" spans="1:48" x14ac:dyDescent="0.25">
      <c r="A869">
        <v>4570.5150000000003</v>
      </c>
      <c r="B869" s="2" t="str">
        <f t="shared" si="587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588"/>
        <v>4570.5150000000003</v>
      </c>
      <c r="AB869" s="3">
        <f t="shared" si="589"/>
        <v>21873.24</v>
      </c>
      <c r="AC869" s="3" cm="1">
        <f t="array" ref="AC869">100000000/LvacE(AA869)</f>
        <v>21873.242232232111</v>
      </c>
      <c r="AD869" s="10">
        <f t="shared" si="590"/>
        <v>7.3928640680789928E-3</v>
      </c>
      <c r="AE869" s="10" t="b">
        <f t="shared" si="591"/>
        <v>1</v>
      </c>
      <c r="AJ869" t="s">
        <v>4802</v>
      </c>
      <c r="AK869" t="s">
        <v>4861</v>
      </c>
      <c r="AL869">
        <v>45805.95</v>
      </c>
      <c r="AM869">
        <v>67679.210000000006</v>
      </c>
      <c r="AN869" s="10" cm="1">
        <f t="array" ref="AN869">Lair(100000000/($AM869-$AL869))</f>
        <v>4570.5112868445485</v>
      </c>
      <c r="AO869" s="10">
        <f>100000000/($AM869-$AL869)</f>
        <v>4571.7922248443974</v>
      </c>
      <c r="AP869" s="12">
        <v>182000</v>
      </c>
      <c r="AQ869" s="3">
        <v>2.1999999999999999E-2</v>
      </c>
      <c r="AR869" s="3"/>
      <c r="AS869" s="13">
        <f>EXP(AR$4341*$AM869+AR$4342)*$AP869/(100000000/($AM869-$AL869))</f>
        <v>2.191051626900237E-2</v>
      </c>
      <c r="AT869" s="3"/>
      <c r="AU869" s="3" cm="1">
        <f t="array" ref="AU869">$C869*EXP(poly_from_str($AO869,AU$4341))</f>
        <v>0.26003080909718967</v>
      </c>
    </row>
    <row r="870" spans="1:48" x14ac:dyDescent="0.25">
      <c r="A870">
        <v>4555.7179999999998</v>
      </c>
      <c r="B870" s="2" t="str">
        <f t="shared" si="587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588"/>
        <v>4555.7179999999998</v>
      </c>
      <c r="AB870" s="3">
        <f t="shared" si="589"/>
        <v>21944.29</v>
      </c>
      <c r="AC870" s="3" cm="1">
        <f t="array" ref="AC870">100000000/LvacE(AA870)</f>
        <v>21944.285514935465</v>
      </c>
      <c r="AD870" s="10">
        <f t="shared" si="590"/>
        <v>7.4084332606776217E-3</v>
      </c>
      <c r="AE870" s="10" t="b">
        <f t="shared" si="591"/>
        <v>1</v>
      </c>
      <c r="AP870"/>
      <c r="AQ870"/>
      <c r="AU870" s="3" cm="1">
        <f t="array" ref="AU870">$C870*EXP(poly_from_str(100000000/$E870,AU$4341))</f>
        <v>0.12011015966395372</v>
      </c>
    </row>
    <row r="871" spans="1:48" x14ac:dyDescent="0.25">
      <c r="A871">
        <v>4555.451</v>
      </c>
      <c r="B871" s="2" t="str">
        <f t="shared" si="587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588"/>
        <v>4555.451</v>
      </c>
      <c r="AB871" s="3">
        <f t="shared" si="589"/>
        <v>21945.57</v>
      </c>
      <c r="AC871" s="3" cm="1">
        <f t="array" ref="AC871">100000000/LvacE(AA871)</f>
        <v>21945.57167295671</v>
      </c>
      <c r="AD871" s="10">
        <f t="shared" si="590"/>
        <v>7.4087155885286344E-3</v>
      </c>
      <c r="AE871" s="10" t="b">
        <f t="shared" si="591"/>
        <v>1</v>
      </c>
      <c r="AP871"/>
      <c r="AQ871"/>
      <c r="AU871" s="3" cm="1">
        <f t="array" ref="AU871">$C871*EXP(poly_from_str(100000000/$E871,AU$4341))</f>
        <v>2.9983861552071611E-2</v>
      </c>
    </row>
    <row r="872" spans="1:48" x14ac:dyDescent="0.25">
      <c r="A872">
        <v>4555.2139999999999</v>
      </c>
      <c r="B872" s="2" t="str">
        <f t="shared" si="587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588"/>
        <v>4555.2139999999999</v>
      </c>
      <c r="AB872" s="3">
        <f t="shared" si="589"/>
        <v>21946.71</v>
      </c>
      <c r="AC872" s="3" cm="1">
        <f t="array" ref="AC872">100000000/LvacE(AA872)</f>
        <v>21946.713445151974</v>
      </c>
      <c r="AD872" s="10">
        <f t="shared" si="590"/>
        <v>7.4089662357412819E-3</v>
      </c>
      <c r="AE872" s="10" t="b">
        <f t="shared" si="591"/>
        <v>1</v>
      </c>
      <c r="AP872"/>
      <c r="AQ872"/>
      <c r="AU872" s="3" cm="1">
        <f t="array" ref="AU872">$C872*EXP(poly_from_str(100000000/$E872,AU$4341))</f>
        <v>0.26950490332276272</v>
      </c>
    </row>
    <row r="873" spans="1:48" x14ac:dyDescent="0.25">
      <c r="A873">
        <v>4554.7969999999996</v>
      </c>
      <c r="B873" s="2" t="str">
        <f t="shared" si="587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588"/>
        <v>4554.7969999999996</v>
      </c>
      <c r="AB873" s="3">
        <f t="shared" si="589"/>
        <v>21948.720000000001</v>
      </c>
      <c r="AC873" s="3" cm="1">
        <f t="array" ref="AC873">100000000/LvacE(AA873)</f>
        <v>21948.722674549295</v>
      </c>
      <c r="AD873" s="10">
        <f t="shared" si="590"/>
        <v>7.4094073429122418E-3</v>
      </c>
      <c r="AE873" s="10" t="b">
        <f t="shared" si="591"/>
        <v>1</v>
      </c>
      <c r="AP873"/>
      <c r="AQ873"/>
      <c r="AU873" s="3" cm="1">
        <f t="array" ref="AU873">$C873*EXP(poly_from_str(100000000/$E873,AU$4341))</f>
        <v>5.9753034633675893E-2</v>
      </c>
    </row>
    <row r="874" spans="1:48" x14ac:dyDescent="0.25">
      <c r="A874">
        <v>4554.625</v>
      </c>
      <c r="B874" s="2" t="str">
        <f t="shared" si="587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588"/>
        <v>4554.625</v>
      </c>
      <c r="AB874" s="3">
        <f t="shared" si="589"/>
        <v>21949.55</v>
      </c>
      <c r="AC874" s="3" cm="1">
        <f t="array" ref="AC874">100000000/LvacE(AA874)</f>
        <v>21949.551528617038</v>
      </c>
      <c r="AD874" s="10">
        <f t="shared" si="590"/>
        <v>7.4095893216913622E-3</v>
      </c>
      <c r="AE874" s="10" t="b">
        <f t="shared" si="591"/>
        <v>1</v>
      </c>
      <c r="AP874"/>
      <c r="AQ874"/>
      <c r="AU874" s="3" cm="1">
        <f t="array" ref="AU874">$C874*EXP(poly_from_str(100000000/$E874,AU$4341))</f>
        <v>2.9848267447981774E-2</v>
      </c>
    </row>
    <row r="875" spans="1:48" x14ac:dyDescent="0.25">
      <c r="A875">
        <v>4551.8519999999999</v>
      </c>
      <c r="B875" s="2" t="str">
        <f t="shared" si="587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588"/>
        <v>4551.8519999999999</v>
      </c>
      <c r="AB875" s="3">
        <f t="shared" si="589"/>
        <v>21962.92</v>
      </c>
      <c r="AC875" s="3" cm="1">
        <f t="array" ref="AC875">100000000/LvacE(AA875)</f>
        <v>21962.923036407949</v>
      </c>
      <c r="AD875" s="10">
        <f t="shared" si="590"/>
        <v>7.4125260483433944E-3</v>
      </c>
      <c r="AE875" s="10" t="b">
        <f t="shared" si="591"/>
        <v>1</v>
      </c>
      <c r="AP875"/>
      <c r="AQ875"/>
      <c r="AU875" s="3" cm="1">
        <f t="array" ref="AU875">$C875*EXP(poly_from_str(100000000/$E875,AU$4341))</f>
        <v>8.8185589555004718E-2</v>
      </c>
    </row>
    <row r="876" spans="1:48" x14ac:dyDescent="0.25">
      <c r="A876">
        <v>4551.7839999999997</v>
      </c>
      <c r="B876" s="2" t="str">
        <f t="shared" si="587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588"/>
        <v>4551.7839999999997</v>
      </c>
      <c r="AB876" s="3">
        <f t="shared" si="589"/>
        <v>21963.25</v>
      </c>
      <c r="AC876" s="3" cm="1">
        <f t="array" ref="AC876">100000000/LvacE(AA876)</f>
        <v>21963.251139556956</v>
      </c>
      <c r="AD876" s="10">
        <f t="shared" si="590"/>
        <v>7.4125981307062196E-3</v>
      </c>
      <c r="AE876" s="10" t="b">
        <f t="shared" si="591"/>
        <v>1</v>
      </c>
      <c r="AP876"/>
      <c r="AQ876"/>
      <c r="AU876" s="3" cm="1">
        <f t="array" ref="AU876">$C876*EXP(poly_from_str(100000000/$E876,AU$4341))</f>
        <v>2.938406132089132E-2</v>
      </c>
    </row>
    <row r="877" spans="1:48" x14ac:dyDescent="0.25">
      <c r="A877">
        <v>4551.6880000000001</v>
      </c>
      <c r="B877" s="2" t="str">
        <f t="shared" si="587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588"/>
        <v>4551.6880000000001</v>
      </c>
      <c r="AB877" s="3">
        <f t="shared" si="589"/>
        <v>21963.71</v>
      </c>
      <c r="AC877" s="3" cm="1">
        <f t="array" ref="AC877">100000000/LvacE(AA877)</f>
        <v>21963.714360691709</v>
      </c>
      <c r="AD877" s="10">
        <f t="shared" si="590"/>
        <v>7.4126998995418525E-3</v>
      </c>
      <c r="AE877" s="10" t="b">
        <f t="shared" si="591"/>
        <v>1</v>
      </c>
      <c r="AJ877" t="s">
        <v>4765</v>
      </c>
      <c r="AK877" t="s">
        <v>4867</v>
      </c>
      <c r="AL877">
        <v>44903.42</v>
      </c>
      <c r="AM877">
        <v>66867.09</v>
      </c>
      <c r="AN877" s="10" cm="1">
        <f t="array" ref="AN877">Lair(100000000/($AM877-$AL877))</f>
        <v>4551.6971927668828</v>
      </c>
      <c r="AO877" s="10">
        <f>100000000/($AM877-$AL877)</f>
        <v>4552.9731597679265</v>
      </c>
      <c r="AP877" s="12">
        <v>369000</v>
      </c>
      <c r="AQ877" s="3">
        <v>5.8000000000000003E-2</v>
      </c>
      <c r="AR877" s="3">
        <f>LN(AU877*100000000/($AM877-$AL877)/AP877)</f>
        <v>-6.5365070130503309</v>
      </c>
      <c r="AS877" s="13">
        <f>EXP(AR$4341*$AM877+AR$4342)*$AP877/(100000000/($AM877-$AL877))</f>
        <v>4.7409777632409618E-2</v>
      </c>
      <c r="AT877" s="3">
        <f>LN(AS877/$C877)</f>
        <v>-4.4352211535088584</v>
      </c>
      <c r="AU877" s="3" cm="1">
        <f t="array" ref="AU877">$C877*EXP(poly_from_str($AO877,AU$4341))</f>
        <v>0.11747957030263582</v>
      </c>
      <c r="AV877" s="13">
        <f>LN(AS877/AU877)</f>
        <v>-0.90743596210914312</v>
      </c>
    </row>
    <row r="878" spans="1:48" x14ac:dyDescent="0.25">
      <c r="A878">
        <v>4549.0959999999995</v>
      </c>
      <c r="B878" s="2" t="str">
        <f t="shared" si="587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588"/>
        <v>4549.0959999999995</v>
      </c>
      <c r="AB878" s="3">
        <f t="shared" si="589"/>
        <v>21976.23</v>
      </c>
      <c r="AC878" s="3" cm="1">
        <f t="array" ref="AC878">100000000/LvacE(AA878)</f>
        <v>21976.228721341588</v>
      </c>
      <c r="AD878" s="10">
        <f t="shared" si="590"/>
        <v>7.4154500939682955E-3</v>
      </c>
      <c r="AE878" s="10" t="b">
        <f t="shared" si="591"/>
        <v>1</v>
      </c>
      <c r="AP878"/>
      <c r="AQ878"/>
      <c r="AU878" s="3" cm="1">
        <f t="array" ref="AU878">$C878*EXP(poly_from_str(100000000/$E878,AU$4341))</f>
        <v>0.17368743184283492</v>
      </c>
    </row>
    <row r="879" spans="1:48" x14ac:dyDescent="0.25">
      <c r="A879">
        <v>4548.9650000000001</v>
      </c>
      <c r="B879" s="2" t="str">
        <f t="shared" si="587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588"/>
        <v>4548.9650000000001</v>
      </c>
      <c r="AB879" s="3">
        <f t="shared" si="589"/>
        <v>21976.86</v>
      </c>
      <c r="AC879" s="3" cm="1">
        <f t="array" ref="AC879">100000000/LvacE(AA879)</f>
        <v>21976.861577263535</v>
      </c>
      <c r="AD879" s="10">
        <f t="shared" si="590"/>
        <v>7.4155892139490566E-3</v>
      </c>
      <c r="AE879" s="10" t="b">
        <f t="shared" si="591"/>
        <v>1</v>
      </c>
      <c r="AP879"/>
      <c r="AQ879"/>
      <c r="AU879" s="3" cm="1">
        <f t="array" ref="AU879">$C879*EXP(poly_from_str(100000000/$E879,AU$4341))</f>
        <v>0.26034144277501398</v>
      </c>
    </row>
    <row r="880" spans="1:48" x14ac:dyDescent="0.25">
      <c r="A880">
        <v>4548.7700000000004</v>
      </c>
      <c r="B880" s="2" t="str">
        <f t="shared" si="587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AA880" s="10">
        <f t="shared" si="588"/>
        <v>4548.7700000000004</v>
      </c>
      <c r="AB880" s="3">
        <f t="shared" si="589"/>
        <v>21977.8</v>
      </c>
      <c r="AC880" s="3" cm="1">
        <f t="array" ref="AC880">100000000/LvacE(AA880)</f>
        <v>21977.803682216556</v>
      </c>
      <c r="AD880" s="10">
        <f t="shared" si="590"/>
        <v>7.4157963232056746E-3</v>
      </c>
      <c r="AE880" s="10" t="b">
        <f t="shared" si="591"/>
        <v>1</v>
      </c>
      <c r="AJ880" t="s">
        <v>4983</v>
      </c>
      <c r="AK880" t="s">
        <v>4711</v>
      </c>
      <c r="AL880">
        <v>19046.09</v>
      </c>
      <c r="AM880">
        <v>41023.980000000003</v>
      </c>
      <c r="AN880" s="10" cm="1">
        <f t="array" ref="AN880">Lair(100000000/($AM880-$AL880))</f>
        <v>4548.7521339125096</v>
      </c>
      <c r="AO880" s="10">
        <f>100000000/($AM880-$AL880)</f>
        <v>4550.0273229140739</v>
      </c>
      <c r="AU880" s="3" cm="1">
        <f t="array" ref="AU880">$C880*EXP(poly_from_str($AO880,AU$4341))</f>
        <v>8.6677151355029819E-2</v>
      </c>
    </row>
    <row r="881" spans="1:48" x14ac:dyDescent="0.25">
      <c r="A881">
        <v>4547.7979999999998</v>
      </c>
      <c r="B881" s="2" t="str">
        <f t="shared" si="587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588"/>
        <v>4547.7979999999998</v>
      </c>
      <c r="AB881" s="3">
        <f t="shared" si="589"/>
        <v>21982.5</v>
      </c>
      <c r="AC881" s="3" cm="1">
        <f t="array" ref="AC881">100000000/LvacE(AA881)</f>
        <v>21982.500918065933</v>
      </c>
      <c r="AD881" s="10">
        <f t="shared" si="590"/>
        <v>7.4168290805864661E-3</v>
      </c>
      <c r="AE881" s="10" t="b">
        <f t="shared" si="591"/>
        <v>1</v>
      </c>
      <c r="AP881"/>
      <c r="AQ881"/>
      <c r="AU881" s="3" cm="1">
        <f t="array" ref="AU881">$C881*EXP(poly_from_str(100000000/$E881,AU$4341))</f>
        <v>0.22990802177329045</v>
      </c>
    </row>
    <row r="882" spans="1:48" x14ac:dyDescent="0.25">
      <c r="A882">
        <v>4547.2610000000004</v>
      </c>
      <c r="B882" s="2" t="str">
        <f t="shared" si="587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588"/>
        <v>4547.2610000000004</v>
      </c>
      <c r="AB882" s="3">
        <f t="shared" si="589"/>
        <v>21985.1</v>
      </c>
      <c r="AC882" s="3" cm="1">
        <f t="array" ref="AC882">100000000/LvacE(AA882)</f>
        <v>21985.096857045788</v>
      </c>
      <c r="AD882" s="10">
        <f t="shared" si="590"/>
        <v>7.4173999311943819E-3</v>
      </c>
      <c r="AE882" s="10" t="b">
        <f t="shared" si="591"/>
        <v>1</v>
      </c>
      <c r="AP882"/>
      <c r="AQ882"/>
      <c r="AU882" s="3" cm="1">
        <f t="array" ref="AU882">$C882*EXP(poly_from_str(100000000/$E882,AU$4341))</f>
        <v>0.14325957706888995</v>
      </c>
    </row>
    <row r="883" spans="1:48" x14ac:dyDescent="0.25">
      <c r="A883">
        <v>4540.4960000000001</v>
      </c>
      <c r="B883" s="2" t="str">
        <f t="shared" si="587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588"/>
        <v>4540.4960000000001</v>
      </c>
      <c r="AB883" s="3">
        <f t="shared" si="589"/>
        <v>22017.85</v>
      </c>
      <c r="AC883" s="3" cm="1">
        <f t="array" ref="AC883">100000000/LvacE(AA883)</f>
        <v>22017.852478680335</v>
      </c>
      <c r="AD883" s="10">
        <f t="shared" si="590"/>
        <v>7.4246087298260295E-3</v>
      </c>
      <c r="AE883" s="10" t="b">
        <f t="shared" si="591"/>
        <v>1</v>
      </c>
      <c r="AP883"/>
      <c r="AQ883"/>
      <c r="AU883" s="3" cm="1">
        <f t="array" ref="AU883">$C883*EXP(poly_from_str(100000000/$E883,AU$4341))</f>
        <v>0.1654423122721034</v>
      </c>
    </row>
    <row r="884" spans="1:48" x14ac:dyDescent="0.25">
      <c r="A884">
        <v>4539.973</v>
      </c>
      <c r="B884" s="2" t="str">
        <f t="shared" si="587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588"/>
        <v>4539.973</v>
      </c>
      <c r="AB884" s="3">
        <f t="shared" si="589"/>
        <v>22020.39</v>
      </c>
      <c r="AC884" s="3" cm="1">
        <f t="array" ref="AC884">100000000/LvacE(AA884)</f>
        <v>22020.388870407278</v>
      </c>
      <c r="AD884" s="10">
        <f t="shared" si="590"/>
        <v>7.425167382097567E-3</v>
      </c>
      <c r="AE884" s="10" t="b">
        <f t="shared" si="591"/>
        <v>1</v>
      </c>
      <c r="AP884"/>
      <c r="AQ884"/>
      <c r="AU884" s="3" cm="1">
        <f t="array" ref="AU884">$C884*EXP(poly_from_str(100000000/$E884,AU$4341))</f>
        <v>8.2473208334232773E-2</v>
      </c>
    </row>
    <row r="885" spans="1:48" x14ac:dyDescent="0.25">
      <c r="A885">
        <v>4539.0559999999996</v>
      </c>
      <c r="B885" s="2" t="str">
        <f t="shared" si="587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592">$G885&amp;""</f>
        <v>o</v>
      </c>
      <c r="N885" t="str">
        <f t="shared" ref="N885:N886" si="593">$H885&amp;""</f>
        <v>3/2</v>
      </c>
      <c r="O885">
        <v>39120.49</v>
      </c>
      <c r="P885" t="str">
        <f t="shared" ref="P885:P886" si="594">$J885&amp;""</f>
        <v>e</v>
      </c>
      <c r="Q885" t="str">
        <f t="shared" ref="Q885:Q886" si="595">$K885&amp;""</f>
        <v>3/2</v>
      </c>
      <c r="R885">
        <v>9</v>
      </c>
      <c r="AA885" s="10">
        <f t="shared" si="588"/>
        <v>4539.0559999999996</v>
      </c>
      <c r="AB885" s="3">
        <f t="shared" si="589"/>
        <v>22024.84</v>
      </c>
      <c r="AC885" s="3" cm="1">
        <f t="array" ref="AC885">100000000/LvacE(AA885)</f>
        <v>22024.837453713582</v>
      </c>
      <c r="AD885" s="10">
        <f t="shared" si="590"/>
        <v>7.4261473590228437E-3</v>
      </c>
      <c r="AE885" s="10" t="b">
        <f t="shared" si="591"/>
        <v>1</v>
      </c>
      <c r="AJ885" t="s">
        <v>4856</v>
      </c>
      <c r="AK885" t="s">
        <v>4733</v>
      </c>
      <c r="AL885">
        <v>17095.63</v>
      </c>
      <c r="AM885">
        <v>39120.400000000001</v>
      </c>
      <c r="AN885" s="10" cm="1">
        <f t="array" ref="AN885">Lair(100000000/($AM885-$AL885))</f>
        <v>4539.0699010275075</v>
      </c>
      <c r="AO885" s="10">
        <f t="shared" ref="AO885:AO886" si="596">100000000/($AM885-$AL885)</f>
        <v>4540.3425325213384</v>
      </c>
      <c r="AU885" s="3" cm="1">
        <f t="array" ref="AU885">$C885*EXP(poly_from_str($AO885,AU$4341))</f>
        <v>0.82046638857283383</v>
      </c>
    </row>
    <row r="886" spans="1:48" x14ac:dyDescent="0.25">
      <c r="A886">
        <v>4535.13</v>
      </c>
      <c r="B886" s="2" t="str">
        <f t="shared" si="587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592"/>
        <v>o</v>
      </c>
      <c r="N886" t="str">
        <f t="shared" si="593"/>
        <v>11/2</v>
      </c>
      <c r="O886">
        <v>23442.25</v>
      </c>
      <c r="P886" t="str">
        <f t="shared" si="594"/>
        <v>e</v>
      </c>
      <c r="Q886" t="str">
        <f t="shared" si="595"/>
        <v>11/2</v>
      </c>
      <c r="R886">
        <v>9</v>
      </c>
      <c r="S886" t="s">
        <v>6</v>
      </c>
      <c r="AA886" s="10">
        <f t="shared" si="588"/>
        <v>4535.13</v>
      </c>
      <c r="AB886" s="3">
        <f t="shared" si="589"/>
        <v>22043.9</v>
      </c>
      <c r="AC886" s="3" cm="1">
        <f t="array" ref="AC886">100000000/LvacE(AA886)</f>
        <v>22043.903744167696</v>
      </c>
      <c r="AD886" s="10">
        <f t="shared" si="590"/>
        <v>7.4303497081856188E-3</v>
      </c>
      <c r="AE886" s="10" t="b">
        <f t="shared" si="591"/>
        <v>1</v>
      </c>
      <c r="AJ886" t="s">
        <v>4826</v>
      </c>
      <c r="AK886" t="s">
        <v>4782</v>
      </c>
      <c r="AL886">
        <v>1398.34</v>
      </c>
      <c r="AM886">
        <v>23442.25</v>
      </c>
      <c r="AN886" s="10" cm="1">
        <f t="array" ref="AN886">Lair(100000000/($AM886-$AL886))</f>
        <v>4535.1287122852254</v>
      </c>
      <c r="AO886" s="10">
        <f t="shared" si="596"/>
        <v>4536.4003028500847</v>
      </c>
      <c r="AP886" s="12">
        <v>288000</v>
      </c>
      <c r="AQ886" s="3">
        <v>8.5999999999999993E-2</v>
      </c>
      <c r="AR886" s="3">
        <f>LN(AU886*100000000/($AM886-$AL886)/AP886)</f>
        <v>-4.5538270617940411</v>
      </c>
      <c r="AS886" s="13">
        <f>EXP(AR$4341*$AM886+AR$4342)*$AP886/(100000000/($AM886-$AL886))</f>
        <v>0.96635620812289558</v>
      </c>
      <c r="AT886" s="3">
        <f>LN(AS886/$C886)</f>
        <v>-3.2530985921388855</v>
      </c>
      <c r="AU886" s="3" cm="1">
        <f t="array" ref="AU886">$C886*EXP(poly_from_str($AO886,AU$4341))</f>
        <v>0.66831183575660058</v>
      </c>
      <c r="AV886" s="13">
        <f>LN(AS886/AU886)</f>
        <v>0.36877762710645112</v>
      </c>
    </row>
    <row r="887" spans="1:48" x14ac:dyDescent="0.25">
      <c r="A887">
        <v>4531.4179999999997</v>
      </c>
      <c r="B887" s="2" t="str">
        <f t="shared" si="587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588"/>
        <v>4531.4179999999997</v>
      </c>
      <c r="AB887" s="3">
        <f t="shared" si="589"/>
        <v>22061.96</v>
      </c>
      <c r="AC887" s="3" cm="1">
        <f t="array" ref="AC887">100000000/LvacE(AA887)</f>
        <v>22061.961146452533</v>
      </c>
      <c r="AD887" s="10">
        <f t="shared" si="590"/>
        <v>7.4343330439227339E-3</v>
      </c>
      <c r="AE887" s="10" t="b">
        <f t="shared" si="591"/>
        <v>1</v>
      </c>
      <c r="AP887"/>
      <c r="AQ887"/>
      <c r="AU887" s="3" cm="1">
        <f t="array" ref="AU887">$C887*EXP(poly_from_str(100000000/$E887,AU$4341))</f>
        <v>0.10463437596878772</v>
      </c>
    </row>
    <row r="888" spans="1:48" x14ac:dyDescent="0.25">
      <c r="A888">
        <v>4526.9139999999998</v>
      </c>
      <c r="B888" s="2" t="str">
        <f t="shared" si="587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588"/>
        <v>4526.9139999999998</v>
      </c>
      <c r="AB888" s="3">
        <f t="shared" si="589"/>
        <v>22083.91</v>
      </c>
      <c r="AC888" s="3" cm="1">
        <f t="array" ref="AC888">100000000/LvacE(AA888)</f>
        <v>22083.911077678615</v>
      </c>
      <c r="AD888" s="10">
        <f t="shared" si="590"/>
        <v>7.4391794363310873E-3</v>
      </c>
      <c r="AE888" s="10" t="b">
        <f t="shared" si="591"/>
        <v>1</v>
      </c>
      <c r="AJ888" t="s">
        <v>4978</v>
      </c>
      <c r="AK888" t="s">
        <v>4745</v>
      </c>
      <c r="AL888">
        <v>17642.060000000001</v>
      </c>
      <c r="AM888">
        <v>39725.99</v>
      </c>
      <c r="AN888" s="10" cm="1">
        <f t="array" ref="AN888">Lair(100000000/($AM888-$AL888))</f>
        <v>4526.9101203865957</v>
      </c>
      <c r="AO888" s="10">
        <f>100000000/($AM888-$AL888)</f>
        <v>4528.17954050751</v>
      </c>
      <c r="AU888" s="3" cm="1">
        <f t="array" ref="AU888">$C888*EXP(poly_from_str($AO888,AU$4341))</f>
        <v>0.63674735368136648</v>
      </c>
    </row>
    <row r="889" spans="1:48" x14ac:dyDescent="0.25">
      <c r="A889">
        <v>4525.1450000000004</v>
      </c>
      <c r="B889" s="2" t="str">
        <f t="shared" si="587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588"/>
        <v>4525.1450000000004</v>
      </c>
      <c r="AB889" s="3">
        <f t="shared" si="589"/>
        <v>22092.54</v>
      </c>
      <c r="AC889" s="3" cm="1">
        <f t="array" ref="AC889">100000000/LvacE(AA889)</f>
        <v>22092.544127053308</v>
      </c>
      <c r="AD889" s="10">
        <f t="shared" si="590"/>
        <v>7.4410868742386498E-3</v>
      </c>
      <c r="AE889" s="10" t="b">
        <f t="shared" si="591"/>
        <v>1</v>
      </c>
      <c r="AP889"/>
      <c r="AQ889"/>
      <c r="AU889" s="3" cm="1">
        <f t="array" ref="AU889">$C889*EXP(poly_from_str(100000000/$E889,AU$4341))</f>
        <v>0.12601476169756531</v>
      </c>
    </row>
    <row r="890" spans="1:48" x14ac:dyDescent="0.25">
      <c r="A890">
        <v>4519.3670000000002</v>
      </c>
      <c r="B890" s="2" t="str">
        <f t="shared" si="587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588"/>
        <v>4519.3670000000002</v>
      </c>
      <c r="AB890" s="3">
        <f t="shared" si="589"/>
        <v>22120.79</v>
      </c>
      <c r="AC890" s="3" cm="1">
        <f t="array" ref="AC890">100000000/LvacE(AA890)</f>
        <v>22120.788929690127</v>
      </c>
      <c r="AD890" s="10">
        <f t="shared" si="590"/>
        <v>7.4473326607122333E-3</v>
      </c>
      <c r="AE890" s="10" t="b">
        <f t="shared" si="591"/>
        <v>1</v>
      </c>
      <c r="AJ890" t="s">
        <v>4971</v>
      </c>
      <c r="AK890" t="s">
        <v>4835</v>
      </c>
      <c r="AL890">
        <v>45844.65</v>
      </c>
      <c r="AM890">
        <v>67965.47</v>
      </c>
      <c r="AN890" s="10" cm="1">
        <f t="array" ref="AN890">Lair(100000000/($AM890-$AL890))</f>
        <v>4519.3606513418054</v>
      </c>
      <c r="AO890" s="10">
        <f>100000000/($AM890-$AL890)</f>
        <v>4520.6280779826429</v>
      </c>
      <c r="AP890" s="12">
        <v>602000</v>
      </c>
      <c r="AQ890" s="3">
        <v>6.4000000000000001E-2</v>
      </c>
      <c r="AR890" s="3">
        <f>LN(AU890*100000000/($AM890-$AL890)/AP890)</f>
        <v>-7.9141766216098883</v>
      </c>
      <c r="AS890" s="13">
        <f>EXP(AR$4341*$AM890+AR$4342)*$AP890/(100000000/($AM890-$AL890))</f>
        <v>7.1735729976443993E-2</v>
      </c>
      <c r="AT890" s="3">
        <f>LN(AS890/$C890)</f>
        <v>-3.3279135100283934</v>
      </c>
      <c r="AU890" s="3" cm="1">
        <f t="array" ref="AU890">$C890*EXP(poly_from_str($AO890,AU$4341))</f>
        <v>4.8675954619867075E-2</v>
      </c>
      <c r="AV890" s="13">
        <f>LN(AS890/AU890)</f>
        <v>0.38780378632925949</v>
      </c>
    </row>
    <row r="891" spans="1:48" x14ac:dyDescent="0.25">
      <c r="A891">
        <v>4513.4080000000004</v>
      </c>
      <c r="B891" s="2" t="str">
        <f t="shared" si="587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588"/>
        <v>4513.4080000000004</v>
      </c>
      <c r="AB891" s="3">
        <f t="shared" si="589"/>
        <v>22149.99</v>
      </c>
      <c r="AC891" s="3" cm="1">
        <f t="array" ref="AC891">100000000/LvacE(AA891)</f>
        <v>22149.994269816172</v>
      </c>
      <c r="AD891" s="10">
        <f t="shared" si="590"/>
        <v>7.4537992432565561E-3</v>
      </c>
      <c r="AE891" s="10" t="b">
        <f t="shared" si="591"/>
        <v>1</v>
      </c>
      <c r="AP891"/>
      <c r="AQ891"/>
      <c r="AU891" s="3" cm="1">
        <f t="array" ref="AU891">$C891*EXP(poly_from_str(100000000/$E891,AU$4341))</f>
        <v>0.18771912307509314</v>
      </c>
    </row>
    <row r="892" spans="1:48" x14ac:dyDescent="0.25">
      <c r="A892" t="s">
        <v>1320</v>
      </c>
      <c r="B892" s="2" t="str">
        <f t="shared" si="587"/>
        <v/>
      </c>
      <c r="C892">
        <v>9</v>
      </c>
      <c r="E892" t="s">
        <v>1321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588"/>
        <v>4508.7529999999997</v>
      </c>
      <c r="AB892" s="3">
        <f t="shared" si="589"/>
        <v>22172.86</v>
      </c>
      <c r="AC892" s="3" cm="1">
        <f t="array" ref="AC892">100000000/LvacE(AA892)</f>
        <v>22172.862350052223</v>
      </c>
      <c r="AD892" s="10">
        <f t="shared" si="590"/>
        <v>7.4588685995941924E-3</v>
      </c>
      <c r="AE892" s="10" t="b">
        <f t="shared" si="591"/>
        <v>1</v>
      </c>
      <c r="AJ892" t="s">
        <v>4806</v>
      </c>
      <c r="AK892" t="s">
        <v>4830</v>
      </c>
      <c r="AL892">
        <v>44679.98</v>
      </c>
      <c r="AM892">
        <v>66852.87</v>
      </c>
      <c r="AN892" s="10" cm="1">
        <f t="array" ref="AN892">Lair(100000000/($AM892-$AL892))</f>
        <v>4508.7473765797731</v>
      </c>
      <c r="AO892" s="10">
        <f>100000000/($AM892-$AL892)</f>
        <v>4510.0120011419367</v>
      </c>
      <c r="AP892" s="12">
        <v>496000</v>
      </c>
      <c r="AQ892" s="3">
        <v>2.7E-2</v>
      </c>
      <c r="AR892" s="3"/>
      <c r="AS892" s="13">
        <f>EXP(AR$4341*$AM892+AR$4342)*$AP892/(100000000/($AM892-$AL892))</f>
        <v>6.4402701497859399E-2</v>
      </c>
      <c r="AT892" s="3"/>
      <c r="AU892" s="3" cm="1">
        <f t="array" ref="AU892">$C892*EXP(poly_from_str($AO892,AU$4341))</f>
        <v>0.20513855718262566</v>
      </c>
    </row>
    <row r="893" spans="1:48" x14ac:dyDescent="0.25">
      <c r="A893" t="s">
        <v>1322</v>
      </c>
      <c r="B893" s="2" t="str">
        <f t="shared" si="587"/>
        <v/>
      </c>
      <c r="C893">
        <v>9</v>
      </c>
      <c r="E893" t="s">
        <v>1323</v>
      </c>
      <c r="R893">
        <v>10</v>
      </c>
      <c r="S893" t="s">
        <v>22</v>
      </c>
      <c r="AA893" s="10">
        <f t="shared" si="588"/>
        <v>4504.7870000000003</v>
      </c>
      <c r="AB893" s="3">
        <f t="shared" si="589"/>
        <v>22192.38</v>
      </c>
      <c r="AC893" s="3" cm="1">
        <f t="array" ref="AC893">100000000/LvacE(AA893)</f>
        <v>22192.382944704437</v>
      </c>
      <c r="AD893" s="10">
        <f t="shared" si="590"/>
        <v>7.463200029735528E-3</v>
      </c>
      <c r="AE893" s="10" t="b">
        <f t="shared" si="591"/>
        <v>1</v>
      </c>
      <c r="AP893"/>
      <c r="AQ893"/>
      <c r="AU893" s="3" cm="1">
        <f t="array" ref="AU893">$C893*EXP(poly_from_str(100000000/$E893,AU$4341))</f>
        <v>0.20007925001177976</v>
      </c>
    </row>
    <row r="894" spans="1:48" x14ac:dyDescent="0.25">
      <c r="A894" t="s">
        <v>1324</v>
      </c>
      <c r="B894" s="2" t="str">
        <f t="shared" si="587"/>
        <v/>
      </c>
      <c r="C894">
        <v>7</v>
      </c>
      <c r="D894" t="s">
        <v>1156</v>
      </c>
      <c r="E894" t="s">
        <v>1325</v>
      </c>
      <c r="R894">
        <v>10</v>
      </c>
      <c r="S894" t="s">
        <v>22</v>
      </c>
      <c r="AA894" s="10">
        <f t="shared" si="588"/>
        <v>4504.3109999999997</v>
      </c>
      <c r="AB894" s="3">
        <f t="shared" si="589"/>
        <v>22194.73</v>
      </c>
      <c r="AC894" s="3" cm="1">
        <f t="array" ref="AC894">100000000/LvacE(AA894)</f>
        <v>22194.728120215452</v>
      </c>
      <c r="AD894" s="10">
        <f t="shared" si="590"/>
        <v>7.4637206578559356E-3</v>
      </c>
      <c r="AE894" s="10" t="b">
        <f t="shared" si="591"/>
        <v>1</v>
      </c>
      <c r="AP894"/>
      <c r="AQ894"/>
      <c r="AU894" s="3" cm="1">
        <f t="array" ref="AU894">$C894*EXP(poly_from_str(100000000/$E894,AU$4341))</f>
        <v>0.15514689560034087</v>
      </c>
    </row>
    <row r="895" spans="1:48" x14ac:dyDescent="0.25">
      <c r="A895" t="s">
        <v>1326</v>
      </c>
      <c r="B895" s="2" t="str">
        <f t="shared" si="587"/>
        <v/>
      </c>
      <c r="C895">
        <v>7</v>
      </c>
      <c r="E895" t="s">
        <v>1327</v>
      </c>
      <c r="R895">
        <v>10</v>
      </c>
      <c r="S895" t="s">
        <v>22</v>
      </c>
      <c r="AA895" s="10">
        <f t="shared" si="588"/>
        <v>4502.0770000000002</v>
      </c>
      <c r="AB895" s="3">
        <f t="shared" si="589"/>
        <v>22205.74</v>
      </c>
      <c r="AC895" s="3" cm="1">
        <f t="array" ref="AC895">100000000/LvacE(AA895)</f>
        <v>22205.741304393126</v>
      </c>
      <c r="AD895" s="10">
        <f t="shared" si="590"/>
        <v>7.4661663166126577E-3</v>
      </c>
      <c r="AE895" s="10" t="b">
        <f t="shared" si="591"/>
        <v>1</v>
      </c>
      <c r="AP895"/>
      <c r="AQ895"/>
      <c r="AU895" s="3" cm="1">
        <f t="array" ref="AU895">$C895*EXP(poly_from_str(100000000/$E895,AU$4341))</f>
        <v>0.15295545353386514</v>
      </c>
    </row>
    <row r="896" spans="1:48" x14ac:dyDescent="0.25">
      <c r="A896" t="s">
        <v>1328</v>
      </c>
      <c r="B896" s="2" t="str">
        <f t="shared" si="587"/>
        <v/>
      </c>
      <c r="C896">
        <v>3</v>
      </c>
      <c r="E896" t="s">
        <v>1329</v>
      </c>
      <c r="R896">
        <v>10</v>
      </c>
      <c r="S896" t="s">
        <v>22</v>
      </c>
      <c r="AA896" s="10">
        <f t="shared" si="588"/>
        <v>4501.0950000000003</v>
      </c>
      <c r="AB896" s="3">
        <f t="shared" si="589"/>
        <v>22210.59</v>
      </c>
      <c r="AC896" s="3" cm="1">
        <f t="array" ref="AC896">100000000/LvacE(AA896)</f>
        <v>22210.585831635868</v>
      </c>
      <c r="AD896" s="10">
        <f t="shared" si="590"/>
        <v>7.4672425078381888E-3</v>
      </c>
      <c r="AE896" s="10" t="b">
        <f t="shared" si="591"/>
        <v>1</v>
      </c>
      <c r="AP896"/>
      <c r="AQ896"/>
      <c r="AU896" s="3" cm="1">
        <f t="array" ref="AU896">$C896*EXP(poly_from_str(100000000/$E896,AU$4341))</f>
        <v>6.5141298748619514E-2</v>
      </c>
    </row>
    <row r="897" spans="1:48" x14ac:dyDescent="0.25">
      <c r="A897" t="s">
        <v>1330</v>
      </c>
      <c r="B897" s="2" t="str">
        <f t="shared" si="587"/>
        <v/>
      </c>
      <c r="C897">
        <v>9</v>
      </c>
      <c r="D897" t="s">
        <v>14</v>
      </c>
      <c r="E897" t="s">
        <v>1331</v>
      </c>
      <c r="R897">
        <v>10</v>
      </c>
      <c r="S897" t="s">
        <v>22</v>
      </c>
      <c r="AA897" s="10">
        <f t="shared" si="588"/>
        <v>4500.8389999999999</v>
      </c>
      <c r="AB897" s="3">
        <f t="shared" si="589"/>
        <v>22211.85</v>
      </c>
      <c r="AC897" s="3" cm="1">
        <f t="array" ref="AC897">100000000/LvacE(AA897)</f>
        <v>22211.849110754047</v>
      </c>
      <c r="AD897" s="10">
        <f t="shared" si="590"/>
        <v>7.467523178540051E-3</v>
      </c>
      <c r="AE897" s="10" t="b">
        <f t="shared" si="591"/>
        <v>1</v>
      </c>
      <c r="AP897"/>
      <c r="AQ897"/>
      <c r="AU897" s="3" cm="1">
        <f t="array" ref="AU897">$C897*EXP(poly_from_str(100000000/$E897,AU$4341))</f>
        <v>0.19510434662013176</v>
      </c>
    </row>
    <row r="898" spans="1:48" x14ac:dyDescent="0.25">
      <c r="A898" t="s">
        <v>1332</v>
      </c>
      <c r="B898" s="2" t="str">
        <f t="shared" si="587"/>
        <v/>
      </c>
      <c r="C898">
        <v>300</v>
      </c>
      <c r="D898" t="s">
        <v>14</v>
      </c>
      <c r="E898" t="s">
        <v>1333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588"/>
        <v>4500.3109999999997</v>
      </c>
      <c r="AB898" s="3">
        <f t="shared" si="589"/>
        <v>22214.45</v>
      </c>
      <c r="AC898" s="3" cm="1">
        <f t="array" ref="AC898">100000000/LvacE(AA898)</f>
        <v>22214.455077830233</v>
      </c>
      <c r="AD898" s="10">
        <f t="shared" si="590"/>
        <v>7.468102213139296E-3</v>
      </c>
      <c r="AE898" s="10" t="b">
        <f t="shared" si="591"/>
        <v>1</v>
      </c>
      <c r="AJ898" t="s">
        <v>4767</v>
      </c>
      <c r="AK898" t="s">
        <v>4764</v>
      </c>
      <c r="AL898">
        <v>15705.13</v>
      </c>
      <c r="AM898">
        <v>37919.58</v>
      </c>
      <c r="AN898" s="10" cm="1">
        <f t="array" ref="AN898">Lair(100000000/($AM898-$AL898))</f>
        <v>4500.3120278139468</v>
      </c>
      <c r="AO898" s="10">
        <f>100000000/($AM898-$AL898)</f>
        <v>4501.5744256553717</v>
      </c>
      <c r="AP898" s="12">
        <v>8980000</v>
      </c>
      <c r="AQ898" s="3">
        <v>0.115</v>
      </c>
      <c r="AR898" s="3">
        <f>LN(AU898*100000000/($AM898-$AL898)/AP898)</f>
        <v>-5.7293707949365809</v>
      </c>
      <c r="AS898" s="13">
        <f>EXP(AR$4341*$AM898+AR$4342)*$AP898/(100000000/($AM898-$AL898))</f>
        <v>10.245123234735491</v>
      </c>
      <c r="AT898" s="3">
        <f>LN(AS898/$C898)</f>
        <v>-3.3769806642689675</v>
      </c>
      <c r="AU898" s="3" cm="1">
        <f t="array" ref="AU898">$C898*EXP(poly_from_str($AO898,AU$4341))</f>
        <v>6.4815336607765781</v>
      </c>
      <c r="AV898" s="13">
        <f>LN(AS898/AU898)</f>
        <v>0.45784465198063901</v>
      </c>
    </row>
    <row r="899" spans="1:48" x14ac:dyDescent="0.25">
      <c r="A899" t="s">
        <v>1334</v>
      </c>
      <c r="B899" s="2" t="str">
        <f t="shared" ref="B899:B962" si="597">IF(OR(A899=A898,A899=A900),IF(B898="",1,B898+1),"")</f>
        <v/>
      </c>
      <c r="C899">
        <v>20</v>
      </c>
      <c r="E899" t="s">
        <v>1335</v>
      </c>
      <c r="R899">
        <v>10</v>
      </c>
      <c r="S899" t="s">
        <v>22</v>
      </c>
      <c r="AA899" s="10">
        <f t="shared" ref="AA899:AA962" si="598">ROUND($A899,3)+0</f>
        <v>4500.0079999999998</v>
      </c>
      <c r="AB899" s="3">
        <f t="shared" ref="AB899:AB962" si="599">ROUND($E899,2)+0</f>
        <v>22215.95</v>
      </c>
      <c r="AC899" s="3" cm="1">
        <f t="array" ref="AC899">100000000/LvacE(AA899)</f>
        <v>22215.950823728439</v>
      </c>
      <c r="AD899" s="10">
        <f t="shared" ref="AD899:AD962" si="600">0.0005/$AA899*AC899+0.005</f>
        <v>7.4684345920861071E-3</v>
      </c>
      <c r="AE899" s="10" t="b">
        <f t="shared" ref="AE899:AE962" si="601">ABS(AB899-AC899)&lt;AD899</f>
        <v>1</v>
      </c>
      <c r="AP899"/>
      <c r="AQ899"/>
      <c r="AU899" s="3" cm="1">
        <f t="array" ref="AU899">$C899*EXP(poly_from_str(100000000/$E899,AU$4341))</f>
        <v>0.43125965451424059</v>
      </c>
    </row>
    <row r="900" spans="1:48" x14ac:dyDescent="0.25">
      <c r="A900" t="s">
        <v>1336</v>
      </c>
      <c r="B900" s="2" t="str">
        <f t="shared" si="597"/>
        <v/>
      </c>
      <c r="C900">
        <v>20</v>
      </c>
      <c r="E900" t="s">
        <v>1337</v>
      </c>
      <c r="R900">
        <v>10</v>
      </c>
      <c r="S900" t="s">
        <v>22</v>
      </c>
      <c r="AA900" s="10">
        <f t="shared" si="598"/>
        <v>4499.8440000000001</v>
      </c>
      <c r="AB900" s="3">
        <f t="shared" si="599"/>
        <v>22216.76</v>
      </c>
      <c r="AC900" s="3" cm="1">
        <f t="array" ref="AC900">100000000/LvacE(AA900)</f>
        <v>22216.760486383373</v>
      </c>
      <c r="AD900" s="10">
        <f t="shared" si="600"/>
        <v>7.4686145215682332E-3</v>
      </c>
      <c r="AE900" s="10" t="b">
        <f t="shared" si="601"/>
        <v>1</v>
      </c>
      <c r="AP900"/>
      <c r="AQ900"/>
      <c r="AU900" s="3" cm="1">
        <f t="array" ref="AU900">$C900*EXP(poly_from_str(100000000/$E900,AU$4341))</f>
        <v>0.43080509193344746</v>
      </c>
    </row>
    <row r="901" spans="1:48" x14ac:dyDescent="0.25">
      <c r="A901" t="s">
        <v>1338</v>
      </c>
      <c r="B901" s="2" t="str">
        <f t="shared" si="597"/>
        <v/>
      </c>
      <c r="C901">
        <v>3</v>
      </c>
      <c r="E901" t="s">
        <v>1339</v>
      </c>
      <c r="R901">
        <v>10</v>
      </c>
      <c r="S901" t="s">
        <v>22</v>
      </c>
      <c r="AA901" s="10">
        <f t="shared" si="598"/>
        <v>4491.2569999999996</v>
      </c>
      <c r="AB901" s="3">
        <f t="shared" si="599"/>
        <v>22259.24</v>
      </c>
      <c r="AC901" s="3" cm="1">
        <f t="array" ref="AC901">100000000/LvacE(AA901)</f>
        <v>22259.236825507203</v>
      </c>
      <c r="AD901" s="10">
        <f t="shared" si="600"/>
        <v>7.4780631375032875E-3</v>
      </c>
      <c r="AE901" s="10" t="b">
        <f t="shared" si="601"/>
        <v>1</v>
      </c>
      <c r="AP901"/>
      <c r="AQ901"/>
      <c r="AU901" s="3" cm="1">
        <f t="array" ref="AU901">$C901*EXP(poly_from_str(100000000/$E901,AU$4341))</f>
        <v>6.1109220951460305E-2</v>
      </c>
    </row>
    <row r="902" spans="1:48" x14ac:dyDescent="0.25">
      <c r="A902" t="s">
        <v>1340</v>
      </c>
      <c r="B902" s="2" t="str">
        <f t="shared" si="597"/>
        <v/>
      </c>
      <c r="C902">
        <v>90</v>
      </c>
      <c r="E902" t="s">
        <v>1341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602">$G902&amp;""</f>
        <v>o</v>
      </c>
      <c r="N902" t="str">
        <f t="shared" ref="N902:N903" si="603">$H902&amp;""</f>
        <v>9/2</v>
      </c>
      <c r="O902">
        <v>39024.269999999997</v>
      </c>
      <c r="P902" t="str">
        <f t="shared" ref="P902:P903" si="604">$J902&amp;""</f>
        <v>e</v>
      </c>
      <c r="Q902" t="str">
        <f t="shared" ref="Q902:Q903" si="605">$K902&amp;""</f>
        <v>9/2</v>
      </c>
      <c r="R902">
        <v>10</v>
      </c>
      <c r="S902" t="s">
        <v>6</v>
      </c>
      <c r="AA902" s="10">
        <f t="shared" si="598"/>
        <v>4491.0540000000001</v>
      </c>
      <c r="AB902" s="3">
        <f t="shared" si="599"/>
        <v>22260.240000000002</v>
      </c>
      <c r="AC902" s="3" cm="1">
        <f t="array" ref="AC902">100000000/LvacE(AA902)</f>
        <v>22260.242947895273</v>
      </c>
      <c r="AD902" s="10">
        <f t="shared" si="600"/>
        <v>7.4782871624228158E-3</v>
      </c>
      <c r="AE902" s="10" t="b">
        <f t="shared" si="601"/>
        <v>1</v>
      </c>
      <c r="AJ902" t="s">
        <v>4985</v>
      </c>
      <c r="AK902" t="s">
        <v>4702</v>
      </c>
      <c r="AL902">
        <v>16763.98</v>
      </c>
      <c r="AM902">
        <v>39024.269999999997</v>
      </c>
      <c r="AN902" s="10" cm="1">
        <f t="array" ref="AN902">Lair(100000000/($AM902-$AL902))</f>
        <v>4491.0445060408656</v>
      </c>
      <c r="AO902" s="10">
        <f t="shared" ref="AO902:AO903" si="606">100000000/($AM902-$AL902)</f>
        <v>4492.3044578484833</v>
      </c>
      <c r="AP902" s="12">
        <v>1120000</v>
      </c>
      <c r="AQ902" s="3">
        <v>0.05</v>
      </c>
      <c r="AR902" s="3">
        <f>LN(AU902*100000000/($AM902-$AL902)/AP902)</f>
        <v>-4.9140083959560776</v>
      </c>
      <c r="AS902" s="13">
        <f t="shared" ref="AS902:AS903" si="607">EXP(AR$4341*$AM902+AR$4342)*$AP902/(100000000/($AM902-$AL902))</f>
        <v>1.1785544012754625</v>
      </c>
      <c r="AT902" s="3">
        <f t="shared" ref="AT902" si="608">LN(AS902/$C902)</f>
        <v>-4.3355210665459909</v>
      </c>
      <c r="AU902" s="3" cm="1">
        <f t="array" ref="AU902">$C902*EXP(poly_from_str($AO902,AU$4341))</f>
        <v>1.8307207759730455</v>
      </c>
      <c r="AV902" s="13">
        <f>LN(AS902/AU902)</f>
        <v>-0.44042115217588451</v>
      </c>
    </row>
    <row r="903" spans="1:48" x14ac:dyDescent="0.25">
      <c r="A903" t="s">
        <v>1342</v>
      </c>
      <c r="B903" s="2" t="str">
        <f t="shared" si="597"/>
        <v/>
      </c>
      <c r="C903">
        <v>7</v>
      </c>
      <c r="E903" t="s">
        <v>1343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602"/>
        <v>e</v>
      </c>
      <c r="N903" t="str">
        <f t="shared" si="603"/>
        <v>7/2</v>
      </c>
      <c r="O903">
        <v>66943.039999999994</v>
      </c>
      <c r="P903" t="str">
        <f t="shared" si="604"/>
        <v>o</v>
      </c>
      <c r="Q903" t="str">
        <f t="shared" si="605"/>
        <v>5/2</v>
      </c>
      <c r="R903">
        <v>10</v>
      </c>
      <c r="AA903" s="10">
        <f t="shared" si="598"/>
        <v>4490.4970000000003</v>
      </c>
      <c r="AB903" s="3">
        <f t="shared" si="599"/>
        <v>22263</v>
      </c>
      <c r="AC903" s="3" cm="1">
        <f t="array" ref="AC903">100000000/LvacE(AA903)</f>
        <v>22263.004056343481</v>
      </c>
      <c r="AD903" s="10">
        <f t="shared" si="600"/>
        <v>7.4789020075443184E-3</v>
      </c>
      <c r="AE903" s="10" t="b">
        <f t="shared" si="601"/>
        <v>1</v>
      </c>
      <c r="AJ903" t="s">
        <v>4806</v>
      </c>
      <c r="AK903" t="s">
        <v>4847</v>
      </c>
      <c r="AL903">
        <v>44679.98</v>
      </c>
      <c r="AM903">
        <v>66943.039999999994</v>
      </c>
      <c r="AN903" s="10" cm="1">
        <f t="array" ref="AN903">Lair(100000000/($AM903-$AL903))</f>
        <v>4490.4857149247055</v>
      </c>
      <c r="AO903" s="10">
        <f t="shared" si="606"/>
        <v>4491.7455192592588</v>
      </c>
      <c r="AP903" s="12">
        <v>130000</v>
      </c>
      <c r="AQ903" s="3">
        <v>0.01</v>
      </c>
      <c r="AR903" s="3"/>
      <c r="AS903" s="13">
        <f t="shared" si="607"/>
        <v>1.68340828031927E-2</v>
      </c>
      <c r="AT903" s="3"/>
      <c r="AU903" s="3" cm="1">
        <f t="array" ref="AU903">$C903*EXP(poly_from_str($AO903,AU$4341))</f>
        <v>0.1418658366578405</v>
      </c>
    </row>
    <row r="904" spans="1:48" x14ac:dyDescent="0.25">
      <c r="A904" t="s">
        <v>1344</v>
      </c>
      <c r="B904" s="2" t="str">
        <f t="shared" si="597"/>
        <v/>
      </c>
      <c r="C904">
        <v>4</v>
      </c>
      <c r="D904" t="s">
        <v>14</v>
      </c>
      <c r="E904" t="s">
        <v>1345</v>
      </c>
      <c r="R904">
        <v>10</v>
      </c>
      <c r="S904" t="s">
        <v>22</v>
      </c>
      <c r="AA904" s="10">
        <f t="shared" si="598"/>
        <v>4490.0249999999996</v>
      </c>
      <c r="AB904" s="3">
        <f t="shared" si="599"/>
        <v>22265.34</v>
      </c>
      <c r="AC904" s="3" cm="1">
        <f t="array" ref="AC904">100000000/LvacE(AA904)</f>
        <v>22265.3443469179</v>
      </c>
      <c r="AD904" s="10">
        <f t="shared" si="600"/>
        <v>7.4794232044273594E-3</v>
      </c>
      <c r="AE904" s="10" t="b">
        <f t="shared" si="601"/>
        <v>1</v>
      </c>
      <c r="AP904"/>
      <c r="AQ904"/>
      <c r="AU904" s="3" cm="1">
        <f t="array" ref="AU904">$C904*EXP(poly_from_str(100000000/$E904,AU$4341))</f>
        <v>8.0820478222445452E-2</v>
      </c>
    </row>
    <row r="905" spans="1:48" x14ac:dyDescent="0.25">
      <c r="A905" t="s">
        <v>1346</v>
      </c>
      <c r="B905" s="2" t="str">
        <f t="shared" si="597"/>
        <v/>
      </c>
      <c r="C905">
        <v>3</v>
      </c>
      <c r="E905" t="s">
        <v>1347</v>
      </c>
      <c r="R905">
        <v>10</v>
      </c>
      <c r="S905" t="s">
        <v>22</v>
      </c>
      <c r="AA905" s="10">
        <f t="shared" si="598"/>
        <v>4489.7629999999999</v>
      </c>
      <c r="AB905" s="3">
        <f t="shared" si="599"/>
        <v>22266.639999999999</v>
      </c>
      <c r="AC905" s="3" cm="1">
        <f t="array" ref="AC905">100000000/LvacE(AA905)</f>
        <v>22266.643618884955</v>
      </c>
      <c r="AD905" s="10">
        <f t="shared" si="600"/>
        <v>7.4797125838139966E-3</v>
      </c>
      <c r="AE905" s="10" t="b">
        <f t="shared" si="601"/>
        <v>1</v>
      </c>
      <c r="AP905"/>
      <c r="AQ905"/>
      <c r="AU905" s="3" cm="1">
        <f t="array" ref="AU905">$C905*EXP(poly_from_str(100000000/$E905,AU$4341))</f>
        <v>6.0510446817083272E-2</v>
      </c>
    </row>
    <row r="906" spans="1:48" x14ac:dyDescent="0.25">
      <c r="A906" t="s">
        <v>1348</v>
      </c>
      <c r="B906" s="2" t="str">
        <f t="shared" si="597"/>
        <v/>
      </c>
      <c r="C906">
        <v>6</v>
      </c>
      <c r="D906" t="s">
        <v>14</v>
      </c>
      <c r="E906" t="s">
        <v>1349</v>
      </c>
      <c r="R906">
        <v>10</v>
      </c>
      <c r="S906" t="s">
        <v>22</v>
      </c>
      <c r="AA906" s="10">
        <f t="shared" si="598"/>
        <v>4489.6009999999997</v>
      </c>
      <c r="AB906" s="3">
        <f t="shared" si="599"/>
        <v>22267.45</v>
      </c>
      <c r="AC906" s="3" cm="1">
        <f t="array" ref="AC906">100000000/LvacE(AA906)</f>
        <v>22267.447061389375</v>
      </c>
      <c r="AD906" s="10">
        <f t="shared" si="600"/>
        <v>7.4798915384005592E-3</v>
      </c>
      <c r="AE906" s="10" t="b">
        <f t="shared" si="601"/>
        <v>1</v>
      </c>
      <c r="AP906"/>
      <c r="AQ906"/>
      <c r="AU906" s="3" cm="1">
        <f t="array" ref="AU906">$C906*EXP(poly_from_str(100000000/$E906,AU$4341))</f>
        <v>0.12089027726099372</v>
      </c>
    </row>
    <row r="907" spans="1:48" x14ac:dyDescent="0.25">
      <c r="A907" t="s">
        <v>1350</v>
      </c>
      <c r="B907" s="2" t="str">
        <f t="shared" si="597"/>
        <v/>
      </c>
      <c r="C907">
        <v>6</v>
      </c>
      <c r="D907" t="s">
        <v>14</v>
      </c>
      <c r="E907" t="s">
        <v>1351</v>
      </c>
      <c r="R907">
        <v>10</v>
      </c>
      <c r="S907" t="s">
        <v>22</v>
      </c>
      <c r="AA907" s="10">
        <f t="shared" si="598"/>
        <v>4489.4650000000001</v>
      </c>
      <c r="AB907" s="3">
        <f t="shared" si="599"/>
        <v>22268.12</v>
      </c>
      <c r="AC907" s="3" cm="1">
        <f t="array" ref="AC907">100000000/LvacE(AA907)</f>
        <v>22268.121601101535</v>
      </c>
      <c r="AD907" s="10">
        <f t="shared" si="600"/>
        <v>7.480041786838915E-3</v>
      </c>
      <c r="AE907" s="10" t="b">
        <f t="shared" si="601"/>
        <v>1</v>
      </c>
      <c r="AP907"/>
      <c r="AQ907"/>
      <c r="AU907" s="3" cm="1">
        <f t="array" ref="AU907">$C907*EXP(poly_from_str(100000000/$E907,AU$4341))</f>
        <v>0.12078230614318067</v>
      </c>
    </row>
    <row r="908" spans="1:48" x14ac:dyDescent="0.25">
      <c r="A908" t="s">
        <v>1352</v>
      </c>
      <c r="B908" s="2" t="str">
        <f t="shared" si="597"/>
        <v/>
      </c>
      <c r="C908">
        <v>8</v>
      </c>
      <c r="D908" t="s">
        <v>14</v>
      </c>
      <c r="E908" t="s">
        <v>1353</v>
      </c>
      <c r="R908">
        <v>10</v>
      </c>
      <c r="S908" t="s">
        <v>22</v>
      </c>
      <c r="AA908" s="10">
        <f t="shared" si="598"/>
        <v>4489.0259999999998</v>
      </c>
      <c r="AB908" s="3">
        <f t="shared" si="599"/>
        <v>22270.3</v>
      </c>
      <c r="AC908" s="3" cm="1">
        <f t="array" ref="AC908">100000000/LvacE(AA908)</f>
        <v>22270.299254506404</v>
      </c>
      <c r="AD908" s="10">
        <f t="shared" si="600"/>
        <v>7.4805268731464696E-3</v>
      </c>
      <c r="AE908" s="10" t="b">
        <f t="shared" si="601"/>
        <v>1</v>
      </c>
      <c r="AP908"/>
      <c r="AQ908"/>
      <c r="AU908" s="3" cm="1">
        <f t="array" ref="AU908">$C908*EXP(poly_from_str(100000000/$E908,AU$4341))</f>
        <v>0.16057524420368274</v>
      </c>
    </row>
    <row r="909" spans="1:48" x14ac:dyDescent="0.25">
      <c r="A909" t="s">
        <v>1354</v>
      </c>
      <c r="B909" s="2" t="str">
        <f t="shared" si="597"/>
        <v/>
      </c>
      <c r="C909">
        <v>9</v>
      </c>
      <c r="E909" t="s">
        <v>1355</v>
      </c>
      <c r="R909">
        <v>10</v>
      </c>
      <c r="S909" t="s">
        <v>22</v>
      </c>
      <c r="AA909" s="10">
        <f t="shared" si="598"/>
        <v>4487.8940000000002</v>
      </c>
      <c r="AB909" s="3">
        <f t="shared" si="599"/>
        <v>22275.919999999998</v>
      </c>
      <c r="AC909" s="3" cm="1">
        <f t="array" ref="AC909">100000000/LvacE(AA909)</f>
        <v>22275.916490378582</v>
      </c>
      <c r="AD909" s="10">
        <f t="shared" si="600"/>
        <v>7.4817783675793798E-3</v>
      </c>
      <c r="AE909" s="10" t="b">
        <f t="shared" si="601"/>
        <v>1</v>
      </c>
      <c r="AP909"/>
      <c r="AQ909"/>
      <c r="AU909" s="3" cm="1">
        <f t="array" ref="AU909">$C909*EXP(poly_from_str(100000000/$E909,AU$4341))</f>
        <v>0.17929494850843208</v>
      </c>
    </row>
    <row r="910" spans="1:48" x14ac:dyDescent="0.25">
      <c r="A910" t="s">
        <v>1356</v>
      </c>
      <c r="B910" s="2" t="str">
        <f t="shared" si="597"/>
        <v/>
      </c>
      <c r="C910">
        <v>7</v>
      </c>
      <c r="E910" t="s">
        <v>1357</v>
      </c>
      <c r="R910">
        <v>10</v>
      </c>
      <c r="S910" t="s">
        <v>22</v>
      </c>
      <c r="AA910" s="10">
        <f t="shared" si="598"/>
        <v>4487.3339999999998</v>
      </c>
      <c r="AB910" s="3">
        <f t="shared" si="599"/>
        <v>22278.7</v>
      </c>
      <c r="AC910" s="3" cm="1">
        <f t="array" ref="AC910">100000000/LvacE(AA910)</f>
        <v>22278.696382746566</v>
      </c>
      <c r="AD910" s="10">
        <f t="shared" si="600"/>
        <v>7.4823978316241411E-3</v>
      </c>
      <c r="AE910" s="10" t="b">
        <f t="shared" si="601"/>
        <v>1</v>
      </c>
      <c r="AP910"/>
      <c r="AQ910"/>
      <c r="AU910" s="3" cm="1">
        <f t="array" ref="AU910">$C910*EXP(poly_from_str(100000000/$E910,AU$4341))</f>
        <v>0.13893329704305213</v>
      </c>
    </row>
    <row r="911" spans="1:48" x14ac:dyDescent="0.25">
      <c r="A911" t="s">
        <v>1358</v>
      </c>
      <c r="B911" s="2" t="str">
        <f t="shared" si="597"/>
        <v/>
      </c>
      <c r="C911">
        <v>3</v>
      </c>
      <c r="D911" t="s">
        <v>14</v>
      </c>
      <c r="E911" t="s">
        <v>1359</v>
      </c>
      <c r="R911">
        <v>10</v>
      </c>
      <c r="S911" t="s">
        <v>22</v>
      </c>
      <c r="AA911" s="10">
        <f t="shared" si="598"/>
        <v>4486.143</v>
      </c>
      <c r="AB911" s="3">
        <f t="shared" si="599"/>
        <v>22284.61</v>
      </c>
      <c r="AC911" s="3" cm="1">
        <f t="array" ref="AC911">100000000/LvacE(AA911)</f>
        <v>22284.610925683082</v>
      </c>
      <c r="AD911" s="10">
        <f t="shared" si="600"/>
        <v>7.4837160703173176E-3</v>
      </c>
      <c r="AE911" s="10" t="b">
        <f t="shared" si="601"/>
        <v>1</v>
      </c>
      <c r="AP911"/>
      <c r="AQ911"/>
      <c r="AU911" s="3" cm="1">
        <f t="array" ref="AU911">$C911*EXP(poly_from_str(100000000/$E911,AU$4341))</f>
        <v>5.9072394349895994E-2</v>
      </c>
    </row>
    <row r="912" spans="1:48" x14ac:dyDescent="0.25">
      <c r="A912" t="s">
        <v>1360</v>
      </c>
      <c r="B912" s="2" t="str">
        <f t="shared" si="597"/>
        <v/>
      </c>
      <c r="C912">
        <v>6</v>
      </c>
      <c r="D912" t="s">
        <v>14</v>
      </c>
      <c r="E912" t="s">
        <v>1361</v>
      </c>
      <c r="R912">
        <v>10</v>
      </c>
      <c r="S912" t="s">
        <v>22</v>
      </c>
      <c r="AA912" s="10">
        <f t="shared" si="598"/>
        <v>4482.857</v>
      </c>
      <c r="AB912" s="3">
        <f t="shared" si="599"/>
        <v>22300.95</v>
      </c>
      <c r="AC912" s="3" cm="1">
        <f t="array" ref="AC912">100000000/LvacE(AA912)</f>
        <v>22300.945600215258</v>
      </c>
      <c r="AD912" s="10">
        <f t="shared" si="600"/>
        <v>7.4873585751469721E-3</v>
      </c>
      <c r="AE912" s="10" t="b">
        <f t="shared" si="601"/>
        <v>1</v>
      </c>
      <c r="AP912"/>
      <c r="AQ912"/>
      <c r="AU912" s="3" cm="1">
        <f t="array" ref="AU912">$C912*EXP(poly_from_str(100000000/$E912,AU$4341))</f>
        <v>0.11556892313206019</v>
      </c>
    </row>
    <row r="913" spans="1:48" x14ac:dyDescent="0.25">
      <c r="A913" t="s">
        <v>1362</v>
      </c>
      <c r="B913" s="2" t="str">
        <f t="shared" si="597"/>
        <v/>
      </c>
      <c r="C913">
        <v>9</v>
      </c>
      <c r="D913" t="s">
        <v>14</v>
      </c>
      <c r="E913" t="s">
        <v>1363</v>
      </c>
      <c r="R913">
        <v>10</v>
      </c>
      <c r="S913" t="s">
        <v>22</v>
      </c>
      <c r="AA913" s="10">
        <f t="shared" si="598"/>
        <v>4482.2910000000002</v>
      </c>
      <c r="AB913" s="3">
        <f t="shared" si="599"/>
        <v>22303.759999999998</v>
      </c>
      <c r="AC913" s="3" cm="1">
        <f t="array" ref="AC913">100000000/LvacE(AA913)</f>
        <v>22303.761598670993</v>
      </c>
      <c r="AD913" s="10">
        <f t="shared" si="600"/>
        <v>7.4879867905353528E-3</v>
      </c>
      <c r="AE913" s="10" t="b">
        <f t="shared" si="601"/>
        <v>1</v>
      </c>
      <c r="AP913"/>
      <c r="AQ913"/>
      <c r="AU913" s="3" cm="1">
        <f t="array" ref="AU913">$C913*EXP(poly_from_str(100000000/$E913,AU$4341))</f>
        <v>0.17269459167547366</v>
      </c>
    </row>
    <row r="914" spans="1:48" x14ac:dyDescent="0.25">
      <c r="A914" t="s">
        <v>1364</v>
      </c>
      <c r="B914" s="2" t="str">
        <f t="shared" si="597"/>
        <v/>
      </c>
      <c r="C914">
        <v>7</v>
      </c>
      <c r="D914" t="s">
        <v>14</v>
      </c>
      <c r="E914" t="s">
        <v>1365</v>
      </c>
      <c r="R914">
        <v>10</v>
      </c>
      <c r="S914" t="s">
        <v>22</v>
      </c>
      <c r="AA914" s="10">
        <f t="shared" si="598"/>
        <v>4481.6779999999999</v>
      </c>
      <c r="AB914" s="3">
        <f t="shared" si="599"/>
        <v>22306.81</v>
      </c>
      <c r="AC914" s="3" cm="1">
        <f t="array" ref="AC914">100000000/LvacE(AA914)</f>
        <v>22306.812236756617</v>
      </c>
      <c r="AD914" s="10">
        <f t="shared" si="600"/>
        <v>7.4886674407171399E-3</v>
      </c>
      <c r="AE914" s="10" t="b">
        <f t="shared" si="601"/>
        <v>1</v>
      </c>
      <c r="AP914"/>
      <c r="AQ914"/>
      <c r="AU914" s="3" cm="1">
        <f t="array" ref="AU914">$C914*EXP(poly_from_str(100000000/$E914,AU$4341))</f>
        <v>0.13376332170657254</v>
      </c>
    </row>
    <row r="915" spans="1:48" x14ac:dyDescent="0.25">
      <c r="A915" t="s">
        <v>1366</v>
      </c>
      <c r="B915" s="2" t="str">
        <f t="shared" si="597"/>
        <v/>
      </c>
      <c r="C915">
        <v>3</v>
      </c>
      <c r="E915" t="s">
        <v>1367</v>
      </c>
      <c r="R915">
        <v>10</v>
      </c>
      <c r="S915" t="s">
        <v>22</v>
      </c>
      <c r="AA915" s="10">
        <f t="shared" si="598"/>
        <v>4479.0060000000003</v>
      </c>
      <c r="AB915" s="3">
        <f t="shared" si="599"/>
        <v>22320.12</v>
      </c>
      <c r="AC915" s="3" cm="1">
        <f t="array" ref="AC915">100000000/LvacE(AA915)</f>
        <v>22320.119387080926</v>
      </c>
      <c r="AD915" s="10">
        <f t="shared" si="600"/>
        <v>7.4916375851116213E-3</v>
      </c>
      <c r="AE915" s="10" t="b">
        <f t="shared" si="601"/>
        <v>1</v>
      </c>
      <c r="AP915"/>
      <c r="AQ915"/>
      <c r="AU915" s="3" cm="1">
        <f t="array" ref="AU915">$C915*EXP(poly_from_str(100000000/$E915,AU$4341))</f>
        <v>5.6297358696680004E-2</v>
      </c>
    </row>
    <row r="916" spans="1:48" x14ac:dyDescent="0.25">
      <c r="A916" t="s">
        <v>1368</v>
      </c>
      <c r="B916" s="2" t="str">
        <f t="shared" si="597"/>
        <v/>
      </c>
      <c r="C916">
        <v>7</v>
      </c>
      <c r="E916" t="s">
        <v>1369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609">$G916&amp;""</f>
        <v>o</v>
      </c>
      <c r="N916" t="str">
        <f t="shared" ref="N916:N917" si="610">$H916&amp;""</f>
        <v>11/2</v>
      </c>
      <c r="O916">
        <v>39732.99</v>
      </c>
      <c r="P916" t="str">
        <f t="shared" ref="P916:P917" si="611">$J916&amp;""</f>
        <v>e</v>
      </c>
      <c r="Q916" t="str">
        <f t="shared" ref="Q916:Q917" si="612">$K916&amp;""</f>
        <v>11/2</v>
      </c>
      <c r="R916">
        <v>10</v>
      </c>
      <c r="S916" t="s">
        <v>6</v>
      </c>
      <c r="AA916" s="10">
        <f t="shared" si="598"/>
        <v>4478.3590000000004</v>
      </c>
      <c r="AB916" s="3">
        <f t="shared" si="599"/>
        <v>22323.34</v>
      </c>
      <c r="AC916" s="3" cm="1">
        <f t="array" ref="AC916">100000000/LvacE(AA916)</f>
        <v>22323.343977996719</v>
      </c>
      <c r="AD916" s="10">
        <f t="shared" si="600"/>
        <v>7.49235757763019E-3</v>
      </c>
      <c r="AE916" s="10" t="b">
        <f t="shared" si="601"/>
        <v>1</v>
      </c>
      <c r="AJ916" t="s">
        <v>4980</v>
      </c>
      <c r="AK916" t="s">
        <v>4725</v>
      </c>
      <c r="AL916">
        <v>17409.580000000002</v>
      </c>
      <c r="AM916">
        <v>39732.99</v>
      </c>
      <c r="AN916" s="10" cm="1">
        <f t="array" ref="AN916">Lair(100000000/($AM916-$AL916))</f>
        <v>4478.3457538934417</v>
      </c>
      <c r="AO916" s="10">
        <f t="shared" ref="AO916:AO917" si="613">100000000/($AM916-$AL916)</f>
        <v>4479.6023546581828</v>
      </c>
      <c r="AP916" s="12">
        <v>156000</v>
      </c>
      <c r="AQ916" s="3">
        <v>2.3E-2</v>
      </c>
      <c r="AR916" s="3"/>
      <c r="AS916" s="13">
        <f t="shared" ref="AS916:AS917" si="614">EXP(AR$4341*$AM916+AR$4342)*$AP916/(100000000/($AM916-$AL916))</f>
        <v>0.15609430066622471</v>
      </c>
      <c r="AT916" s="3"/>
      <c r="AU916" s="3" cm="1">
        <f t="array" ref="AU916">$C916*EXP(poly_from_str($AO916,AU$4341))</f>
        <v>0.13077103980291846</v>
      </c>
    </row>
    <row r="917" spans="1:48" x14ac:dyDescent="0.25">
      <c r="A917" t="s">
        <v>1370</v>
      </c>
      <c r="B917" s="2" t="str">
        <f t="shared" si="597"/>
        <v/>
      </c>
      <c r="C917">
        <v>5</v>
      </c>
      <c r="D917" t="s">
        <v>143</v>
      </c>
      <c r="E917" t="s">
        <v>1371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609"/>
        <v>e</v>
      </c>
      <c r="N917" t="str">
        <f t="shared" si="610"/>
        <v>9/2</v>
      </c>
      <c r="O917">
        <v>61357.04</v>
      </c>
      <c r="P917" t="str">
        <f t="shared" si="611"/>
        <v>o</v>
      </c>
      <c r="Q917" t="str">
        <f t="shared" si="612"/>
        <v>9/2</v>
      </c>
      <c r="R917">
        <v>10</v>
      </c>
      <c r="S917" t="s">
        <v>159</v>
      </c>
      <c r="AA917" s="10">
        <f t="shared" si="598"/>
        <v>4476.4759999999997</v>
      </c>
      <c r="AB917" s="3">
        <f t="shared" si="599"/>
        <v>22332.73</v>
      </c>
      <c r="AC917" s="3" cm="1">
        <f t="array" ref="AC917">100000000/LvacE(AA917)</f>
        <v>22332.733987736865</v>
      </c>
      <c r="AD917" s="10">
        <f t="shared" si="600"/>
        <v>7.4944547885140971E-3</v>
      </c>
      <c r="AE917" s="10" t="b">
        <f t="shared" si="601"/>
        <v>1</v>
      </c>
      <c r="AJ917" t="s">
        <v>4702</v>
      </c>
      <c r="AK917" t="s">
        <v>4903</v>
      </c>
      <c r="AL917">
        <v>39024.269999999997</v>
      </c>
      <c r="AM917">
        <v>61357.04</v>
      </c>
      <c r="AN917" s="10" cm="1">
        <f t="array" ref="AN917">Lair(100000000/($AM917-$AL917))</f>
        <v>4476.4687803807628</v>
      </c>
      <c r="AO917" s="10">
        <f t="shared" si="613"/>
        <v>4477.7248858963749</v>
      </c>
      <c r="AP917" s="12">
        <v>235000</v>
      </c>
      <c r="AQ917" s="3">
        <v>1.6E-2</v>
      </c>
      <c r="AR917" s="3"/>
      <c r="AS917" s="13">
        <f t="shared" si="614"/>
        <v>4.6422958763705842E-2</v>
      </c>
      <c r="AT917" s="3"/>
      <c r="AU917" s="3" cm="1">
        <f t="array" ref="AU917">$C917*EXP(poly_from_str($AO917,AU$4341))</f>
        <v>9.2216937960726428E-2</v>
      </c>
    </row>
    <row r="918" spans="1:48" x14ac:dyDescent="0.25">
      <c r="A918" t="s">
        <v>1372</v>
      </c>
      <c r="B918" s="2" t="str">
        <f t="shared" si="597"/>
        <v/>
      </c>
      <c r="C918">
        <v>20</v>
      </c>
      <c r="D918" t="s">
        <v>14</v>
      </c>
      <c r="E918" t="s">
        <v>1373</v>
      </c>
      <c r="R918">
        <v>10</v>
      </c>
      <c r="S918" t="s">
        <v>22</v>
      </c>
      <c r="AA918" s="10">
        <f t="shared" si="598"/>
        <v>4474.2700000000004</v>
      </c>
      <c r="AB918" s="3">
        <f t="shared" si="599"/>
        <v>22343.74</v>
      </c>
      <c r="AC918" s="3" cm="1">
        <f t="array" ref="AC918">100000000/LvacE(AA918)</f>
        <v>22343.744763983021</v>
      </c>
      <c r="AD918" s="10">
        <f t="shared" si="600"/>
        <v>7.4969151128545016E-3</v>
      </c>
      <c r="AE918" s="10" t="b">
        <f t="shared" si="601"/>
        <v>1</v>
      </c>
      <c r="AP918"/>
      <c r="AQ918"/>
      <c r="AU918" s="3" cm="1">
        <f t="array" ref="AU918">$C918*EXP(poly_from_str(100000000/$E918,AU$4341))</f>
        <v>0.36333666458744529</v>
      </c>
    </row>
    <row r="919" spans="1:48" x14ac:dyDescent="0.25">
      <c r="A919" t="s">
        <v>1374</v>
      </c>
      <c r="B919" s="2" t="str">
        <f t="shared" si="597"/>
        <v/>
      </c>
      <c r="C919">
        <v>60</v>
      </c>
      <c r="E919" t="s">
        <v>1375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598"/>
        <v>4469.183</v>
      </c>
      <c r="AB919" s="3">
        <f t="shared" si="599"/>
        <v>22369.18</v>
      </c>
      <c r="AC919" s="3" cm="1">
        <f t="array" ref="AC919">100000000/LvacE(AA919)</f>
        <v>22369.176866768805</v>
      </c>
      <c r="AD919" s="10">
        <f t="shared" si="600"/>
        <v>7.5026024741847459E-3</v>
      </c>
      <c r="AE919" s="10" t="b">
        <f t="shared" si="601"/>
        <v>1</v>
      </c>
      <c r="AJ919" t="s">
        <v>4806</v>
      </c>
      <c r="AK919" t="s">
        <v>4862</v>
      </c>
      <c r="AL919">
        <v>44679.98</v>
      </c>
      <c r="AM919">
        <v>67049.179999999993</v>
      </c>
      <c r="AN919" s="10" cm="1">
        <f t="array" ref="AN919">Lair(100000000/($AM919-$AL919))</f>
        <v>4469.1783769997601</v>
      </c>
      <c r="AO919" s="10">
        <f>100000000/($AM919-$AL919)</f>
        <v>4470.4325590544158</v>
      </c>
      <c r="AP919" s="12">
        <v>4730000</v>
      </c>
      <c r="AQ919" s="3">
        <v>0.20699999999999999</v>
      </c>
      <c r="AR919" s="3">
        <f>LN(AU919*100000000/($AM919-$AL919)/AP919)</f>
        <v>-6.9133610335455096</v>
      </c>
      <c r="AS919" s="13">
        <f>EXP(AR$4341*$AM919+AR$4342)*$AP919/(100000000/($AM919-$AL919))</f>
        <v>0.61053910618501628</v>
      </c>
      <c r="AT919" s="3">
        <f>LN(AS919/$C919)</f>
        <v>-4.5877574937098631</v>
      </c>
      <c r="AU919" s="3" cm="1">
        <f t="array" ref="AU919">$C919*EXP(poly_from_str($AO919,AU$4341))</f>
        <v>1.0521485111361477</v>
      </c>
      <c r="AV919" s="13">
        <f>LN(AS919/AU919)</f>
        <v>-0.54424720612120359</v>
      </c>
    </row>
    <row r="920" spans="1:48" x14ac:dyDescent="0.25">
      <c r="A920" t="s">
        <v>1376</v>
      </c>
      <c r="B920" s="2" t="str">
        <f t="shared" si="597"/>
        <v/>
      </c>
      <c r="C920">
        <v>4</v>
      </c>
      <c r="E920" t="s">
        <v>1377</v>
      </c>
      <c r="R920">
        <v>10</v>
      </c>
      <c r="S920" t="s">
        <v>22</v>
      </c>
      <c r="AA920" s="10">
        <f t="shared" si="598"/>
        <v>4468.4809999999998</v>
      </c>
      <c r="AB920" s="3">
        <f t="shared" si="599"/>
        <v>22372.69</v>
      </c>
      <c r="AC920" s="3" cm="1">
        <f t="array" ref="AC920">100000000/LvacE(AA920)</f>
        <v>22372.691013586769</v>
      </c>
      <c r="AD920" s="10">
        <f t="shared" si="600"/>
        <v>7.5033888488713245E-3</v>
      </c>
      <c r="AE920" s="10" t="b">
        <f t="shared" si="601"/>
        <v>1</v>
      </c>
      <c r="AP920"/>
      <c r="AQ920"/>
      <c r="AU920" s="3" cm="1">
        <f t="array" ref="AU920">$C920*EXP(poly_from_str(100000000/$E920,AU$4341))</f>
        <v>6.9801945916498895E-2</v>
      </c>
    </row>
    <row r="921" spans="1:48" x14ac:dyDescent="0.25">
      <c r="A921" t="s">
        <v>1378</v>
      </c>
      <c r="B921" s="2" t="str">
        <f t="shared" si="597"/>
        <v/>
      </c>
      <c r="C921">
        <v>6</v>
      </c>
      <c r="E921" t="s">
        <v>1379</v>
      </c>
      <c r="R921">
        <v>10</v>
      </c>
      <c r="S921" t="s">
        <v>22</v>
      </c>
      <c r="AA921" s="10">
        <f t="shared" si="598"/>
        <v>4468.3819999999996</v>
      </c>
      <c r="AB921" s="3">
        <f t="shared" si="599"/>
        <v>22373.19</v>
      </c>
      <c r="AC921" s="3" cm="1">
        <f t="array" ref="AC921">100000000/LvacE(AA921)</f>
        <v>22373.186687230336</v>
      </c>
      <c r="AD921" s="10">
        <f t="shared" si="600"/>
        <v>7.5034997776857858E-3</v>
      </c>
      <c r="AE921" s="10" t="b">
        <f t="shared" si="601"/>
        <v>1</v>
      </c>
      <c r="AP921"/>
      <c r="AQ921"/>
      <c r="AU921" s="3" cm="1">
        <f t="array" ref="AU921">$C921*EXP(poly_from_str(100000000/$E921,AU$4341))</f>
        <v>0.10462971547879653</v>
      </c>
    </row>
    <row r="922" spans="1:48" x14ac:dyDescent="0.25">
      <c r="A922" t="s">
        <v>1380</v>
      </c>
      <c r="B922" s="2" t="str">
        <f t="shared" si="597"/>
        <v/>
      </c>
      <c r="C922">
        <v>6</v>
      </c>
      <c r="D922" t="s">
        <v>14</v>
      </c>
      <c r="E922" t="s">
        <v>1381</v>
      </c>
      <c r="R922">
        <v>10</v>
      </c>
      <c r="S922" t="s">
        <v>22</v>
      </c>
      <c r="AA922" s="10">
        <f t="shared" si="598"/>
        <v>4465.63</v>
      </c>
      <c r="AB922" s="3">
        <f t="shared" si="599"/>
        <v>22386.97</v>
      </c>
      <c r="AC922" s="3" cm="1">
        <f t="array" ref="AC922">100000000/LvacE(AA922)</f>
        <v>22386.974209700405</v>
      </c>
      <c r="AD922" s="10">
        <f t="shared" si="600"/>
        <v>7.5065863282112941E-3</v>
      </c>
      <c r="AE922" s="10" t="b">
        <f t="shared" si="601"/>
        <v>1</v>
      </c>
      <c r="AP922"/>
      <c r="AQ922"/>
      <c r="AU922" s="3" cm="1">
        <f t="array" ref="AU922">$C922*EXP(poly_from_str(100000000/$E922,AU$4341))</f>
        <v>0.10262596202760099</v>
      </c>
    </row>
    <row r="923" spans="1:48" x14ac:dyDescent="0.25">
      <c r="A923" t="s">
        <v>1382</v>
      </c>
      <c r="B923" s="2" t="str">
        <f t="shared" si="597"/>
        <v/>
      </c>
      <c r="C923">
        <v>90</v>
      </c>
      <c r="E923" t="s">
        <v>1383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598"/>
        <v>4465.0640000000003</v>
      </c>
      <c r="AB923" s="3">
        <f t="shared" si="599"/>
        <v>22389.81</v>
      </c>
      <c r="AC923" s="3" cm="1">
        <f t="array" ref="AC923">100000000/LvacE(AA923)</f>
        <v>22389.811977338028</v>
      </c>
      <c r="AD923" s="10">
        <f t="shared" si="600"/>
        <v>7.5072218424347362E-3</v>
      </c>
      <c r="AE923" s="10" t="b">
        <f t="shared" si="601"/>
        <v>1</v>
      </c>
      <c r="AJ923" t="s">
        <v>4856</v>
      </c>
      <c r="AK923" t="s">
        <v>4809</v>
      </c>
      <c r="AL923">
        <v>17095.63</v>
      </c>
      <c r="AM923">
        <v>39485.480000000003</v>
      </c>
      <c r="AN923" s="10" cm="1">
        <f t="array" ref="AN923">Lair(100000000/($AM923-$AL923))</f>
        <v>4465.0564161385801</v>
      </c>
      <c r="AO923" s="10">
        <f>100000000/($AM923-$AL923)</f>
        <v>4466.3095107827876</v>
      </c>
      <c r="AU923" s="3" cm="1">
        <f t="array" ref="AU923">$C923*EXP(poly_from_str($AO923,AU$4341))</f>
        <v>1.5331578911094923</v>
      </c>
    </row>
    <row r="924" spans="1:48" x14ac:dyDescent="0.25">
      <c r="A924" t="s">
        <v>1384</v>
      </c>
      <c r="B924" s="2" t="str">
        <f t="shared" si="597"/>
        <v/>
      </c>
      <c r="C924">
        <v>3</v>
      </c>
      <c r="D924" t="s">
        <v>1156</v>
      </c>
      <c r="E924" t="s">
        <v>1385</v>
      </c>
      <c r="R924">
        <v>10</v>
      </c>
      <c r="S924" t="s">
        <v>22</v>
      </c>
      <c r="AA924" s="10">
        <f t="shared" si="598"/>
        <v>4463.8379999999997</v>
      </c>
      <c r="AB924" s="3">
        <f t="shared" si="599"/>
        <v>22395.96</v>
      </c>
      <c r="AC924" s="3" cm="1">
        <f t="array" ref="AC924">100000000/LvacE(AA924)</f>
        <v>22395.961270210886</v>
      </c>
      <c r="AD924" s="10">
        <f t="shared" si="600"/>
        <v>7.5085992446646682E-3</v>
      </c>
      <c r="AE924" s="10" t="b">
        <f t="shared" si="601"/>
        <v>1</v>
      </c>
      <c r="AP924"/>
      <c r="AQ924"/>
      <c r="AU924" s="3" cm="1">
        <f t="array" ref="AU924">$C924*EXP(poly_from_str(100000000/$E924,AU$4341))</f>
        <v>5.0666496429220567E-2</v>
      </c>
    </row>
    <row r="925" spans="1:48" x14ac:dyDescent="0.25">
      <c r="A925" t="s">
        <v>1386</v>
      </c>
      <c r="B925" s="2" t="str">
        <f t="shared" si="597"/>
        <v/>
      </c>
      <c r="C925">
        <v>6</v>
      </c>
      <c r="D925" t="s">
        <v>14</v>
      </c>
      <c r="E925" t="s">
        <v>1387</v>
      </c>
      <c r="R925">
        <v>10</v>
      </c>
      <c r="S925" t="s">
        <v>22</v>
      </c>
      <c r="AA925" s="10">
        <f t="shared" si="598"/>
        <v>4463.4380000000001</v>
      </c>
      <c r="AB925" s="3">
        <f t="shared" si="599"/>
        <v>22397.97</v>
      </c>
      <c r="AC925" s="3" cm="1">
        <f t="array" ref="AC925">100000000/LvacE(AA925)</f>
        <v>22397.968295645791</v>
      </c>
      <c r="AD925" s="10">
        <f t="shared" si="600"/>
        <v>7.5090488873874569E-3</v>
      </c>
      <c r="AE925" s="10" t="b">
        <f t="shared" si="601"/>
        <v>1</v>
      </c>
      <c r="AP925"/>
      <c r="AQ925"/>
      <c r="AU925" s="3" cm="1">
        <f t="array" ref="AU925">$C925*EXP(poly_from_str(100000000/$E925,AU$4341))</f>
        <v>0.10104544779307986</v>
      </c>
    </row>
    <row r="926" spans="1:48" x14ac:dyDescent="0.25">
      <c r="A926" t="s">
        <v>1388</v>
      </c>
      <c r="B926" s="2" t="str">
        <f t="shared" si="597"/>
        <v/>
      </c>
      <c r="C926">
        <v>15</v>
      </c>
      <c r="E926" t="s">
        <v>1389</v>
      </c>
      <c r="R926">
        <v>10</v>
      </c>
      <c r="S926" t="s">
        <v>22</v>
      </c>
      <c r="AA926" s="10">
        <f t="shared" si="598"/>
        <v>4462.7969999999996</v>
      </c>
      <c r="AB926" s="3">
        <f t="shared" si="599"/>
        <v>22401.19</v>
      </c>
      <c r="AC926" s="3" cm="1">
        <f t="array" ref="AC926">100000000/LvacE(AA926)</f>
        <v>22401.18530411517</v>
      </c>
      <c r="AD926" s="10">
        <f t="shared" si="600"/>
        <v>7.5097696919796232E-3</v>
      </c>
      <c r="AE926" s="10" t="b">
        <f t="shared" si="601"/>
        <v>1</v>
      </c>
      <c r="AP926"/>
      <c r="AQ926"/>
      <c r="AU926" s="3" cm="1">
        <f t="array" ref="AU926">$C926*EXP(poly_from_str(100000000/$E926,AU$4341))</f>
        <v>0.25146493738645259</v>
      </c>
    </row>
    <row r="927" spans="1:48" x14ac:dyDescent="0.25">
      <c r="A927" t="s">
        <v>1390</v>
      </c>
      <c r="B927" s="2" t="str">
        <f t="shared" si="597"/>
        <v/>
      </c>
      <c r="C927">
        <v>25</v>
      </c>
      <c r="E927" t="s">
        <v>1391</v>
      </c>
      <c r="R927">
        <v>10</v>
      </c>
      <c r="S927" t="s">
        <v>22</v>
      </c>
      <c r="AA927" s="10">
        <f t="shared" si="598"/>
        <v>4462.5339999999997</v>
      </c>
      <c r="AB927" s="3">
        <f t="shared" si="599"/>
        <v>22402.51</v>
      </c>
      <c r="AC927" s="3" cm="1">
        <f t="array" ref="AC927">100000000/LvacE(AA927)</f>
        <v>22402.505498524726</v>
      </c>
      <c r="AD927" s="10">
        <f t="shared" si="600"/>
        <v>7.5100655253858822E-3</v>
      </c>
      <c r="AE927" s="10" t="b">
        <f t="shared" si="601"/>
        <v>1</v>
      </c>
      <c r="AP927"/>
      <c r="AQ927"/>
      <c r="AU927" s="3" cm="1">
        <f t="array" ref="AU927">$C927*EXP(poly_from_str(100000000/$E927,AU$4341))</f>
        <v>0.41832515148303229</v>
      </c>
    </row>
    <row r="928" spans="1:48" x14ac:dyDescent="0.25">
      <c r="A928" t="s">
        <v>1392</v>
      </c>
      <c r="B928" s="2" t="str">
        <f t="shared" si="597"/>
        <v/>
      </c>
      <c r="C928">
        <v>200</v>
      </c>
      <c r="E928" t="s">
        <v>1393</v>
      </c>
      <c r="R928">
        <v>10</v>
      </c>
      <c r="S928" t="s">
        <v>22</v>
      </c>
      <c r="AA928" s="10">
        <f t="shared" si="598"/>
        <v>4461.8140000000003</v>
      </c>
      <c r="AB928" s="3">
        <f t="shared" si="599"/>
        <v>22406.12</v>
      </c>
      <c r="AC928" s="3" cm="1">
        <f t="array" ref="AC928">100000000/LvacE(AA928)</f>
        <v>22406.120515203369</v>
      </c>
      <c r="AD928" s="10">
        <f t="shared" si="600"/>
        <v>7.5108756791748121E-3</v>
      </c>
      <c r="AE928" s="10" t="b">
        <f t="shared" si="601"/>
        <v>1</v>
      </c>
      <c r="AP928"/>
      <c r="AQ928"/>
      <c r="AU928" s="3" cm="1">
        <f t="array" ref="AU928">$C928*EXP(poly_from_str(100000000/$E928,AU$4341))</f>
        <v>3.3295096588056019</v>
      </c>
    </row>
    <row r="929" spans="1:48" x14ac:dyDescent="0.25">
      <c r="A929" t="s">
        <v>1394</v>
      </c>
      <c r="B929" s="2" t="str">
        <f t="shared" si="597"/>
        <v/>
      </c>
      <c r="C929">
        <v>120</v>
      </c>
      <c r="E929" t="s">
        <v>1395</v>
      </c>
      <c r="R929">
        <v>10</v>
      </c>
      <c r="S929" t="s">
        <v>22</v>
      </c>
      <c r="AA929" s="10">
        <f t="shared" si="598"/>
        <v>4461.0190000000002</v>
      </c>
      <c r="AB929" s="3">
        <f t="shared" si="599"/>
        <v>22410.11</v>
      </c>
      <c r="AC929" s="3" cm="1">
        <f t="array" ref="AC929">100000000/LvacE(AA929)</f>
        <v>22410.113451657675</v>
      </c>
      <c r="AD929" s="10">
        <f t="shared" si="600"/>
        <v>7.5117706797099126E-3</v>
      </c>
      <c r="AE929" s="10" t="b">
        <f t="shared" si="601"/>
        <v>1</v>
      </c>
      <c r="AP929"/>
      <c r="AQ929"/>
      <c r="AU929" s="3" cm="1">
        <f t="array" ref="AU929">$C929*EXP(poly_from_str(100000000/$E929,AU$4341))</f>
        <v>1.9864135279114905</v>
      </c>
    </row>
    <row r="930" spans="1:48" x14ac:dyDescent="0.25">
      <c r="A930" t="s">
        <v>1396</v>
      </c>
      <c r="B930" s="2" t="str">
        <f t="shared" si="597"/>
        <v/>
      </c>
      <c r="C930">
        <v>25</v>
      </c>
      <c r="E930" t="s">
        <v>1397</v>
      </c>
      <c r="R930">
        <v>10</v>
      </c>
      <c r="S930" t="s">
        <v>22</v>
      </c>
      <c r="AA930" s="10">
        <f t="shared" si="598"/>
        <v>4460.55</v>
      </c>
      <c r="AB930" s="3">
        <f t="shared" si="599"/>
        <v>22412.47</v>
      </c>
      <c r="AC930" s="3" cm="1">
        <f t="array" ref="AC930">100000000/LvacE(AA930)</f>
        <v>22412.469700528098</v>
      </c>
      <c r="AD930" s="10">
        <f t="shared" si="600"/>
        <v>7.5122988981771418E-3</v>
      </c>
      <c r="AE930" s="10" t="b">
        <f t="shared" si="601"/>
        <v>1</v>
      </c>
      <c r="AP930"/>
      <c r="AQ930"/>
      <c r="AU930" s="3" cm="1">
        <f t="array" ref="AU930">$C930*EXP(poly_from_str(100000000/$E930,AU$4341))</f>
        <v>0.41244900013472408</v>
      </c>
    </row>
    <row r="931" spans="1:48" x14ac:dyDescent="0.25">
      <c r="A931" t="s">
        <v>1398</v>
      </c>
      <c r="B931" s="2" t="str">
        <f t="shared" si="597"/>
        <v/>
      </c>
      <c r="C931">
        <v>8</v>
      </c>
      <c r="D931" t="s">
        <v>14</v>
      </c>
      <c r="E931" t="s">
        <v>1399</v>
      </c>
      <c r="R931">
        <v>10</v>
      </c>
      <c r="S931" t="s">
        <v>22</v>
      </c>
      <c r="AA931" s="10">
        <f t="shared" si="598"/>
        <v>4460.25</v>
      </c>
      <c r="AB931" s="3">
        <f t="shared" si="599"/>
        <v>22413.98</v>
      </c>
      <c r="AC931" s="3" cm="1">
        <f t="array" ref="AC931">100000000/LvacE(AA931)</f>
        <v>22413.977155818964</v>
      </c>
      <c r="AD931" s="10">
        <f t="shared" si="600"/>
        <v>7.5126368651778457E-3</v>
      </c>
      <c r="AE931" s="10" t="b">
        <f t="shared" si="601"/>
        <v>1</v>
      </c>
      <c r="AP931"/>
      <c r="AQ931"/>
      <c r="AU931" s="3" cm="1">
        <f t="array" ref="AU931">$C931*EXP(poly_from_str(100000000/$E931,AU$4341))</f>
        <v>0.13170020732194207</v>
      </c>
    </row>
    <row r="932" spans="1:48" x14ac:dyDescent="0.25">
      <c r="A932" t="s">
        <v>1400</v>
      </c>
      <c r="B932" s="2" t="str">
        <f t="shared" si="597"/>
        <v/>
      </c>
      <c r="C932">
        <v>6</v>
      </c>
      <c r="E932" t="s">
        <v>1401</v>
      </c>
      <c r="R932">
        <v>10</v>
      </c>
      <c r="S932" t="s">
        <v>22</v>
      </c>
      <c r="AA932" s="10">
        <f t="shared" si="598"/>
        <v>4459.8459999999995</v>
      </c>
      <c r="AB932" s="3">
        <f t="shared" si="599"/>
        <v>22416.01</v>
      </c>
      <c r="AC932" s="3" cm="1">
        <f t="array" ref="AC932">100000000/LvacE(AA932)</f>
        <v>22416.007516049864</v>
      </c>
      <c r="AD932" s="10">
        <f t="shared" si="600"/>
        <v>7.5130921018404968E-3</v>
      </c>
      <c r="AE932" s="10" t="b">
        <f t="shared" si="601"/>
        <v>1</v>
      </c>
      <c r="AP932"/>
      <c r="AQ932"/>
      <c r="AU932" s="3" cm="1">
        <f t="array" ref="AU932">$C932*EXP(poly_from_str(100000000/$E932,AU$4341))</f>
        <v>9.8489834618681812E-2</v>
      </c>
    </row>
    <row r="933" spans="1:48" x14ac:dyDescent="0.25">
      <c r="A933" t="s">
        <v>1402</v>
      </c>
      <c r="B933" s="2" t="str">
        <f t="shared" si="597"/>
        <v/>
      </c>
      <c r="C933">
        <v>3</v>
      </c>
      <c r="E933" t="s">
        <v>1403</v>
      </c>
      <c r="R933">
        <v>10</v>
      </c>
      <c r="S933" t="s">
        <v>22</v>
      </c>
      <c r="AA933" s="10">
        <f t="shared" si="598"/>
        <v>4459.7460000000001</v>
      </c>
      <c r="AB933" s="3">
        <f t="shared" si="599"/>
        <v>22416.51</v>
      </c>
      <c r="AC933" s="3" cm="1">
        <f t="array" ref="AC933">100000000/LvacE(AA933)</f>
        <v>22416.510137257184</v>
      </c>
      <c r="AD933" s="10">
        <f t="shared" si="600"/>
        <v>7.5132048032844449E-3</v>
      </c>
      <c r="AE933" s="10" t="b">
        <f t="shared" si="601"/>
        <v>1</v>
      </c>
      <c r="AP933"/>
      <c r="AQ933"/>
      <c r="AU933" s="3" cm="1">
        <f t="array" ref="AU933">$C933*EXP(poly_from_str(100000000/$E933,AU$4341))</f>
        <v>4.9209823133261221E-2</v>
      </c>
    </row>
    <row r="934" spans="1:48" x14ac:dyDescent="0.25">
      <c r="A934" t="s">
        <v>1404</v>
      </c>
      <c r="B934" s="2" t="str">
        <f t="shared" si="597"/>
        <v/>
      </c>
      <c r="C934">
        <v>8</v>
      </c>
      <c r="E934" t="s">
        <v>1405</v>
      </c>
      <c r="R934">
        <v>10</v>
      </c>
      <c r="S934" t="s">
        <v>22</v>
      </c>
      <c r="AA934" s="10">
        <f t="shared" si="598"/>
        <v>4459.2089999999998</v>
      </c>
      <c r="AB934" s="3">
        <f t="shared" si="599"/>
        <v>22419.21</v>
      </c>
      <c r="AC934" s="3" cm="1">
        <f t="array" ref="AC934">100000000/LvacE(AA934)</f>
        <v>22419.209598694302</v>
      </c>
      <c r="AD934" s="10">
        <f t="shared" si="600"/>
        <v>7.5138101397236937E-3</v>
      </c>
      <c r="AE934" s="10" t="b">
        <f t="shared" si="601"/>
        <v>1</v>
      </c>
      <c r="AP934"/>
      <c r="AQ934"/>
      <c r="AU934" s="3" cm="1">
        <f t="array" ref="AU934">$C934*EXP(poly_from_str(100000000/$E934,AU$4341))</f>
        <v>0.13072163750079394</v>
      </c>
    </row>
    <row r="935" spans="1:48" x14ac:dyDescent="0.25">
      <c r="A935" t="s">
        <v>1406</v>
      </c>
      <c r="B935" s="2" t="str">
        <f t="shared" si="597"/>
        <v/>
      </c>
      <c r="C935">
        <v>8</v>
      </c>
      <c r="E935" t="s">
        <v>1407</v>
      </c>
      <c r="R935">
        <v>10</v>
      </c>
      <c r="S935" t="s">
        <v>22</v>
      </c>
      <c r="AA935" s="10">
        <f t="shared" si="598"/>
        <v>4459.134</v>
      </c>
      <c r="AB935" s="3">
        <f t="shared" si="599"/>
        <v>22419.59</v>
      </c>
      <c r="AC935" s="3" cm="1">
        <f t="array" ref="AC935">100000000/LvacE(AA935)</f>
        <v>22419.586670191286</v>
      </c>
      <c r="AD935" s="10">
        <f t="shared" si="600"/>
        <v>7.5138947013244379E-3</v>
      </c>
      <c r="AE935" s="10" t="b">
        <f t="shared" si="601"/>
        <v>1</v>
      </c>
      <c r="AP935"/>
      <c r="AQ935"/>
      <c r="AU935" s="3" cm="1">
        <f t="array" ref="AU935">$C935*EXP(poly_from_str(100000000/$E935,AU$4341))</f>
        <v>0.13065073385882234</v>
      </c>
    </row>
    <row r="936" spans="1:48" x14ac:dyDescent="0.25">
      <c r="A936" t="s">
        <v>1408</v>
      </c>
      <c r="B936" s="2" t="str">
        <f t="shared" si="597"/>
        <v/>
      </c>
      <c r="C936">
        <v>3</v>
      </c>
      <c r="E936" t="s">
        <v>1409</v>
      </c>
      <c r="R936">
        <v>10</v>
      </c>
      <c r="S936" t="s">
        <v>22</v>
      </c>
      <c r="AA936" s="10">
        <f t="shared" si="598"/>
        <v>4458.509</v>
      </c>
      <c r="AB936" s="3">
        <f t="shared" si="599"/>
        <v>22422.73</v>
      </c>
      <c r="AC936" s="3" cm="1">
        <f t="array" ref="AC936">100000000/LvacE(AA936)</f>
        <v>22422.729425998008</v>
      </c>
      <c r="AD936" s="10">
        <f t="shared" si="600"/>
        <v>7.5145995472923801E-3</v>
      </c>
      <c r="AE936" s="10" t="b">
        <f t="shared" si="601"/>
        <v>1</v>
      </c>
      <c r="AP936"/>
      <c r="AQ936"/>
      <c r="AU936" s="3" cm="1">
        <f t="array" ref="AU936">$C936*EXP(poly_from_str(100000000/$E936,AU$4341))</f>
        <v>4.8774700064216039E-2</v>
      </c>
    </row>
    <row r="937" spans="1:48" x14ac:dyDescent="0.25">
      <c r="A937" t="s">
        <v>1410</v>
      </c>
      <c r="B937" s="2" t="str">
        <f t="shared" si="597"/>
        <v/>
      </c>
      <c r="C937">
        <v>30</v>
      </c>
      <c r="E937" t="s">
        <v>1411</v>
      </c>
      <c r="R937">
        <v>10</v>
      </c>
      <c r="S937" t="s">
        <v>22</v>
      </c>
      <c r="AA937" s="10">
        <f t="shared" si="598"/>
        <v>4457.5950000000003</v>
      </c>
      <c r="AB937" s="3">
        <f t="shared" si="599"/>
        <v>22427.33</v>
      </c>
      <c r="AC937" s="3" cm="1">
        <f t="array" ref="AC937">100000000/LvacE(AA937)</f>
        <v>22427.326978819998</v>
      </c>
      <c r="AD937" s="10">
        <f t="shared" si="600"/>
        <v>7.5156308478921928E-3</v>
      </c>
      <c r="AE937" s="10" t="b">
        <f t="shared" si="601"/>
        <v>1</v>
      </c>
      <c r="AP937"/>
      <c r="AQ937"/>
      <c r="AU937" s="3" cm="1">
        <f t="array" ref="AU937">$C937*EXP(poly_from_str(100000000/$E937,AU$4341))</f>
        <v>0.48454628354092572</v>
      </c>
    </row>
    <row r="938" spans="1:48" x14ac:dyDescent="0.25">
      <c r="A938" t="s">
        <v>1412</v>
      </c>
      <c r="B938" s="2" t="str">
        <f t="shared" si="597"/>
        <v/>
      </c>
      <c r="C938">
        <v>8</v>
      </c>
      <c r="D938" t="s">
        <v>14</v>
      </c>
      <c r="E938" t="s">
        <v>1413</v>
      </c>
      <c r="R938">
        <v>10</v>
      </c>
      <c r="S938" t="s">
        <v>22</v>
      </c>
      <c r="AA938" s="10">
        <f t="shared" si="598"/>
        <v>4457.08</v>
      </c>
      <c r="AB938" s="3">
        <f t="shared" si="599"/>
        <v>22429.919999999998</v>
      </c>
      <c r="AC938" s="3" cm="1">
        <f t="array" ref="AC938">100000000/LvacE(AA938)</f>
        <v>22429.918334194321</v>
      </c>
      <c r="AD938" s="10">
        <f t="shared" si="600"/>
        <v>7.5162122212518428E-3</v>
      </c>
      <c r="AE938" s="10" t="b">
        <f t="shared" si="601"/>
        <v>1</v>
      </c>
      <c r="AP938"/>
      <c r="AQ938"/>
      <c r="AU938" s="3" cm="1">
        <f t="array" ref="AU938">$C938*EXP(poly_from_str(100000000/$E938,AU$4341))</f>
        <v>0.12873348882146665</v>
      </c>
    </row>
    <row r="939" spans="1:48" x14ac:dyDescent="0.25">
      <c r="A939" t="s">
        <v>1414</v>
      </c>
      <c r="B939" s="2" t="str">
        <f t="shared" si="597"/>
        <v/>
      </c>
      <c r="C939">
        <v>9</v>
      </c>
      <c r="D939" t="s">
        <v>14</v>
      </c>
      <c r="E939" t="s">
        <v>1415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598"/>
        <v>4456.4620000000004</v>
      </c>
      <c r="AB939" s="3">
        <f t="shared" si="599"/>
        <v>22433.03</v>
      </c>
      <c r="AC939" s="3" cm="1">
        <f t="array" ref="AC939">100000000/LvacE(AA939)</f>
        <v>22433.028751205969</v>
      </c>
      <c r="AD939" s="10">
        <f t="shared" si="600"/>
        <v>7.516910135350191E-3</v>
      </c>
      <c r="AE939" s="10" t="b">
        <f t="shared" si="601"/>
        <v>1</v>
      </c>
      <c r="AJ939" t="s">
        <v>4967</v>
      </c>
      <c r="AK939" t="s">
        <v>4703</v>
      </c>
      <c r="AL939">
        <v>9370.66</v>
      </c>
      <c r="AM939">
        <v>31803.7</v>
      </c>
      <c r="AN939" s="10" cm="1">
        <f t="array" ref="AN939">Lair(100000000/($AM939-$AL939))</f>
        <v>4456.4597641470746</v>
      </c>
      <c r="AO939" s="10">
        <f>100000000/($AM939-$AL939)</f>
        <v>4457.7105911637473</v>
      </c>
      <c r="AU939" s="3" cm="1">
        <f t="array" ref="AU939">$C939*EXP(poly_from_str($AO939,AU$4341))</f>
        <v>0.14417807443481001</v>
      </c>
    </row>
    <row r="940" spans="1:48" x14ac:dyDescent="0.25">
      <c r="A940" t="s">
        <v>1416</v>
      </c>
      <c r="B940" s="2" t="str">
        <f t="shared" si="597"/>
        <v/>
      </c>
      <c r="C940">
        <v>15</v>
      </c>
      <c r="E940" t="s">
        <v>1417</v>
      </c>
      <c r="R940">
        <v>10</v>
      </c>
      <c r="S940" t="s">
        <v>22</v>
      </c>
      <c r="AA940" s="10">
        <f t="shared" si="598"/>
        <v>4456.3180000000002</v>
      </c>
      <c r="AB940" s="3">
        <f t="shared" si="599"/>
        <v>22433.75</v>
      </c>
      <c r="AC940" s="3" cm="1">
        <f t="array" ref="AC940">100000000/LvacE(AA940)</f>
        <v>22433.753632493124</v>
      </c>
      <c r="AD940" s="10">
        <f t="shared" si="600"/>
        <v>7.5170727978224536E-3</v>
      </c>
      <c r="AE940" s="10" t="b">
        <f t="shared" si="601"/>
        <v>1</v>
      </c>
      <c r="AP940"/>
      <c r="AQ940"/>
      <c r="AU940" s="3" cm="1">
        <f t="array" ref="AU940">$C940*EXP(poly_from_str(100000000/$E940,AU$4341))</f>
        <v>0.24005183247170903</v>
      </c>
    </row>
    <row r="941" spans="1:48" x14ac:dyDescent="0.25">
      <c r="A941" t="s">
        <v>1418</v>
      </c>
      <c r="B941" s="2" t="str">
        <f t="shared" si="597"/>
        <v/>
      </c>
      <c r="C941">
        <v>7</v>
      </c>
      <c r="D941" t="s">
        <v>14</v>
      </c>
      <c r="E941" t="s">
        <v>1419</v>
      </c>
      <c r="R941">
        <v>10</v>
      </c>
      <c r="S941" t="s">
        <v>22</v>
      </c>
      <c r="AA941" s="10">
        <f t="shared" si="598"/>
        <v>4456.1440000000002</v>
      </c>
      <c r="AB941" s="3">
        <f t="shared" si="599"/>
        <v>22434.63</v>
      </c>
      <c r="AC941" s="3" cm="1">
        <f t="array" ref="AC941">100000000/LvacE(AA941)</f>
        <v>22434.629593219397</v>
      </c>
      <c r="AD941" s="10">
        <f t="shared" si="600"/>
        <v>7.5172693693493072E-3</v>
      </c>
      <c r="AE941" s="10" t="b">
        <f t="shared" si="601"/>
        <v>1</v>
      </c>
      <c r="AP941"/>
      <c r="AQ941"/>
      <c r="AU941" s="3" cm="1">
        <f t="array" ref="AU941">$C941*EXP(poly_from_str(100000000/$E941,AU$4341))</f>
        <v>0.1118826164869746</v>
      </c>
    </row>
    <row r="942" spans="1:48" x14ac:dyDescent="0.25">
      <c r="A942" t="s">
        <v>1420</v>
      </c>
      <c r="B942" s="2" t="str">
        <f t="shared" si="597"/>
        <v/>
      </c>
      <c r="C942">
        <v>20</v>
      </c>
      <c r="E942" t="s">
        <v>1421</v>
      </c>
      <c r="R942">
        <v>10</v>
      </c>
      <c r="S942" t="s">
        <v>22</v>
      </c>
      <c r="AA942" s="10">
        <f t="shared" si="598"/>
        <v>4454.6869999999999</v>
      </c>
      <c r="AB942" s="3">
        <f t="shared" si="599"/>
        <v>22441.97</v>
      </c>
      <c r="AC942" s="3" cm="1">
        <f t="array" ref="AC942">100000000/LvacE(AA942)</f>
        <v>22441.967191205516</v>
      </c>
      <c r="AD942" s="10">
        <f t="shared" si="600"/>
        <v>7.5189162775303308E-3</v>
      </c>
      <c r="AE942" s="10" t="b">
        <f t="shared" si="601"/>
        <v>1</v>
      </c>
      <c r="AP942"/>
      <c r="AQ942"/>
      <c r="AU942" s="3" cm="1">
        <f t="array" ref="AU942">$C942*EXP(poly_from_str(100000000/$E942,AU$4341))</f>
        <v>0.31630467709340776</v>
      </c>
    </row>
    <row r="943" spans="1:48" x14ac:dyDescent="0.25">
      <c r="A943" t="s">
        <v>1422</v>
      </c>
      <c r="B943" s="2" t="str">
        <f t="shared" si="597"/>
        <v/>
      </c>
      <c r="C943">
        <v>7</v>
      </c>
      <c r="D943" t="s">
        <v>14</v>
      </c>
      <c r="E943" t="s">
        <v>1423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615">$G943&amp;""</f>
        <v>o</v>
      </c>
      <c r="N943" t="str">
        <f t="shared" ref="N943:N946" si="616">$H943&amp;""</f>
        <v>11/2</v>
      </c>
      <c r="O943">
        <v>23844.58</v>
      </c>
      <c r="P943" t="str">
        <f t="shared" ref="P943:P946" si="617">$J943&amp;""</f>
        <v>e</v>
      </c>
      <c r="Q943" t="str">
        <f t="shared" ref="Q943:Q946" si="618">$K943&amp;""</f>
        <v>9/2</v>
      </c>
      <c r="R943">
        <v>10</v>
      </c>
      <c r="AA943" s="10">
        <f t="shared" si="598"/>
        <v>4453.8419999999996</v>
      </c>
      <c r="AB943" s="3">
        <f t="shared" si="599"/>
        <v>22446.22</v>
      </c>
      <c r="AC943" s="3" cm="1">
        <f t="array" ref="AC943">100000000/LvacE(AA943)</f>
        <v>22446.224895299885</v>
      </c>
      <c r="AD943" s="10">
        <f t="shared" si="600"/>
        <v>7.5198721570387869E-3</v>
      </c>
      <c r="AE943" s="10" t="b">
        <f t="shared" si="601"/>
        <v>1</v>
      </c>
      <c r="AJ943" t="s">
        <v>4826</v>
      </c>
      <c r="AK943" t="s">
        <v>4763</v>
      </c>
      <c r="AL943">
        <v>1398.34</v>
      </c>
      <c r="AM943">
        <v>23844.58</v>
      </c>
      <c r="AN943" s="10" cm="1">
        <f t="array" ref="AN943">Lair(100000000/($AM943-$AL943))</f>
        <v>4453.8390016457106</v>
      </c>
      <c r="AO943" s="10">
        <f t="shared" ref="AO943:AO946" si="619">100000000/($AM943-$AL943)</f>
        <v>4455.0891374234616</v>
      </c>
      <c r="AP943" s="12">
        <v>91100</v>
      </c>
      <c r="AQ943" s="3">
        <v>6.5000000000000002E-2</v>
      </c>
      <c r="AR943" s="3">
        <f t="shared" ref="AR943:AR946" si="620">LN(AU943*100000000/($AM943-$AL943)/AP943)</f>
        <v>-5.2249447017450903</v>
      </c>
      <c r="AS943" s="13">
        <f t="shared" ref="AS943:AS946" si="621">EXP(AR$4341*$AM943+AR$4342)*$AP943/(100000000/($AM943-$AL943))</f>
        <v>0.30199879174831717</v>
      </c>
      <c r="AT943" s="3">
        <f t="shared" ref="AT943:AT946" si="622">LN(AS943/$C943)</f>
        <v>-3.1432424115039708</v>
      </c>
      <c r="AU943" s="3" cm="1">
        <f t="array" ref="AU943">$C943*EXP(poly_from_str($AO943,AU$4341))</f>
        <v>0.1100265073179325</v>
      </c>
      <c r="AV943" s="13">
        <f t="shared" ref="AV943:AV946" si="623">LN(AS943/AU943)</f>
        <v>1.0097017041534557</v>
      </c>
    </row>
    <row r="944" spans="1:48" x14ac:dyDescent="0.25">
      <c r="A944" t="s">
        <v>1424</v>
      </c>
      <c r="B944" s="2" t="str">
        <f t="shared" si="597"/>
        <v/>
      </c>
      <c r="C944">
        <v>120</v>
      </c>
      <c r="D944" t="s">
        <v>14</v>
      </c>
      <c r="E944" t="s">
        <v>1425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615"/>
        <v>o</v>
      </c>
      <c r="N944" t="str">
        <f t="shared" si="616"/>
        <v>11/2</v>
      </c>
      <c r="O944">
        <v>39870.17</v>
      </c>
      <c r="P944" t="str">
        <f t="shared" si="617"/>
        <v>e</v>
      </c>
      <c r="Q944" t="str">
        <f t="shared" si="618"/>
        <v>9/2</v>
      </c>
      <c r="R944">
        <v>10</v>
      </c>
      <c r="S944" t="s">
        <v>6</v>
      </c>
      <c r="AA944" s="10">
        <f t="shared" si="598"/>
        <v>4451.0010000000002</v>
      </c>
      <c r="AB944" s="3">
        <f t="shared" si="599"/>
        <v>22460.55</v>
      </c>
      <c r="AC944" s="3" cm="1">
        <f t="array" ref="AC944">100000000/LvacE(AA944)</f>
        <v>22460.551705021491</v>
      </c>
      <c r="AD944" s="10">
        <f t="shared" si="600"/>
        <v>7.5230899414560331E-3</v>
      </c>
      <c r="AE944" s="10" t="b">
        <f t="shared" si="601"/>
        <v>1</v>
      </c>
      <c r="AJ944" t="s">
        <v>4980</v>
      </c>
      <c r="AK944" t="s">
        <v>4731</v>
      </c>
      <c r="AL944">
        <v>17409.580000000002</v>
      </c>
      <c r="AM944">
        <v>39870.17</v>
      </c>
      <c r="AN944" s="10" cm="1">
        <f t="array" ref="AN944">Lair(100000000/($AM944-$AL944))</f>
        <v>4450.9934097724235</v>
      </c>
      <c r="AO944" s="10">
        <f t="shared" si="619"/>
        <v>4452.2427950467918</v>
      </c>
      <c r="AP944" s="12">
        <v>2350000</v>
      </c>
      <c r="AQ944" s="3">
        <v>0.27500000000000002</v>
      </c>
      <c r="AR944" s="3">
        <f t="shared" si="620"/>
        <v>-5.6550086127605752</v>
      </c>
      <c r="AS944" s="13">
        <f t="shared" si="621"/>
        <v>2.3416388248102269</v>
      </c>
      <c r="AT944" s="3">
        <f t="shared" si="622"/>
        <v>-3.9366407060617874</v>
      </c>
      <c r="AU944" s="3" cm="1">
        <f t="array" ref="AU944">$C944*EXP(poly_from_str($AO944,AU$4341))</f>
        <v>1.8473534111933931</v>
      </c>
      <c r="AV944" s="13">
        <f t="shared" si="623"/>
        <v>0.23709701044291645</v>
      </c>
    </row>
    <row r="945" spans="1:48" x14ac:dyDescent="0.25">
      <c r="A945" t="s">
        <v>1426</v>
      </c>
      <c r="B945" s="2" t="str">
        <f t="shared" si="597"/>
        <v/>
      </c>
      <c r="C945">
        <v>180</v>
      </c>
      <c r="D945" t="s">
        <v>14</v>
      </c>
      <c r="E945" t="s">
        <v>1427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615"/>
        <v>o</v>
      </c>
      <c r="N945" t="str">
        <f t="shared" si="616"/>
        <v>5/2</v>
      </c>
      <c r="O945">
        <v>36652.29</v>
      </c>
      <c r="P945" t="str">
        <f t="shared" si="617"/>
        <v>e</v>
      </c>
      <c r="Q945" t="str">
        <f t="shared" si="618"/>
        <v>5/2</v>
      </c>
      <c r="R945">
        <v>10</v>
      </c>
      <c r="AA945" s="10">
        <f t="shared" si="598"/>
        <v>4450.1369999999997</v>
      </c>
      <c r="AB945" s="3">
        <f t="shared" si="599"/>
        <v>22464.91</v>
      </c>
      <c r="AC945" s="3" cm="1">
        <f t="array" ref="AC945">100000000/LvacE(AA945)</f>
        <v>22464.912376979861</v>
      </c>
      <c r="AD945" s="10">
        <f t="shared" si="600"/>
        <v>7.524069750771703E-3</v>
      </c>
      <c r="AE945" s="10" t="b">
        <f t="shared" si="601"/>
        <v>1</v>
      </c>
      <c r="AJ945" t="s">
        <v>4979</v>
      </c>
      <c r="AK945" t="s">
        <v>4771</v>
      </c>
      <c r="AL945">
        <v>14187.35</v>
      </c>
      <c r="AM945">
        <v>36652.29</v>
      </c>
      <c r="AN945" s="10" cm="1">
        <f t="array" ref="AN945">Lair(100000000/($AM945-$AL945))</f>
        <v>4450.131526780473</v>
      </c>
      <c r="AO945" s="10">
        <f t="shared" si="619"/>
        <v>4451.3806847469878</v>
      </c>
      <c r="AP945" s="12">
        <v>2270000</v>
      </c>
      <c r="AQ945" s="3">
        <v>0.442</v>
      </c>
      <c r="AR945" s="3">
        <f t="shared" si="620"/>
        <v>-5.2214304219851231</v>
      </c>
      <c r="AS945" s="13">
        <f t="shared" si="621"/>
        <v>2.8803178756934567</v>
      </c>
      <c r="AT945" s="3">
        <f t="shared" si="622"/>
        <v>-4.1350561893283908</v>
      </c>
      <c r="AU945" s="3" cm="1">
        <f t="array" ref="AU945">$C945*EXP(poly_from_str($AO945,AU$4341))</f>
        <v>2.7535483091470176</v>
      </c>
      <c r="AV945" s="13">
        <f t="shared" si="623"/>
        <v>4.5010287362307187E-2</v>
      </c>
    </row>
    <row r="946" spans="1:48" x14ac:dyDescent="0.25">
      <c r="A946" t="s">
        <v>1428</v>
      </c>
      <c r="B946" s="2" t="str">
        <f t="shared" si="597"/>
        <v/>
      </c>
      <c r="C946">
        <v>150</v>
      </c>
      <c r="D946" t="s">
        <v>14</v>
      </c>
      <c r="E946" t="s">
        <v>1429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615"/>
        <v>o</v>
      </c>
      <c r="N946" t="str">
        <f t="shared" si="616"/>
        <v>7/2</v>
      </c>
      <c r="O946">
        <v>37919.58</v>
      </c>
      <c r="P946" t="str">
        <f t="shared" si="617"/>
        <v>e</v>
      </c>
      <c r="Q946" t="str">
        <f t="shared" si="618"/>
        <v>7/2</v>
      </c>
      <c r="R946">
        <v>10</v>
      </c>
      <c r="S946" t="s">
        <v>6</v>
      </c>
      <c r="AA946" s="10">
        <f t="shared" si="598"/>
        <v>4447.93</v>
      </c>
      <c r="AB946" s="3">
        <f t="shared" si="599"/>
        <v>22476.06</v>
      </c>
      <c r="AC946" s="3" cm="1">
        <f t="array" ref="AC946">100000000/LvacE(AA946)</f>
        <v>22476.058959811107</v>
      </c>
      <c r="AD946" s="10">
        <f t="shared" si="600"/>
        <v>7.5265751664044967E-3</v>
      </c>
      <c r="AE946" s="10" t="b">
        <f t="shared" si="601"/>
        <v>1</v>
      </c>
      <c r="AJ946" t="s">
        <v>4982</v>
      </c>
      <c r="AK946" t="s">
        <v>4764</v>
      </c>
      <c r="AL946">
        <v>15443.48</v>
      </c>
      <c r="AM946">
        <v>37919.58</v>
      </c>
      <c r="AN946" s="10" cm="1">
        <f t="array" ref="AN946">Lair(100000000/($AM946-$AL946))</f>
        <v>4447.9218769469899</v>
      </c>
      <c r="AO946" s="10">
        <f t="shared" si="619"/>
        <v>4449.1704521691927</v>
      </c>
      <c r="AP946" s="12">
        <v>2680000</v>
      </c>
      <c r="AQ946" s="3">
        <v>0.17899999999999999</v>
      </c>
      <c r="AR946" s="3">
        <f t="shared" si="620"/>
        <v>-5.5865763800228434</v>
      </c>
      <c r="AS946" s="13">
        <f t="shared" si="621"/>
        <v>3.0935777437323897</v>
      </c>
      <c r="AT946" s="3">
        <f t="shared" si="622"/>
        <v>-3.8813070271050849</v>
      </c>
      <c r="AU946" s="3" cm="1">
        <f t="array" ref="AU946">$C946*EXP(poly_from_str($AO946,AU$4341))</f>
        <v>2.2575452037640327</v>
      </c>
      <c r="AV946" s="13">
        <f t="shared" si="623"/>
        <v>0.3150502370669015</v>
      </c>
    </row>
    <row r="947" spans="1:48" x14ac:dyDescent="0.25">
      <c r="A947" t="s">
        <v>1430</v>
      </c>
      <c r="B947" s="2" t="str">
        <f t="shared" si="597"/>
        <v/>
      </c>
      <c r="C947">
        <v>7</v>
      </c>
      <c r="E947" t="s">
        <v>1431</v>
      </c>
      <c r="R947">
        <v>10</v>
      </c>
      <c r="S947" t="s">
        <v>22</v>
      </c>
      <c r="AA947" s="10">
        <f t="shared" si="598"/>
        <v>4447.2690000000002</v>
      </c>
      <c r="AB947" s="3">
        <f t="shared" si="599"/>
        <v>22479.4</v>
      </c>
      <c r="AC947" s="3" cm="1">
        <f t="array" ref="AC947">100000000/LvacE(AA947)</f>
        <v>22479.399531901283</v>
      </c>
      <c r="AD947" s="10">
        <f t="shared" si="600"/>
        <v>7.5273262683122257E-3</v>
      </c>
      <c r="AE947" s="10" t="b">
        <f t="shared" si="601"/>
        <v>1</v>
      </c>
      <c r="AP947"/>
      <c r="AQ947"/>
      <c r="AU947" s="16" cm="1">
        <f t="array" ref="AU947">$C947*EXP(poly_from_str(100000000/$E947,AU$4342))</f>
        <v>0.32828694388612562</v>
      </c>
    </row>
    <row r="948" spans="1:48" x14ac:dyDescent="0.25">
      <c r="A948" t="s">
        <v>1432</v>
      </c>
      <c r="B948" s="2" t="str">
        <f t="shared" si="597"/>
        <v/>
      </c>
      <c r="C948">
        <v>6</v>
      </c>
      <c r="E948" t="s">
        <v>1433</v>
      </c>
      <c r="R948">
        <v>10</v>
      </c>
      <c r="S948" t="s">
        <v>22</v>
      </c>
      <c r="AA948" s="10">
        <f t="shared" si="598"/>
        <v>4445.9260000000004</v>
      </c>
      <c r="AB948" s="3">
        <f t="shared" si="599"/>
        <v>22486.19</v>
      </c>
      <c r="AC948" s="3" cm="1">
        <f t="array" ref="AC948">100000000/LvacE(AA948)</f>
        <v>22486.189865487602</v>
      </c>
      <c r="AD948" s="10">
        <f t="shared" si="600"/>
        <v>7.5288533665975998E-3</v>
      </c>
      <c r="AE948" s="10" t="b">
        <f t="shared" si="601"/>
        <v>1</v>
      </c>
      <c r="AP948"/>
      <c r="AQ948"/>
      <c r="AU948" s="16" cm="1">
        <f t="array" ref="AU948">$C948*EXP(poly_from_str(100000000/$E948,AU$4342))</f>
        <v>0.28042956539477876</v>
      </c>
    </row>
    <row r="949" spans="1:48" x14ac:dyDescent="0.25">
      <c r="A949" t="s">
        <v>1434</v>
      </c>
      <c r="B949" s="2" t="str">
        <f t="shared" si="597"/>
        <v/>
      </c>
      <c r="C949">
        <v>20</v>
      </c>
      <c r="E949" t="s">
        <v>1435</v>
      </c>
      <c r="R949">
        <v>10</v>
      </c>
      <c r="S949" t="s">
        <v>22</v>
      </c>
      <c r="AA949" s="10">
        <f t="shared" si="598"/>
        <v>4445.76</v>
      </c>
      <c r="AB949" s="3">
        <f t="shared" si="599"/>
        <v>22487.03</v>
      </c>
      <c r="AC949" s="3" cm="1">
        <f t="array" ref="AC949">100000000/LvacE(AA949)</f>
        <v>22487.029461885737</v>
      </c>
      <c r="AD949" s="10">
        <f t="shared" si="600"/>
        <v>7.5290422179656279E-3</v>
      </c>
      <c r="AE949" s="10" t="b">
        <f t="shared" si="601"/>
        <v>1</v>
      </c>
      <c r="AP949"/>
      <c r="AQ949"/>
      <c r="AU949" s="16" cm="1">
        <f t="array" ref="AU949">$C949*EXP(poly_from_str(100000000/$E949,AU$4342))</f>
        <v>0.93437273249043329</v>
      </c>
    </row>
    <row r="950" spans="1:48" x14ac:dyDescent="0.25">
      <c r="A950" t="s">
        <v>1436</v>
      </c>
      <c r="B950" s="2" t="str">
        <f t="shared" si="597"/>
        <v/>
      </c>
      <c r="C950">
        <v>5</v>
      </c>
      <c r="E950" t="s">
        <v>1437</v>
      </c>
      <c r="R950">
        <v>10</v>
      </c>
      <c r="S950" t="s">
        <v>22</v>
      </c>
      <c r="AA950" s="10">
        <f t="shared" si="598"/>
        <v>4445.0230000000001</v>
      </c>
      <c r="AB950" s="3">
        <f t="shared" si="599"/>
        <v>22490.76</v>
      </c>
      <c r="AC950" s="3" cm="1">
        <f t="array" ref="AC950">100000000/LvacE(AA950)</f>
        <v>22490.757824818196</v>
      </c>
      <c r="AD950" s="10">
        <f t="shared" si="600"/>
        <v>7.5298809280422395E-3</v>
      </c>
      <c r="AE950" s="10" t="b">
        <f t="shared" si="601"/>
        <v>1</v>
      </c>
      <c r="AP950"/>
      <c r="AQ950"/>
      <c r="AU950" s="16" cm="1">
        <f t="array" ref="AU950">$C950*EXP(poly_from_str(100000000/$E950,AU$4342))</f>
        <v>0.23315951204564919</v>
      </c>
    </row>
    <row r="951" spans="1:48" x14ac:dyDescent="0.25">
      <c r="A951" t="s">
        <v>1438</v>
      </c>
      <c r="B951" s="2" t="str">
        <f t="shared" si="597"/>
        <v/>
      </c>
      <c r="C951">
        <v>25</v>
      </c>
      <c r="E951" t="s">
        <v>1439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598"/>
        <v>4444.7969999999996</v>
      </c>
      <c r="AB951" s="3">
        <f t="shared" si="599"/>
        <v>22491.9</v>
      </c>
      <c r="AC951" s="3" cm="1">
        <f t="array" ref="AC951">100000000/LvacE(AA951)</f>
        <v>22491.901369697192</v>
      </c>
      <c r="AD951" s="10">
        <f t="shared" si="600"/>
        <v>7.5301382008781496E-3</v>
      </c>
      <c r="AE951" s="10" t="b">
        <f t="shared" si="601"/>
        <v>1</v>
      </c>
      <c r="AJ951" t="s">
        <v>4765</v>
      </c>
      <c r="AK951" t="s">
        <v>4894</v>
      </c>
      <c r="AL951">
        <v>44903.42</v>
      </c>
      <c r="AM951">
        <v>67395.320000000007</v>
      </c>
      <c r="AN951" s="10" cm="1">
        <f t="array" ref="AN951">Lair(100000000/($AM951-$AL951))</f>
        <v>4444.7972694349228</v>
      </c>
      <c r="AO951" s="10">
        <f>100000000/($AM951-$AL951)</f>
        <v>4446.0450206518772</v>
      </c>
      <c r="AP951" s="12">
        <v>2650000</v>
      </c>
      <c r="AQ951" s="3">
        <v>9.5000000000000001E-2</v>
      </c>
      <c r="AR951" s="3">
        <f>LN(AU951*100000000/($AM951-$AL951)/AP951)</f>
        <v>-6.2374603148848546</v>
      </c>
      <c r="AS951" s="13">
        <f>EXP(AR$4341*$AM951+AR$4342)*$AP951/(100000000/($AM951-$AL951))</f>
        <v>0.33511385214509498</v>
      </c>
      <c r="AT951" s="3">
        <f>LN(AS951/$C951)</f>
        <v>-4.312160772614094</v>
      </c>
      <c r="AU951" s="16" cm="1">
        <f t="array" ref="AU951">$C951*EXP(poly_from_str(100000000/$E951,AU$4342))</f>
        <v>1.1651381486297734</v>
      </c>
      <c r="AV951" s="13">
        <f>LN(AS951/AU951)</f>
        <v>-1.246124610248033</v>
      </c>
    </row>
    <row r="952" spans="1:48" x14ac:dyDescent="0.25">
      <c r="A952" t="s">
        <v>1440</v>
      </c>
      <c r="B952" s="2" t="str">
        <f t="shared" si="597"/>
        <v/>
      </c>
      <c r="C952">
        <v>8</v>
      </c>
      <c r="E952" t="s">
        <v>1441</v>
      </c>
      <c r="R952">
        <v>10</v>
      </c>
      <c r="S952" t="s">
        <v>22</v>
      </c>
      <c r="AA952" s="10">
        <f t="shared" si="598"/>
        <v>4440.6689999999999</v>
      </c>
      <c r="AB952" s="3">
        <f t="shared" si="599"/>
        <v>22512.81</v>
      </c>
      <c r="AC952" s="3" cm="1">
        <f t="array" ref="AC952">100000000/LvacE(AA952)</f>
        <v>22512.809252689269</v>
      </c>
      <c r="AD952" s="10">
        <f t="shared" si="600"/>
        <v>7.5348443278129111E-3</v>
      </c>
      <c r="AE952" s="10" t="b">
        <f t="shared" si="601"/>
        <v>1</v>
      </c>
      <c r="AP952"/>
      <c r="AQ952"/>
      <c r="AU952" s="16" cm="1">
        <f t="array" ref="AU952">$C952*EXP(poly_from_str(100000000/$E952,AU$4342))</f>
        <v>0.36906037149932863</v>
      </c>
    </row>
    <row r="953" spans="1:48" x14ac:dyDescent="0.25">
      <c r="A953" t="s">
        <v>1442</v>
      </c>
      <c r="B953" s="2" t="str">
        <f t="shared" si="597"/>
        <v/>
      </c>
      <c r="C953">
        <v>7</v>
      </c>
      <c r="D953" t="s">
        <v>530</v>
      </c>
      <c r="E953" t="s">
        <v>1443</v>
      </c>
      <c r="R953">
        <v>10</v>
      </c>
      <c r="S953" t="s">
        <v>22</v>
      </c>
      <c r="AA953" s="10">
        <f t="shared" si="598"/>
        <v>4440.5810000000001</v>
      </c>
      <c r="AB953" s="3">
        <f t="shared" si="599"/>
        <v>22513.26</v>
      </c>
      <c r="AC953" s="3" cm="1">
        <f t="array" ref="AC953">100000000/LvacE(AA953)</f>
        <v>22513.255386530684</v>
      </c>
      <c r="AD953" s="10">
        <f t="shared" si="600"/>
        <v>7.5349447951214808E-3</v>
      </c>
      <c r="AE953" s="10" t="b">
        <f t="shared" si="601"/>
        <v>1</v>
      </c>
      <c r="AP953"/>
      <c r="AQ953"/>
      <c r="AU953" s="16" cm="1">
        <f t="array" ref="AU953">$C953*EXP(poly_from_str(100000000/$E953,AU$4342))</f>
        <v>0.32285813278403119</v>
      </c>
    </row>
    <row r="954" spans="1:48" x14ac:dyDescent="0.25">
      <c r="A954" t="s">
        <v>1444</v>
      </c>
      <c r="B954" s="2" t="str">
        <f t="shared" si="597"/>
        <v/>
      </c>
      <c r="C954">
        <v>2</v>
      </c>
      <c r="D954" t="s">
        <v>14</v>
      </c>
      <c r="E954" t="s">
        <v>1445</v>
      </c>
      <c r="R954">
        <v>10</v>
      </c>
      <c r="S954" t="s">
        <v>22</v>
      </c>
      <c r="AA954" s="10">
        <f t="shared" si="598"/>
        <v>4438.9949999999999</v>
      </c>
      <c r="AB954" s="3">
        <f t="shared" si="599"/>
        <v>22521.3</v>
      </c>
      <c r="AC954" s="3" cm="1">
        <f t="array" ref="AC954">100000000/LvacE(AA954)</f>
        <v>22521.298967189501</v>
      </c>
      <c r="AD954" s="10">
        <f t="shared" si="600"/>
        <v>7.5367565143900257E-3</v>
      </c>
      <c r="AE954" s="10" t="b">
        <f t="shared" si="601"/>
        <v>1</v>
      </c>
      <c r="AP954"/>
      <c r="AQ954"/>
      <c r="AU954" s="16" cm="1">
        <f t="array" ref="AU954">$C954*EXP(poly_from_str(100000000/$E954,AU$4342))</f>
        <v>9.1892534057056705E-2</v>
      </c>
    </row>
    <row r="955" spans="1:48" x14ac:dyDescent="0.25">
      <c r="A955" t="s">
        <v>1446</v>
      </c>
      <c r="B955" s="2" t="str">
        <f t="shared" si="597"/>
        <v/>
      </c>
      <c r="C955">
        <v>9</v>
      </c>
      <c r="D955" t="s">
        <v>14</v>
      </c>
      <c r="E955" t="s">
        <v>1447</v>
      </c>
      <c r="R955">
        <v>10</v>
      </c>
      <c r="S955" t="s">
        <v>22</v>
      </c>
      <c r="AA955" s="10">
        <f t="shared" si="598"/>
        <v>4438.6589999999997</v>
      </c>
      <c r="AB955" s="3">
        <f t="shared" si="599"/>
        <v>22523</v>
      </c>
      <c r="AC955" s="3" cm="1">
        <f t="array" ref="AC955">100000000/LvacE(AA955)</f>
        <v>22523.003767536818</v>
      </c>
      <c r="AD955" s="10">
        <f t="shared" si="600"/>
        <v>7.5371405831735237E-3</v>
      </c>
      <c r="AE955" s="10" t="b">
        <f t="shared" si="601"/>
        <v>1</v>
      </c>
      <c r="AP955"/>
      <c r="AQ955"/>
      <c r="AU955" s="16" cm="1">
        <f t="array" ref="AU955">$C955*EXP(poly_from_str(100000000/$E955,AU$4342))</f>
        <v>0.41318424521575942</v>
      </c>
    </row>
    <row r="956" spans="1:48" x14ac:dyDescent="0.25">
      <c r="A956" t="s">
        <v>1448</v>
      </c>
      <c r="B956" s="2" t="str">
        <f t="shared" si="597"/>
        <v/>
      </c>
      <c r="C956">
        <v>6</v>
      </c>
      <c r="E956" t="s">
        <v>1449</v>
      </c>
      <c r="R956">
        <v>10</v>
      </c>
      <c r="S956" t="s">
        <v>22</v>
      </c>
      <c r="AA956" s="10">
        <f t="shared" si="598"/>
        <v>4438.3720000000003</v>
      </c>
      <c r="AB956" s="3">
        <f t="shared" si="599"/>
        <v>22524.46</v>
      </c>
      <c r="AC956" s="3" cm="1">
        <f t="array" ref="AC956">100000000/LvacE(AA956)</f>
        <v>22524.46015556105</v>
      </c>
      <c r="AD956" s="10">
        <f t="shared" si="600"/>
        <v>7.5374687110004585E-3</v>
      </c>
      <c r="AE956" s="10" t="b">
        <f t="shared" si="601"/>
        <v>1</v>
      </c>
      <c r="AP956"/>
      <c r="AQ956"/>
      <c r="AU956" s="16" cm="1">
        <f t="array" ref="AU956">$C956*EXP(poly_from_str(100000000/$E956,AU$4342))</f>
        <v>0.27526661133972963</v>
      </c>
    </row>
    <row r="957" spans="1:48" x14ac:dyDescent="0.25">
      <c r="A957" t="s">
        <v>1450</v>
      </c>
      <c r="B957" s="2" t="str">
        <f t="shared" si="597"/>
        <v/>
      </c>
      <c r="C957">
        <v>9</v>
      </c>
      <c r="D957" t="s">
        <v>14</v>
      </c>
      <c r="E957" t="s">
        <v>1451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598"/>
        <v>4437.7330000000002</v>
      </c>
      <c r="AB957" s="3">
        <f t="shared" si="599"/>
        <v>22527.7</v>
      </c>
      <c r="AC957" s="3" cm="1">
        <f t="array" ref="AC957">100000000/LvacE(AA957)</f>
        <v>22527.703452190304</v>
      </c>
      <c r="AD957" s="10">
        <f t="shared" si="600"/>
        <v>7.5381995099964676E-3</v>
      </c>
      <c r="AE957" s="10" t="b">
        <f t="shared" si="601"/>
        <v>1</v>
      </c>
      <c r="AJ957" t="s">
        <v>4757</v>
      </c>
      <c r="AK957" t="s">
        <v>4799</v>
      </c>
      <c r="AL957">
        <v>0</v>
      </c>
      <c r="AM957">
        <v>22527.7</v>
      </c>
      <c r="AN957" s="10" cm="1">
        <f t="array" ref="AN957">Lair(100000000/($AM957-$AL957))</f>
        <v>4437.7336787684453</v>
      </c>
      <c r="AO957" s="10">
        <f>100000000/($AM957-$AL957)</f>
        <v>4438.9795673770514</v>
      </c>
      <c r="AP957" s="12">
        <v>135000</v>
      </c>
      <c r="AQ957" s="3">
        <v>1.2999999999999999E-2</v>
      </c>
      <c r="AR957" s="3"/>
      <c r="AS957" s="13">
        <f>EXP(AR$4341*$AM957+AR$4342)*$AP957/(100000000/($AM957-$AL957))</f>
        <v>0.49580867385943939</v>
      </c>
      <c r="AT957" s="3"/>
      <c r="AU957" s="16" cm="1">
        <f t="array" ref="AU957">$C957*EXP(poly_from_str(100000000/$E957,AU$4342))</f>
        <v>0.41227202414106062</v>
      </c>
    </row>
    <row r="958" spans="1:48" x14ac:dyDescent="0.25">
      <c r="A958" t="s">
        <v>1452</v>
      </c>
      <c r="B958" s="2" t="str">
        <f t="shared" si="597"/>
        <v/>
      </c>
      <c r="C958">
        <v>8</v>
      </c>
      <c r="E958" t="s">
        <v>1453</v>
      </c>
      <c r="R958">
        <v>10</v>
      </c>
      <c r="S958" t="s">
        <v>22</v>
      </c>
      <c r="AA958" s="10">
        <f t="shared" si="598"/>
        <v>4437.0680000000002</v>
      </c>
      <c r="AB958" s="3">
        <f t="shared" si="599"/>
        <v>22531.08</v>
      </c>
      <c r="AC958" s="3" cm="1">
        <f t="array" ref="AC958">100000000/LvacE(AA958)</f>
        <v>22531.079705861681</v>
      </c>
      <c r="AD958" s="10">
        <f t="shared" si="600"/>
        <v>7.5389603794512143E-3</v>
      </c>
      <c r="AE958" s="10" t="b">
        <f t="shared" si="601"/>
        <v>1</v>
      </c>
      <c r="AP958"/>
      <c r="AQ958"/>
      <c r="AU958" s="16" cm="1">
        <f t="array" ref="AU958">$C958*EXP(poly_from_str(100000000/$E958,AU$4342))</f>
        <v>0.36588578620710721</v>
      </c>
    </row>
    <row r="959" spans="1:48" x14ac:dyDescent="0.25">
      <c r="A959" t="s">
        <v>1454</v>
      </c>
      <c r="B959" s="2" t="str">
        <f t="shared" si="597"/>
        <v/>
      </c>
      <c r="C959">
        <v>3</v>
      </c>
      <c r="E959" t="s">
        <v>1455</v>
      </c>
      <c r="R959">
        <v>10</v>
      </c>
      <c r="S959" t="s">
        <v>22</v>
      </c>
      <c r="AA959" s="10">
        <f t="shared" si="598"/>
        <v>4436.4930000000004</v>
      </c>
      <c r="AB959" s="3">
        <f t="shared" si="599"/>
        <v>22534</v>
      </c>
      <c r="AC959" s="3" cm="1">
        <f t="array" ref="AC959">100000000/LvacE(AA959)</f>
        <v>22533.999838872933</v>
      </c>
      <c r="AD959" s="10">
        <f t="shared" si="600"/>
        <v>7.539618549930422E-3</v>
      </c>
      <c r="AE959" s="10" t="b">
        <f t="shared" si="601"/>
        <v>1</v>
      </c>
      <c r="AP959"/>
      <c r="AQ959"/>
      <c r="AU959" s="16" cm="1">
        <f t="array" ref="AU959">$C959*EXP(poly_from_str(100000000/$E959,AU$4342))</f>
        <v>0.13702107172006678</v>
      </c>
    </row>
    <row r="960" spans="1:48" x14ac:dyDescent="0.25">
      <c r="A960" t="s">
        <v>1456</v>
      </c>
      <c r="B960" s="2" t="str">
        <f t="shared" si="597"/>
        <v/>
      </c>
      <c r="C960">
        <v>5</v>
      </c>
      <c r="E960" t="s">
        <v>1457</v>
      </c>
      <c r="R960">
        <v>10</v>
      </c>
      <c r="S960" t="s">
        <v>22</v>
      </c>
      <c r="AA960" s="10">
        <f t="shared" si="598"/>
        <v>4436.1899999999996</v>
      </c>
      <c r="AB960" s="3">
        <f t="shared" si="599"/>
        <v>22535.54</v>
      </c>
      <c r="AC960" s="3" cm="1">
        <f t="array" ref="AC960">100000000/LvacE(AA960)</f>
        <v>22535.53892655149</v>
      </c>
      <c r="AD960" s="10">
        <f t="shared" si="600"/>
        <v>7.5399654801250049E-3</v>
      </c>
      <c r="AE960" s="10" t="b">
        <f t="shared" si="601"/>
        <v>1</v>
      </c>
      <c r="AP960"/>
      <c r="AQ960"/>
      <c r="AU960" s="16" cm="1">
        <f t="array" ref="AU960">$C960*EXP(poly_from_str(100000000/$E960,AU$4342))</f>
        <v>0.2282056354646308</v>
      </c>
    </row>
    <row r="961" spans="1:47" x14ac:dyDescent="0.25">
      <c r="A961" t="s">
        <v>1458</v>
      </c>
      <c r="B961" s="2" t="str">
        <f t="shared" si="597"/>
        <v/>
      </c>
      <c r="C961">
        <v>3</v>
      </c>
      <c r="D961" t="s">
        <v>143</v>
      </c>
      <c r="E961" t="s">
        <v>1459</v>
      </c>
      <c r="R961">
        <v>10</v>
      </c>
      <c r="S961" t="s">
        <v>22</v>
      </c>
      <c r="AA961" s="10">
        <f t="shared" si="598"/>
        <v>4435.1679999999997</v>
      </c>
      <c r="AB961" s="3">
        <f t="shared" si="599"/>
        <v>22540.73</v>
      </c>
      <c r="AC961" s="3" cm="1">
        <f t="array" ref="AC961">100000000/LvacE(AA961)</f>
        <v>22540.731723615685</v>
      </c>
      <c r="AD961" s="10">
        <f t="shared" si="600"/>
        <v>7.5411361783381918E-3</v>
      </c>
      <c r="AE961" s="10" t="b">
        <f t="shared" si="601"/>
        <v>1</v>
      </c>
      <c r="AP961"/>
      <c r="AQ961"/>
      <c r="AU961" s="16" cm="1">
        <f t="array" ref="AU961">$C961*EXP(poly_from_str(100000000/$E961,AU$4342))</f>
        <v>0.13659646506168865</v>
      </c>
    </row>
    <row r="962" spans="1:47" x14ac:dyDescent="0.25">
      <c r="A962" t="s">
        <v>1460</v>
      </c>
      <c r="B962" s="2" t="str">
        <f t="shared" si="597"/>
        <v/>
      </c>
      <c r="C962">
        <v>9</v>
      </c>
      <c r="E962" t="s">
        <v>1461</v>
      </c>
      <c r="R962">
        <v>10</v>
      </c>
      <c r="S962" t="s">
        <v>22</v>
      </c>
      <c r="AA962" s="10">
        <f t="shared" si="598"/>
        <v>4434.8069999999998</v>
      </c>
      <c r="AB962" s="3">
        <f t="shared" si="599"/>
        <v>22542.57</v>
      </c>
      <c r="AC962" s="3" cm="1">
        <f t="array" ref="AC962">100000000/LvacE(AA962)</f>
        <v>22542.566541933131</v>
      </c>
      <c r="AD962" s="10">
        <f t="shared" si="600"/>
        <v>7.5415498963013645E-3</v>
      </c>
      <c r="AE962" s="10" t="b">
        <f t="shared" si="601"/>
        <v>1</v>
      </c>
      <c r="AP962"/>
      <c r="AQ962"/>
      <c r="AU962" s="16" cm="1">
        <f t="array" ref="AU962">$C962*EXP(poly_from_str(100000000/$E962,AU$4342))</f>
        <v>0.40944425088817354</v>
      </c>
    </row>
    <row r="963" spans="1:47" x14ac:dyDescent="0.25">
      <c r="A963" t="s">
        <v>1462</v>
      </c>
      <c r="B963" s="2" t="str">
        <f t="shared" ref="B963:B1026" si="624">IF(OR(A963=A962,A963=A964),IF(B962="",1,B962+1),"")</f>
        <v/>
      </c>
      <c r="C963">
        <v>1</v>
      </c>
      <c r="E963" t="s">
        <v>1463</v>
      </c>
      <c r="R963">
        <v>10</v>
      </c>
      <c r="S963" t="s">
        <v>22</v>
      </c>
      <c r="AA963" s="10">
        <f t="shared" ref="AA963:AA1026" si="625">ROUND($A963,3)+0</f>
        <v>4434.2</v>
      </c>
      <c r="AB963" s="3">
        <f t="shared" ref="AB963:AB1026" si="626">ROUND($E963,2)+0</f>
        <v>22545.65</v>
      </c>
      <c r="AC963" s="3" cm="1">
        <f t="array" ref="AC963">100000000/LvacE(AA963)</f>
        <v>22545.652353135021</v>
      </c>
      <c r="AD963" s="10">
        <f t="shared" ref="AD963:AD1026" si="627">0.0005/$AA963*AC963+0.005</f>
        <v>7.542245766218824E-3</v>
      </c>
      <c r="AE963" s="10" t="b">
        <f t="shared" ref="AE963:AE1026" si="628">ABS(AB963-AC963)&lt;AD963</f>
        <v>1</v>
      </c>
      <c r="AP963"/>
      <c r="AQ963"/>
      <c r="AU963" s="16" cm="1">
        <f t="array" ref="AU963">$C963*EXP(poly_from_str(100000000/$E963,AU$4342))</f>
        <v>4.5429943425235805E-2</v>
      </c>
    </row>
    <row r="964" spans="1:47" x14ac:dyDescent="0.25">
      <c r="A964" t="s">
        <v>1464</v>
      </c>
      <c r="B964" s="2" t="str">
        <f t="shared" si="624"/>
        <v/>
      </c>
      <c r="C964">
        <v>1</v>
      </c>
      <c r="E964" t="s">
        <v>1465</v>
      </c>
      <c r="R964">
        <v>10</v>
      </c>
      <c r="S964" t="s">
        <v>22</v>
      </c>
      <c r="AA964" s="10">
        <f t="shared" si="625"/>
        <v>4434.134</v>
      </c>
      <c r="AB964" s="3">
        <f t="shared" si="626"/>
        <v>22545.99</v>
      </c>
      <c r="AC964" s="3" cm="1">
        <f t="array" ref="AC964">100000000/LvacE(AA964)</f>
        <v>22545.987928835089</v>
      </c>
      <c r="AD964" s="10">
        <f t="shared" si="627"/>
        <v>7.5423214464013823E-3</v>
      </c>
      <c r="AE964" s="10" t="b">
        <f t="shared" si="628"/>
        <v>1</v>
      </c>
      <c r="AP964"/>
      <c r="AQ964"/>
      <c r="AU964" s="16" cm="1">
        <f t="array" ref="AU964">$C964*EXP(poly_from_str(100000000/$E964,AU$4342))</f>
        <v>4.5422919049141974E-2</v>
      </c>
    </row>
    <row r="965" spans="1:47" x14ac:dyDescent="0.25">
      <c r="A965" t="s">
        <v>1466</v>
      </c>
      <c r="B965" s="2" t="str">
        <f t="shared" si="624"/>
        <v/>
      </c>
      <c r="C965">
        <v>8</v>
      </c>
      <c r="E965" t="s">
        <v>1467</v>
      </c>
      <c r="R965">
        <v>10</v>
      </c>
      <c r="S965" t="s">
        <v>22</v>
      </c>
      <c r="AA965" s="10">
        <f t="shared" si="625"/>
        <v>4433.6779999999999</v>
      </c>
      <c r="AB965" s="3">
        <f t="shared" si="626"/>
        <v>22548.31</v>
      </c>
      <c r="AC965" s="3" cm="1">
        <f t="array" ref="AC965">100000000/LvacE(AA965)</f>
        <v>22548.306724818063</v>
      </c>
      <c r="AD965" s="10">
        <f t="shared" si="627"/>
        <v>7.5428444200072789E-3</v>
      </c>
      <c r="AE965" s="10" t="b">
        <f t="shared" si="628"/>
        <v>1</v>
      </c>
      <c r="AP965"/>
      <c r="AQ965"/>
      <c r="AU965" s="16" cm="1">
        <f t="array" ref="AU965">$C965*EXP(poly_from_str(100000000/$E965,AU$4342))</f>
        <v>0.36300097720188268</v>
      </c>
    </row>
    <row r="966" spans="1:47" x14ac:dyDescent="0.25">
      <c r="A966" t="s">
        <v>1468</v>
      </c>
      <c r="B966" s="2" t="str">
        <f t="shared" si="624"/>
        <v/>
      </c>
      <c r="C966">
        <v>30</v>
      </c>
      <c r="E966" t="s">
        <v>1469</v>
      </c>
      <c r="R966">
        <v>10</v>
      </c>
      <c r="S966" t="s">
        <v>22</v>
      </c>
      <c r="AA966" s="10">
        <f t="shared" si="625"/>
        <v>4433.53</v>
      </c>
      <c r="AB966" s="3">
        <f t="shared" si="626"/>
        <v>22549.06</v>
      </c>
      <c r="AC966" s="3" cm="1">
        <f t="array" ref="AC966">100000000/LvacE(AA966)</f>
        <v>22549.059419022942</v>
      </c>
      <c r="AD966" s="10">
        <f t="shared" si="627"/>
        <v>7.5430141917414506E-3</v>
      </c>
      <c r="AE966" s="10" t="b">
        <f t="shared" si="628"/>
        <v>1</v>
      </c>
      <c r="AP966"/>
      <c r="AQ966"/>
      <c r="AU966" s="16" cm="1">
        <f t="array" ref="AU966">$C966*EXP(poly_from_str(100000000/$E966,AU$4342))</f>
        <v>1.3607916157575104</v>
      </c>
    </row>
    <row r="967" spans="1:47" x14ac:dyDescent="0.25">
      <c r="A967" t="s">
        <v>1470</v>
      </c>
      <c r="B967" s="2" t="str">
        <f t="shared" si="624"/>
        <v/>
      </c>
      <c r="C967">
        <v>20</v>
      </c>
      <c r="D967" t="s">
        <v>14</v>
      </c>
      <c r="E967" t="s">
        <v>1471</v>
      </c>
      <c r="R967">
        <v>10</v>
      </c>
      <c r="S967" t="s">
        <v>22</v>
      </c>
      <c r="AA967" s="10">
        <f t="shared" si="625"/>
        <v>4433.0829999999996</v>
      </c>
      <c r="AB967" s="3">
        <f t="shared" si="626"/>
        <v>22551.33</v>
      </c>
      <c r="AC967" s="3" cm="1">
        <f t="array" ref="AC967">100000000/LvacE(AA967)</f>
        <v>22551.333064067559</v>
      </c>
      <c r="AD967" s="10">
        <f t="shared" si="627"/>
        <v>7.5435270514975202E-3</v>
      </c>
      <c r="AE967" s="10" t="b">
        <f t="shared" si="628"/>
        <v>1</v>
      </c>
      <c r="AP967"/>
      <c r="AQ967"/>
      <c r="AU967" s="16" cm="1">
        <f t="array" ref="AU967">$C967*EXP(poly_from_str(100000000/$E967,AU$4342))</f>
        <v>0.90626506547350927</v>
      </c>
    </row>
    <row r="968" spans="1:47" x14ac:dyDescent="0.25">
      <c r="A968" t="s">
        <v>1472</v>
      </c>
      <c r="B968" s="2" t="str">
        <f t="shared" si="624"/>
        <v/>
      </c>
      <c r="C968">
        <v>4</v>
      </c>
      <c r="D968" t="s">
        <v>14</v>
      </c>
      <c r="E968" t="s">
        <v>1473</v>
      </c>
      <c r="R968">
        <v>10</v>
      </c>
      <c r="S968" t="s">
        <v>22</v>
      </c>
      <c r="AA968" s="10">
        <f t="shared" si="625"/>
        <v>4432.51</v>
      </c>
      <c r="AB968" s="3">
        <f t="shared" si="626"/>
        <v>22554.25</v>
      </c>
      <c r="AC968" s="3" cm="1">
        <f t="array" ref="AC968">100000000/LvacE(AA968)</f>
        <v>22554.248273015382</v>
      </c>
      <c r="AD968" s="10">
        <f t="shared" si="627"/>
        <v>7.5441847026871209E-3</v>
      </c>
      <c r="AE968" s="10" t="b">
        <f t="shared" si="628"/>
        <v>1</v>
      </c>
      <c r="AP968"/>
      <c r="AQ968"/>
      <c r="AU968" s="16" cm="1">
        <f t="array" ref="AU968">$C968*EXP(poly_from_str(100000000/$E968,AU$4342))</f>
        <v>0.18101522929454902</v>
      </c>
    </row>
    <row r="969" spans="1:47" x14ac:dyDescent="0.25">
      <c r="A969" t="s">
        <v>1474</v>
      </c>
      <c r="B969" s="2" t="str">
        <f t="shared" si="624"/>
        <v/>
      </c>
      <c r="C969">
        <v>120</v>
      </c>
      <c r="E969" t="s">
        <v>1475</v>
      </c>
      <c r="R969">
        <v>10</v>
      </c>
      <c r="S969" t="s">
        <v>22</v>
      </c>
      <c r="AA969" s="10">
        <f t="shared" si="625"/>
        <v>4431.8459999999995</v>
      </c>
      <c r="AB969" s="3">
        <f t="shared" si="626"/>
        <v>22557.63</v>
      </c>
      <c r="AC969" s="3" cm="1">
        <f t="array" ref="AC969">100000000/LvacE(AA969)</f>
        <v>22557.627398689798</v>
      </c>
      <c r="AD969" s="10">
        <f t="shared" si="627"/>
        <v>7.544947116696947E-3</v>
      </c>
      <c r="AE969" s="10" t="b">
        <f t="shared" si="628"/>
        <v>1</v>
      </c>
      <c r="AP969"/>
      <c r="AQ969"/>
      <c r="AU969" s="16" cm="1">
        <f t="array" ref="AU969">$C969*EXP(poly_from_str(100000000/$E969,AU$4342))</f>
        <v>5.4222544675699611</v>
      </c>
    </row>
    <row r="970" spans="1:47" x14ac:dyDescent="0.25">
      <c r="A970" t="s">
        <v>1476</v>
      </c>
      <c r="B970" s="2" t="str">
        <f t="shared" si="624"/>
        <v/>
      </c>
      <c r="C970">
        <v>2</v>
      </c>
      <c r="E970" t="s">
        <v>1477</v>
      </c>
      <c r="R970">
        <v>10</v>
      </c>
      <c r="S970" t="s">
        <v>22</v>
      </c>
      <c r="AA970" s="10">
        <f t="shared" si="625"/>
        <v>4431.4979999999996</v>
      </c>
      <c r="AB970" s="3">
        <f t="shared" si="626"/>
        <v>22559.4</v>
      </c>
      <c r="AC970" s="3" cm="1">
        <f t="array" ref="AC970">100000000/LvacE(AA970)</f>
        <v>22559.398790662937</v>
      </c>
      <c r="AD970" s="10">
        <f t="shared" si="627"/>
        <v>7.5453468320038665E-3</v>
      </c>
      <c r="AE970" s="10" t="b">
        <f t="shared" si="628"/>
        <v>1</v>
      </c>
      <c r="AP970"/>
      <c r="AQ970"/>
      <c r="AU970" s="16" cm="1">
        <f t="array" ref="AU970">$C970*EXP(poly_from_str(100000000/$E970,AU$4342))</f>
        <v>9.0299708587030306E-2</v>
      </c>
    </row>
    <row r="971" spans="1:47" x14ac:dyDescent="0.25">
      <c r="A971" t="s">
        <v>1478</v>
      </c>
      <c r="B971" s="2" t="str">
        <f t="shared" si="624"/>
        <v/>
      </c>
      <c r="C971">
        <v>9</v>
      </c>
      <c r="D971" t="s">
        <v>14</v>
      </c>
      <c r="E971" t="s">
        <v>1479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625"/>
        <v>4431.2969999999996</v>
      </c>
      <c r="AB971" s="3">
        <f t="shared" si="626"/>
        <v>22560.42</v>
      </c>
      <c r="AC971" s="3" cm="1">
        <f t="array" ref="AC971">100000000/LvacE(AA971)</f>
        <v>22560.422048987453</v>
      </c>
      <c r="AD971" s="10">
        <f t="shared" si="627"/>
        <v>7.5455777449567763E-3</v>
      </c>
      <c r="AE971" s="10" t="b">
        <f t="shared" si="628"/>
        <v>1</v>
      </c>
      <c r="AJ971" t="s">
        <v>4806</v>
      </c>
      <c r="AK971" t="s">
        <v>4852</v>
      </c>
      <c r="AL971">
        <v>44679.98</v>
      </c>
      <c r="AM971">
        <v>67240.350000000006</v>
      </c>
      <c r="AN971" s="10" cm="1">
        <f t="array" ref="AN971">Lair(100000000/($AM971-$AL971))</f>
        <v>4431.3072222814817</v>
      </c>
      <c r="AO971" s="10">
        <f>100000000/($AM971-$AL971)</f>
        <v>4432.5514164882925</v>
      </c>
      <c r="AP971" s="12">
        <v>622000</v>
      </c>
      <c r="AQ971" s="3">
        <v>0.03</v>
      </c>
      <c r="AR971" s="3"/>
      <c r="AS971" s="13">
        <f>EXP(AR$4341*$AM971+AR$4342)*$AP971/(100000000/($AM971-$AL971))</f>
        <v>7.9819280391104599E-2</v>
      </c>
      <c r="AT971" s="3"/>
      <c r="AU971" s="16" cm="1">
        <f t="array" ref="AU971">$C971*EXP(poly_from_str(100000000/$E971,AU$4342))</f>
        <v>0.40616459941151867</v>
      </c>
    </row>
    <row r="972" spans="1:47" x14ac:dyDescent="0.25">
      <c r="A972" t="s">
        <v>1480</v>
      </c>
      <c r="B972" s="2" t="str">
        <f t="shared" si="624"/>
        <v/>
      </c>
      <c r="C972">
        <v>1</v>
      </c>
      <c r="E972" t="s">
        <v>1481</v>
      </c>
      <c r="R972">
        <v>10</v>
      </c>
      <c r="S972" t="s">
        <v>22</v>
      </c>
      <c r="AA972" s="10">
        <f t="shared" si="625"/>
        <v>4430.9949999999999</v>
      </c>
      <c r="AB972" s="3">
        <f t="shared" si="626"/>
        <v>22561.96</v>
      </c>
      <c r="AC972" s="3" cm="1">
        <f t="array" ref="AC972">100000000/LvacE(AA972)</f>
        <v>22561.959656415278</v>
      </c>
      <c r="AD972" s="10">
        <f t="shared" si="627"/>
        <v>7.5459247478743803E-3</v>
      </c>
      <c r="AE972" s="10" t="b">
        <f t="shared" si="628"/>
        <v>1</v>
      </c>
      <c r="AP972"/>
      <c r="AQ972"/>
      <c r="AU972" s="16" cm="1">
        <f t="array" ref="AU972">$C972*EXP(poly_from_str(100000000/$E972,AU$4342))</f>
        <v>4.5098601719746112E-2</v>
      </c>
    </row>
    <row r="973" spans="1:47" x14ac:dyDescent="0.25">
      <c r="A973" t="s">
        <v>1482</v>
      </c>
      <c r="B973" s="2" t="str">
        <f t="shared" si="624"/>
        <v/>
      </c>
      <c r="C973">
        <v>5</v>
      </c>
      <c r="E973" t="s">
        <v>1483</v>
      </c>
      <c r="R973">
        <v>10</v>
      </c>
      <c r="S973" t="s">
        <v>22</v>
      </c>
      <c r="AA973" s="10">
        <f t="shared" si="625"/>
        <v>4430.1880000000001</v>
      </c>
      <c r="AB973" s="3">
        <f t="shared" si="626"/>
        <v>22566.07</v>
      </c>
      <c r="AC973" s="3" cm="1">
        <f t="array" ref="AC973">100000000/LvacE(AA973)</f>
        <v>22566.06945709413</v>
      </c>
      <c r="AD973" s="10">
        <f t="shared" si="627"/>
        <v>7.5468523522132843E-3</v>
      </c>
      <c r="AE973" s="10" t="b">
        <f t="shared" si="628"/>
        <v>1</v>
      </c>
      <c r="AP973"/>
      <c r="AQ973"/>
      <c r="AU973" s="16" cm="1">
        <f t="array" ref="AU973">$C973*EXP(poly_from_str(100000000/$E973,AU$4342))</f>
        <v>0.22508449361728278</v>
      </c>
    </row>
    <row r="974" spans="1:47" x14ac:dyDescent="0.25">
      <c r="A974" t="s">
        <v>1484</v>
      </c>
      <c r="B974" s="2" t="str">
        <f t="shared" si="624"/>
        <v/>
      </c>
      <c r="C974">
        <v>6</v>
      </c>
      <c r="E974" t="s">
        <v>1485</v>
      </c>
      <c r="R974">
        <v>10</v>
      </c>
      <c r="S974" t="s">
        <v>22</v>
      </c>
      <c r="AA974" s="10">
        <f t="shared" si="625"/>
        <v>4429.7479999999996</v>
      </c>
      <c r="AB974" s="3">
        <f t="shared" si="626"/>
        <v>22568.31</v>
      </c>
      <c r="AC974" s="3" cm="1">
        <f t="array" ref="AC974">100000000/LvacE(AA974)</f>
        <v>22568.310871388123</v>
      </c>
      <c r="AD974" s="10">
        <f t="shared" si="627"/>
        <v>7.5473583227971576E-3</v>
      </c>
      <c r="AE974" s="10" t="b">
        <f t="shared" si="628"/>
        <v>1</v>
      </c>
      <c r="AP974"/>
      <c r="AQ974"/>
      <c r="AU974" s="16" cm="1">
        <f t="array" ref="AU974">$C974*EXP(poly_from_str(100000000/$E974,AU$4342))</f>
        <v>0.26983601935110257</v>
      </c>
    </row>
    <row r="975" spans="1:47" x14ac:dyDescent="0.25">
      <c r="A975" t="s">
        <v>1486</v>
      </c>
      <c r="B975" s="2" t="str">
        <f t="shared" si="624"/>
        <v/>
      </c>
      <c r="C975">
        <v>7</v>
      </c>
      <c r="D975" t="s">
        <v>143</v>
      </c>
      <c r="E975" t="s">
        <v>1487</v>
      </c>
      <c r="R975">
        <v>10</v>
      </c>
      <c r="S975" t="s">
        <v>22</v>
      </c>
      <c r="AA975" s="10">
        <f t="shared" si="625"/>
        <v>4428.0240000000003</v>
      </c>
      <c r="AB975" s="3">
        <f t="shared" si="626"/>
        <v>22577.1</v>
      </c>
      <c r="AC975" s="3" cm="1">
        <f t="array" ref="AC975">100000000/LvacE(AA975)</f>
        <v>22577.097431947819</v>
      </c>
      <c r="AD975" s="10">
        <f t="shared" si="627"/>
        <v>7.5493422610116634E-3</v>
      </c>
      <c r="AE975" s="10" t="b">
        <f t="shared" si="628"/>
        <v>1</v>
      </c>
      <c r="AP975"/>
      <c r="AQ975"/>
      <c r="AU975" s="16" cm="1">
        <f t="array" ref="AU975">$C975*EXP(poly_from_str(100000000/$E975,AU$4342))</f>
        <v>0.31360799612228729</v>
      </c>
    </row>
    <row r="976" spans="1:47" x14ac:dyDescent="0.25">
      <c r="A976" t="s">
        <v>1488</v>
      </c>
      <c r="B976" s="2" t="str">
        <f t="shared" si="624"/>
        <v/>
      </c>
      <c r="C976">
        <v>4</v>
      </c>
      <c r="D976" t="s">
        <v>14</v>
      </c>
      <c r="E976" t="s">
        <v>1489</v>
      </c>
      <c r="R976">
        <v>10</v>
      </c>
      <c r="S976" t="s">
        <v>22</v>
      </c>
      <c r="AA976" s="10">
        <f t="shared" si="625"/>
        <v>4426.7849999999999</v>
      </c>
      <c r="AB976" s="3">
        <f t="shared" si="626"/>
        <v>22583.42</v>
      </c>
      <c r="AC976" s="3" cm="1">
        <f t="array" ref="AC976">100000000/LvacE(AA976)</f>
        <v>22583.416361806438</v>
      </c>
      <c r="AD976" s="10">
        <f t="shared" si="627"/>
        <v>7.5507695044831E-3</v>
      </c>
      <c r="AE976" s="10" t="b">
        <f t="shared" si="628"/>
        <v>1</v>
      </c>
      <c r="AP976"/>
      <c r="AQ976"/>
      <c r="AU976" s="16" cm="1">
        <f t="array" ref="AU976">$C976*EXP(poly_from_str(100000000/$E976,AU$4342))</f>
        <v>0.17871918837319989</v>
      </c>
    </row>
    <row r="977" spans="1:47" x14ac:dyDescent="0.25">
      <c r="A977" t="s">
        <v>1490</v>
      </c>
      <c r="B977" s="2" t="str">
        <f t="shared" si="624"/>
        <v/>
      </c>
      <c r="C977">
        <v>8</v>
      </c>
      <c r="D977" t="s">
        <v>14</v>
      </c>
      <c r="E977" t="s">
        <v>1491</v>
      </c>
      <c r="R977">
        <v>10</v>
      </c>
      <c r="S977" t="s">
        <v>22</v>
      </c>
      <c r="AA977" s="10">
        <f t="shared" si="625"/>
        <v>4426.607</v>
      </c>
      <c r="AB977" s="3">
        <f t="shared" si="626"/>
        <v>22584.32</v>
      </c>
      <c r="AC977" s="3" cm="1">
        <f t="array" ref="AC977">100000000/LvacE(AA977)</f>
        <v>22584.324456685066</v>
      </c>
      <c r="AD977" s="10">
        <f t="shared" si="627"/>
        <v>7.5509746467988994E-3</v>
      </c>
      <c r="AE977" s="10" t="b">
        <f t="shared" si="628"/>
        <v>1</v>
      </c>
      <c r="AP977"/>
      <c r="AQ977"/>
      <c r="AU977" s="16" cm="1">
        <f t="array" ref="AU977">$C977*EXP(poly_from_str(100000000/$E977,AU$4342))</f>
        <v>0.35730120605426741</v>
      </c>
    </row>
    <row r="978" spans="1:47" x14ac:dyDescent="0.25">
      <c r="A978" t="s">
        <v>1492</v>
      </c>
      <c r="B978" s="2" t="str">
        <f t="shared" si="624"/>
        <v/>
      </c>
      <c r="C978">
        <v>8</v>
      </c>
      <c r="E978" t="s">
        <v>1493</v>
      </c>
      <c r="R978">
        <v>10</v>
      </c>
      <c r="S978" t="s">
        <v>22</v>
      </c>
      <c r="AA978" s="10">
        <f t="shared" si="625"/>
        <v>4425.9989999999998</v>
      </c>
      <c r="AB978" s="3">
        <f t="shared" si="626"/>
        <v>22587.43</v>
      </c>
      <c r="AC978" s="3" cm="1">
        <f t="array" ref="AC978">100000000/LvacE(AA978)</f>
        <v>22587.426814736558</v>
      </c>
      <c r="AD978" s="10">
        <f t="shared" si="627"/>
        <v>7.5516755442936795E-3</v>
      </c>
      <c r="AE978" s="10" t="b">
        <f t="shared" si="628"/>
        <v>1</v>
      </c>
      <c r="AP978"/>
      <c r="AQ978"/>
      <c r="AU978" s="16" cm="1">
        <f t="array" ref="AU978">$C978*EXP(poly_from_str(100000000/$E978,AU$4342))</f>
        <v>0.35682924927895876</v>
      </c>
    </row>
    <row r="979" spans="1:47" x14ac:dyDescent="0.25">
      <c r="A979" t="s">
        <v>1494</v>
      </c>
      <c r="B979" s="2" t="str">
        <f t="shared" si="624"/>
        <v/>
      </c>
      <c r="C979">
        <v>3</v>
      </c>
      <c r="D979" t="s">
        <v>143</v>
      </c>
      <c r="E979" t="s">
        <v>1495</v>
      </c>
      <c r="R979">
        <v>10</v>
      </c>
      <c r="S979" t="s">
        <v>22</v>
      </c>
      <c r="AA979" s="10">
        <f t="shared" si="625"/>
        <v>4424.3360000000002</v>
      </c>
      <c r="AB979" s="3">
        <f t="shared" si="626"/>
        <v>22595.919999999998</v>
      </c>
      <c r="AC979" s="3" cm="1">
        <f t="array" ref="AC979">100000000/LvacE(AA979)</f>
        <v>22595.916731811594</v>
      </c>
      <c r="AD979" s="10">
        <f t="shared" si="627"/>
        <v>7.5535941135360871E-3</v>
      </c>
      <c r="AE979" s="10" t="b">
        <f t="shared" si="628"/>
        <v>1</v>
      </c>
      <c r="AP979"/>
      <c r="AQ979"/>
      <c r="AU979" s="16" cm="1">
        <f t="array" ref="AU979">$C979*EXP(poly_from_str(100000000/$E979,AU$4342))</f>
        <v>0.13333383538138172</v>
      </c>
    </row>
    <row r="980" spans="1:47" x14ac:dyDescent="0.25">
      <c r="A980" t="s">
        <v>1496</v>
      </c>
      <c r="B980" s="2" t="str">
        <f t="shared" si="624"/>
        <v/>
      </c>
      <c r="C980">
        <v>5</v>
      </c>
      <c r="D980" t="s">
        <v>14</v>
      </c>
      <c r="E980" t="s">
        <v>1497</v>
      </c>
      <c r="R980">
        <v>10</v>
      </c>
      <c r="S980" t="s">
        <v>22</v>
      </c>
      <c r="AA980" s="10">
        <f t="shared" si="625"/>
        <v>4424.0739999999996</v>
      </c>
      <c r="AB980" s="3">
        <f t="shared" si="626"/>
        <v>22597.25</v>
      </c>
      <c r="AC980" s="3" cm="1">
        <f t="array" ref="AC980">100000000/LvacE(AA980)</f>
        <v>22597.25487138363</v>
      </c>
      <c r="AD980" s="10">
        <f t="shared" si="627"/>
        <v>7.5538965748972141E-3</v>
      </c>
      <c r="AE980" s="10" t="b">
        <f t="shared" si="628"/>
        <v>1</v>
      </c>
      <c r="AP980"/>
      <c r="AQ980"/>
      <c r="AU980" s="16" cm="1">
        <f t="array" ref="AU980">$C980*EXP(poly_from_str(100000000/$E980,AU$4342))</f>
        <v>0.22209980457955328</v>
      </c>
    </row>
    <row r="981" spans="1:47" x14ac:dyDescent="0.25">
      <c r="A981" t="s">
        <v>1498</v>
      </c>
      <c r="B981" s="2" t="str">
        <f t="shared" si="624"/>
        <v/>
      </c>
      <c r="C981">
        <v>7</v>
      </c>
      <c r="E981" t="s">
        <v>1499</v>
      </c>
      <c r="R981">
        <v>10</v>
      </c>
      <c r="S981" t="s">
        <v>22</v>
      </c>
      <c r="AA981" s="10">
        <f t="shared" si="625"/>
        <v>4423.1909999999998</v>
      </c>
      <c r="AB981" s="3">
        <f t="shared" si="626"/>
        <v>22601.77</v>
      </c>
      <c r="AC981" s="3" cm="1">
        <f t="array" ref="AC981">100000000/LvacE(AA981)</f>
        <v>22601.765875582834</v>
      </c>
      <c r="AD981" s="10">
        <f t="shared" si="627"/>
        <v>7.554916334788938E-3</v>
      </c>
      <c r="AE981" s="10" t="b">
        <f t="shared" si="628"/>
        <v>1</v>
      </c>
      <c r="AP981"/>
      <c r="AQ981"/>
      <c r="AU981" s="16" cm="1">
        <f t="array" ref="AU981">$C981*EXP(poly_from_str(100000000/$E981,AU$4342))</f>
        <v>0.31035701242650693</v>
      </c>
    </row>
    <row r="982" spans="1:47" x14ac:dyDescent="0.25">
      <c r="A982" t="s">
        <v>1500</v>
      </c>
      <c r="B982" s="2" t="str">
        <f t="shared" si="624"/>
        <v/>
      </c>
      <c r="C982">
        <v>120</v>
      </c>
      <c r="E982" t="s">
        <v>1501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625"/>
        <v>4421.1049999999996</v>
      </c>
      <c r="AB982" s="3">
        <f t="shared" si="626"/>
        <v>22612.43</v>
      </c>
      <c r="AC982" s="3" cm="1">
        <f t="array" ref="AC982">100000000/LvacE(AA982)</f>
        <v>22612.429832384129</v>
      </c>
      <c r="AD982" s="10">
        <f t="shared" si="627"/>
        <v>7.5573278436481522E-3</v>
      </c>
      <c r="AE982" s="10" t="b">
        <f t="shared" si="628"/>
        <v>1</v>
      </c>
      <c r="AJ982" t="s">
        <v>4988</v>
      </c>
      <c r="AK982" t="s">
        <v>4751</v>
      </c>
      <c r="AL982">
        <v>16089.14</v>
      </c>
      <c r="AM982">
        <v>38701.589999999997</v>
      </c>
      <c r="AN982" s="10" cm="1">
        <f t="array" ref="AN982">Lair(100000000/($AM982-$AL982))</f>
        <v>4421.1010554381473</v>
      </c>
      <c r="AO982" s="10">
        <f>100000000/($AM982-$AL982)</f>
        <v>4422.3425590769693</v>
      </c>
      <c r="AU982" s="16" cm="1">
        <f t="array" ref="AU982">$C982*EXP(poly_from_str(100000000/$E982,AU$4342))</f>
        <v>5.2972337032848484</v>
      </c>
    </row>
    <row r="983" spans="1:47" x14ac:dyDescent="0.25">
      <c r="A983" t="s">
        <v>1502</v>
      </c>
      <c r="B983" s="2" t="str">
        <f t="shared" si="624"/>
        <v/>
      </c>
      <c r="C983">
        <v>6</v>
      </c>
      <c r="D983" t="s">
        <v>14</v>
      </c>
      <c r="E983" t="s">
        <v>1503</v>
      </c>
      <c r="R983">
        <v>10</v>
      </c>
      <c r="S983" t="s">
        <v>22</v>
      </c>
      <c r="AA983" s="10">
        <f t="shared" si="625"/>
        <v>4418.8149999999996</v>
      </c>
      <c r="AB983" s="3">
        <f t="shared" si="626"/>
        <v>22624.15</v>
      </c>
      <c r="AC983" s="3" cm="1">
        <f t="array" ref="AC983">100000000/LvacE(AA983)</f>
        <v>22624.14826203608</v>
      </c>
      <c r="AD983" s="10">
        <f t="shared" si="627"/>
        <v>7.5599791190665462E-3</v>
      </c>
      <c r="AE983" s="10" t="b">
        <f t="shared" si="628"/>
        <v>1</v>
      </c>
      <c r="AP983"/>
      <c r="AQ983"/>
      <c r="AU983" s="16" cm="1">
        <f t="array" ref="AU983">$C983*EXP(poly_from_str(100000000/$E983,AU$4342))</f>
        <v>0.26361879958292156</v>
      </c>
    </row>
    <row r="984" spans="1:47" x14ac:dyDescent="0.25">
      <c r="A984" t="s">
        <v>1504</v>
      </c>
      <c r="B984" s="2" t="str">
        <f t="shared" si="624"/>
        <v/>
      </c>
      <c r="C984">
        <v>5</v>
      </c>
      <c r="D984" t="s">
        <v>14</v>
      </c>
      <c r="E984" t="s">
        <v>1505</v>
      </c>
      <c r="R984">
        <v>10</v>
      </c>
      <c r="S984" t="s">
        <v>22</v>
      </c>
      <c r="AA984" s="10">
        <f t="shared" si="625"/>
        <v>4418.2839999999997</v>
      </c>
      <c r="AB984" s="3">
        <f t="shared" si="626"/>
        <v>22626.87</v>
      </c>
      <c r="AC984" s="3" cm="1">
        <f t="array" ref="AC984">100000000/LvacE(AA984)</f>
        <v>22626.867239760264</v>
      </c>
      <c r="AD984" s="10">
        <f t="shared" si="627"/>
        <v>7.5605944796396374E-3</v>
      </c>
      <c r="AE984" s="10" t="b">
        <f t="shared" si="628"/>
        <v>1</v>
      </c>
      <c r="AP984"/>
      <c r="AQ984"/>
      <c r="AU984" s="16" cm="1">
        <f t="array" ref="AU984">$C984*EXP(poly_from_str(100000000/$E984,AU$4342))</f>
        <v>0.21944576973700208</v>
      </c>
    </row>
    <row r="985" spans="1:47" x14ac:dyDescent="0.25">
      <c r="A985" t="s">
        <v>1506</v>
      </c>
      <c r="B985" s="2" t="str">
        <f t="shared" si="624"/>
        <v/>
      </c>
      <c r="C985">
        <v>1</v>
      </c>
      <c r="D985" t="s">
        <v>143</v>
      </c>
      <c r="E985" t="s">
        <v>1507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625"/>
        <v>4417.5429999999997</v>
      </c>
      <c r="AB985" s="3">
        <f t="shared" si="626"/>
        <v>22630.66</v>
      </c>
      <c r="AC985" s="3" cm="1">
        <f t="array" ref="AC985">100000000/LvacE(AA985)</f>
        <v>22630.662611914915</v>
      </c>
      <c r="AD985" s="10">
        <f t="shared" si="627"/>
        <v>7.5614535740698976E-3</v>
      </c>
      <c r="AE985" s="10" t="b">
        <f t="shared" si="628"/>
        <v>1</v>
      </c>
      <c r="AJ985" t="s">
        <v>4991</v>
      </c>
      <c r="AK985" t="s">
        <v>4939</v>
      </c>
      <c r="AL985">
        <v>27597.13</v>
      </c>
      <c r="AM985">
        <v>50227.79</v>
      </c>
      <c r="AN985" s="10" cm="1">
        <f t="array" ref="AN985">Lair(100000000/($AM985-$AL985))</f>
        <v>4417.5435084426399</v>
      </c>
      <c r="AO985" s="10">
        <f>100000000/($AM985-$AL985)</f>
        <v>4418.7840743486931</v>
      </c>
      <c r="AU985" s="16" cm="1">
        <f t="array" ref="AU985">$C985*EXP(poly_from_str(100000000/$E985,AU$4342))</f>
        <v>4.3823704106947567E-2</v>
      </c>
    </row>
    <row r="986" spans="1:47" x14ac:dyDescent="0.25">
      <c r="A986" t="s">
        <v>1508</v>
      </c>
      <c r="B986" s="2" t="str">
        <f t="shared" si="624"/>
        <v/>
      </c>
      <c r="C986">
        <v>4</v>
      </c>
      <c r="D986" t="s">
        <v>143</v>
      </c>
      <c r="E986" t="s">
        <v>1509</v>
      </c>
      <c r="R986">
        <v>10</v>
      </c>
      <c r="S986" t="s">
        <v>22</v>
      </c>
      <c r="AA986" s="10">
        <f t="shared" si="625"/>
        <v>4417.3360000000002</v>
      </c>
      <c r="AB986" s="3">
        <f t="shared" si="626"/>
        <v>22631.72</v>
      </c>
      <c r="AC986" s="3" cm="1">
        <f t="array" ref="AC986">100000000/LvacE(AA986)</f>
        <v>22631.723085109516</v>
      </c>
      <c r="AD986" s="10">
        <f t="shared" si="627"/>
        <v>7.5616936412703853E-3</v>
      </c>
      <c r="AE986" s="10" t="b">
        <f t="shared" si="628"/>
        <v>1</v>
      </c>
      <c r="AP986"/>
      <c r="AQ986"/>
      <c r="AU986" s="16" cm="1">
        <f t="array" ref="AU986">$C986*EXP(poly_from_str(100000000/$E986,AU$4342))</f>
        <v>0.1752219897469503</v>
      </c>
    </row>
    <row r="987" spans="1:47" x14ac:dyDescent="0.25">
      <c r="A987" t="s">
        <v>1510</v>
      </c>
      <c r="B987" s="2" t="str">
        <f t="shared" si="624"/>
        <v/>
      </c>
      <c r="C987">
        <v>3</v>
      </c>
      <c r="D987" t="s">
        <v>14</v>
      </c>
      <c r="E987" t="s">
        <v>1511</v>
      </c>
      <c r="R987">
        <v>10</v>
      </c>
      <c r="S987" t="s">
        <v>22</v>
      </c>
      <c r="AA987" s="10">
        <f t="shared" si="625"/>
        <v>4416.982</v>
      </c>
      <c r="AB987" s="3">
        <f t="shared" si="626"/>
        <v>22633.54</v>
      </c>
      <c r="AC987" s="3" cm="1">
        <f t="array" ref="AC987">100000000/LvacE(AA987)</f>
        <v>22633.53687829796</v>
      </c>
      <c r="AD987" s="10">
        <f t="shared" si="627"/>
        <v>7.5621042691930776E-3</v>
      </c>
      <c r="AE987" s="10" t="b">
        <f t="shared" si="628"/>
        <v>1</v>
      </c>
      <c r="AP987"/>
      <c r="AQ987"/>
      <c r="AU987" s="16" cm="1">
        <f t="array" ref="AU987">$C987*EXP(poly_from_str(100000000/$E987,AU$4342))</f>
        <v>0.13132301127959767</v>
      </c>
    </row>
    <row r="988" spans="1:47" x14ac:dyDescent="0.25">
      <c r="A988" t="s">
        <v>1512</v>
      </c>
      <c r="B988" s="2" t="str">
        <f t="shared" si="624"/>
        <v/>
      </c>
      <c r="C988">
        <v>7</v>
      </c>
      <c r="E988" t="s">
        <v>1513</v>
      </c>
      <c r="R988">
        <v>10</v>
      </c>
      <c r="S988" t="s">
        <v>22</v>
      </c>
      <c r="AA988" s="10">
        <f t="shared" si="625"/>
        <v>4416.7719999999999</v>
      </c>
      <c r="AB988" s="3">
        <f t="shared" si="626"/>
        <v>22634.61</v>
      </c>
      <c r="AC988" s="3" cm="1">
        <f t="array" ref="AC988">100000000/LvacE(AA988)</f>
        <v>22634.612994701474</v>
      </c>
      <c r="AD988" s="10">
        <f t="shared" si="627"/>
        <v>7.5623479086877783E-3</v>
      </c>
      <c r="AE988" s="10" t="b">
        <f t="shared" si="628"/>
        <v>1</v>
      </c>
      <c r="AP988"/>
      <c r="AQ988"/>
      <c r="AU988" s="16" cm="1">
        <f t="array" ref="AU988">$C988*EXP(poly_from_str(100000000/$E988,AU$4342))</f>
        <v>0.30629253571386467</v>
      </c>
    </row>
    <row r="989" spans="1:47" x14ac:dyDescent="0.25">
      <c r="A989" t="s">
        <v>1514</v>
      </c>
      <c r="B989" s="2" t="str">
        <f t="shared" si="624"/>
        <v/>
      </c>
      <c r="C989">
        <v>1</v>
      </c>
      <c r="D989" t="s">
        <v>14</v>
      </c>
      <c r="E989" t="s">
        <v>1515</v>
      </c>
      <c r="R989">
        <v>10</v>
      </c>
      <c r="S989" t="s">
        <v>22</v>
      </c>
      <c r="AA989" s="10">
        <f t="shared" si="625"/>
        <v>4416.2700000000004</v>
      </c>
      <c r="AB989" s="3">
        <f t="shared" si="626"/>
        <v>22637.19</v>
      </c>
      <c r="AC989" s="3" cm="1">
        <f t="array" ref="AC989">100000000/LvacE(AA989)</f>
        <v>22637.185840063288</v>
      </c>
      <c r="AD989" s="10">
        <f t="shared" si="627"/>
        <v>7.5629304639507197E-3</v>
      </c>
      <c r="AE989" s="10" t="b">
        <f t="shared" si="628"/>
        <v>1</v>
      </c>
      <c r="AP989"/>
      <c r="AQ989"/>
      <c r="AU989" s="16" cm="1">
        <f t="array" ref="AU989">$C989*EXP(poly_from_str(100000000/$E989,AU$4342))</f>
        <v>4.3712225525733971E-2</v>
      </c>
    </row>
    <row r="990" spans="1:47" x14ac:dyDescent="0.25">
      <c r="A990" t="s">
        <v>1516</v>
      </c>
      <c r="B990" s="2" t="str">
        <f t="shared" si="624"/>
        <v/>
      </c>
      <c r="C990">
        <v>5</v>
      </c>
      <c r="E990" t="s">
        <v>1517</v>
      </c>
      <c r="R990">
        <v>10</v>
      </c>
      <c r="S990" t="s">
        <v>22</v>
      </c>
      <c r="AA990" s="10">
        <f t="shared" si="625"/>
        <v>4416.0029999999997</v>
      </c>
      <c r="AB990" s="3">
        <f t="shared" si="626"/>
        <v>22638.55</v>
      </c>
      <c r="AC990" s="3" cm="1">
        <f t="array" ref="AC990">100000000/LvacE(AA990)</f>
        <v>22638.554504073843</v>
      </c>
      <c r="AD990" s="10">
        <f t="shared" si="627"/>
        <v>7.5632403900171546E-3</v>
      </c>
      <c r="AE990" s="10" t="b">
        <f t="shared" si="628"/>
        <v>1</v>
      </c>
      <c r="AP990"/>
      <c r="AQ990"/>
      <c r="AU990" s="16" cm="1">
        <f t="array" ref="AU990">$C990*EXP(poly_from_str(100000000/$E990,AU$4342))</f>
        <v>0.21844605976005704</v>
      </c>
    </row>
    <row r="991" spans="1:47" x14ac:dyDescent="0.25">
      <c r="A991" t="s">
        <v>1518</v>
      </c>
      <c r="B991" s="2" t="str">
        <f t="shared" si="624"/>
        <v/>
      </c>
      <c r="C991">
        <v>5</v>
      </c>
      <c r="E991" t="s">
        <v>1519</v>
      </c>
      <c r="R991">
        <v>10</v>
      </c>
      <c r="S991" t="s">
        <v>22</v>
      </c>
      <c r="AA991" s="10">
        <f t="shared" si="625"/>
        <v>4415.8429999999998</v>
      </c>
      <c r="AB991" s="3">
        <f t="shared" si="626"/>
        <v>22639.37</v>
      </c>
      <c r="AC991" s="3" cm="1">
        <f t="array" ref="AC991">100000000/LvacE(AA991)</f>
        <v>22639.374756570011</v>
      </c>
      <c r="AD991" s="10">
        <f t="shared" si="627"/>
        <v>7.5634261404413624E-3</v>
      </c>
      <c r="AE991" s="10" t="b">
        <f t="shared" si="628"/>
        <v>1</v>
      </c>
      <c r="AP991"/>
      <c r="AQ991"/>
      <c r="AU991" s="16" cm="1">
        <f t="array" ref="AU991">$C991*EXP(poly_from_str(100000000/$E991,AU$4342))</f>
        <v>0.21837684982788996</v>
      </c>
    </row>
    <row r="992" spans="1:47" x14ac:dyDescent="0.25">
      <c r="A992" t="s">
        <v>1520</v>
      </c>
      <c r="B992" s="2" t="str">
        <f t="shared" si="624"/>
        <v/>
      </c>
      <c r="C992">
        <v>1</v>
      </c>
      <c r="D992" t="s">
        <v>14</v>
      </c>
      <c r="E992" t="s">
        <v>1521</v>
      </c>
      <c r="R992">
        <v>10</v>
      </c>
      <c r="S992" t="s">
        <v>22</v>
      </c>
      <c r="AA992" s="10">
        <f t="shared" si="625"/>
        <v>4414.6670000000004</v>
      </c>
      <c r="AB992" s="3">
        <f t="shared" si="626"/>
        <v>22645.41</v>
      </c>
      <c r="AC992" s="3" cm="1">
        <f t="array" ref="AC992">100000000/LvacE(AA992)</f>
        <v>22645.405436864534</v>
      </c>
      <c r="AD992" s="10">
        <f t="shared" si="627"/>
        <v>7.5647920258611273E-3</v>
      </c>
      <c r="AE992" s="10" t="b">
        <f t="shared" si="628"/>
        <v>1</v>
      </c>
      <c r="AP992"/>
      <c r="AQ992"/>
      <c r="AU992" s="16" cm="1">
        <f t="array" ref="AU992">$C992*EXP(poly_from_str(100000000/$E992,AU$4342))</f>
        <v>4.3574193300756313E-2</v>
      </c>
    </row>
    <row r="993" spans="1:48" x14ac:dyDescent="0.25">
      <c r="A993" t="s">
        <v>1522</v>
      </c>
      <c r="B993" s="2" t="str">
        <f t="shared" si="624"/>
        <v/>
      </c>
      <c r="C993">
        <v>4</v>
      </c>
      <c r="E993" t="s">
        <v>1523</v>
      </c>
      <c r="R993">
        <v>10</v>
      </c>
      <c r="S993" t="s">
        <v>22</v>
      </c>
      <c r="AA993" s="10">
        <f t="shared" si="625"/>
        <v>4413.1379999999999</v>
      </c>
      <c r="AB993" s="3">
        <f t="shared" si="626"/>
        <v>22653.25</v>
      </c>
      <c r="AC993" s="3" cm="1">
        <f t="array" ref="AC993">100000000/LvacE(AA993)</f>
        <v>22653.251152767771</v>
      </c>
      <c r="AD993" s="10">
        <f t="shared" si="627"/>
        <v>7.5665695422132469E-3</v>
      </c>
      <c r="AE993" s="10" t="b">
        <f t="shared" si="628"/>
        <v>1</v>
      </c>
      <c r="AP993"/>
      <c r="AQ993"/>
      <c r="AU993" s="16" cm="1">
        <f t="array" ref="AU993">$C993*EXP(poly_from_str(100000000/$E993,AU$4342))</f>
        <v>0.1737796094820396</v>
      </c>
    </row>
    <row r="994" spans="1:48" x14ac:dyDescent="0.25">
      <c r="A994" t="s">
        <v>1524</v>
      </c>
      <c r="B994" s="2" t="str">
        <f t="shared" si="624"/>
        <v/>
      </c>
      <c r="C994">
        <v>8</v>
      </c>
      <c r="D994" t="s">
        <v>14</v>
      </c>
      <c r="E994" t="s">
        <v>1525</v>
      </c>
      <c r="R994">
        <v>10</v>
      </c>
      <c r="S994" t="s">
        <v>22</v>
      </c>
      <c r="AA994" s="10">
        <f t="shared" si="625"/>
        <v>4411.6710000000003</v>
      </c>
      <c r="AB994" s="3">
        <f t="shared" si="626"/>
        <v>22660.78</v>
      </c>
      <c r="AC994" s="3" cm="1">
        <f t="array" ref="AC994">100000000/LvacE(AA994)</f>
        <v>22660.783841660399</v>
      </c>
      <c r="AD994" s="10">
        <f t="shared" si="627"/>
        <v>7.5682767189190221E-3</v>
      </c>
      <c r="AE994" s="10" t="b">
        <f t="shared" si="628"/>
        <v>1</v>
      </c>
      <c r="AP994"/>
      <c r="AQ994"/>
      <c r="AU994" s="16" cm="1">
        <f t="array" ref="AU994">$C994*EXP(poly_from_str(100000000/$E994,AU$4342))</f>
        <v>0.34658295119625254</v>
      </c>
    </row>
    <row r="995" spans="1:48" x14ac:dyDescent="0.25">
      <c r="A995" t="s">
        <v>1526</v>
      </c>
      <c r="B995" s="2" t="str">
        <f t="shared" si="624"/>
        <v/>
      </c>
      <c r="C995">
        <v>2</v>
      </c>
      <c r="E995" t="s">
        <v>1527</v>
      </c>
      <c r="R995">
        <v>10</v>
      </c>
      <c r="S995" t="s">
        <v>22</v>
      </c>
      <c r="AA995" s="10">
        <f t="shared" si="625"/>
        <v>4410.7830000000004</v>
      </c>
      <c r="AB995" s="3">
        <f t="shared" si="626"/>
        <v>22665.35</v>
      </c>
      <c r="AC995" s="3" cm="1">
        <f t="array" ref="AC995">100000000/LvacE(AA995)</f>
        <v>22665.345940525796</v>
      </c>
      <c r="AD995" s="10">
        <f t="shared" si="627"/>
        <v>7.5693109296609915E-3</v>
      </c>
      <c r="AE995" s="10" t="b">
        <f t="shared" si="628"/>
        <v>1</v>
      </c>
      <c r="AP995"/>
      <c r="AQ995"/>
      <c r="AU995" s="16" cm="1">
        <f t="array" ref="AU995">$C995*EXP(poly_from_str(100000000/$E995,AU$4342))</f>
        <v>8.649964272515781E-2</v>
      </c>
    </row>
    <row r="996" spans="1:48" x14ac:dyDescent="0.25">
      <c r="A996" t="s">
        <v>1528</v>
      </c>
      <c r="B996" s="2" t="str">
        <f t="shared" si="624"/>
        <v/>
      </c>
      <c r="C996">
        <v>5</v>
      </c>
      <c r="E996" t="s">
        <v>1529</v>
      </c>
      <c r="R996">
        <v>10</v>
      </c>
      <c r="S996" t="s">
        <v>22</v>
      </c>
      <c r="AA996" s="10">
        <f t="shared" si="625"/>
        <v>4408.4219999999996</v>
      </c>
      <c r="AB996" s="3">
        <f t="shared" si="626"/>
        <v>22677.48</v>
      </c>
      <c r="AC996" s="3" cm="1">
        <f t="array" ref="AC996">100000000/LvacE(AA996)</f>
        <v>22677.484514282834</v>
      </c>
      <c r="AD996" s="10">
        <f t="shared" si="627"/>
        <v>7.5720637128526757E-3</v>
      </c>
      <c r="AE996" s="10" t="b">
        <f t="shared" si="628"/>
        <v>1</v>
      </c>
      <c r="AP996"/>
      <c r="AQ996"/>
      <c r="AU996" s="16" cm="1">
        <f t="array" ref="AU996">$C996*EXP(poly_from_str(100000000/$E996,AU$4342))</f>
        <v>0.21529805369753796</v>
      </c>
    </row>
    <row r="997" spans="1:48" x14ac:dyDescent="0.25">
      <c r="A997" t="s">
        <v>1530</v>
      </c>
      <c r="B997" s="2" t="str">
        <f t="shared" si="624"/>
        <v/>
      </c>
      <c r="C997">
        <v>7</v>
      </c>
      <c r="E997" t="s">
        <v>1531</v>
      </c>
      <c r="R997">
        <v>10</v>
      </c>
      <c r="S997" t="s">
        <v>22</v>
      </c>
      <c r="AA997" s="10">
        <f t="shared" si="625"/>
        <v>4407.8969999999999</v>
      </c>
      <c r="AB997" s="3">
        <f t="shared" si="626"/>
        <v>22680.19</v>
      </c>
      <c r="AC997" s="3" cm="1">
        <f t="array" ref="AC997">100000000/LvacE(AA997)</f>
        <v>22680.185456071758</v>
      </c>
      <c r="AD997" s="10">
        <f t="shared" si="627"/>
        <v>7.5726764323294938E-3</v>
      </c>
      <c r="AE997" s="10" t="b">
        <f t="shared" si="628"/>
        <v>1</v>
      </c>
      <c r="AP997"/>
      <c r="AQ997"/>
      <c r="AU997" s="16" cm="1">
        <f t="array" ref="AU997">$C997*EXP(poly_from_str(100000000/$E997,AU$4342))</f>
        <v>0.30112487018668233</v>
      </c>
    </row>
    <row r="998" spans="1:48" x14ac:dyDescent="0.25">
      <c r="A998" t="s">
        <v>1532</v>
      </c>
      <c r="B998" s="2" t="str">
        <f t="shared" si="624"/>
        <v/>
      </c>
      <c r="C998">
        <v>7</v>
      </c>
      <c r="D998" t="s">
        <v>14</v>
      </c>
      <c r="E998" t="s">
        <v>1533</v>
      </c>
      <c r="R998">
        <v>10</v>
      </c>
      <c r="S998" t="s">
        <v>22</v>
      </c>
      <c r="AA998" s="10">
        <f t="shared" si="625"/>
        <v>4407.5039999999999</v>
      </c>
      <c r="AB998" s="3">
        <f t="shared" si="626"/>
        <v>22682.21</v>
      </c>
      <c r="AC998" s="3" cm="1">
        <f t="array" ref="AC998">100000000/LvacE(AA998)</f>
        <v>22682.207725026296</v>
      </c>
      <c r="AD998" s="10">
        <f t="shared" si="627"/>
        <v>7.5731352399256244E-3</v>
      </c>
      <c r="AE998" s="10" t="b">
        <f t="shared" si="628"/>
        <v>1</v>
      </c>
      <c r="AP998"/>
      <c r="AQ998"/>
      <c r="AU998" s="16" cm="1">
        <f t="array" ref="AU998">$C998*EXP(poly_from_str(100000000/$E998,AU$4342))</f>
        <v>0.30090810877928126</v>
      </c>
    </row>
    <row r="999" spans="1:48" x14ac:dyDescent="0.25">
      <c r="A999" t="s">
        <v>1534</v>
      </c>
      <c r="B999" s="2" t="str">
        <f t="shared" si="624"/>
        <v/>
      </c>
      <c r="C999">
        <v>7</v>
      </c>
      <c r="D999" t="s">
        <v>14</v>
      </c>
      <c r="E999" t="s">
        <v>1535</v>
      </c>
      <c r="R999">
        <v>10</v>
      </c>
      <c r="S999" t="s">
        <v>22</v>
      </c>
      <c r="AA999" s="10">
        <f t="shared" si="625"/>
        <v>4407.0169999999998</v>
      </c>
      <c r="AB999" s="3">
        <f t="shared" si="626"/>
        <v>22684.71</v>
      </c>
      <c r="AC999" s="3" cm="1">
        <f t="array" ref="AC999">100000000/LvacE(AA999)</f>
        <v>22684.714192280204</v>
      </c>
      <c r="AD999" s="10">
        <f t="shared" si="627"/>
        <v>7.5737039580605434E-3</v>
      </c>
      <c r="AE999" s="10" t="b">
        <f t="shared" si="628"/>
        <v>1</v>
      </c>
      <c r="AP999"/>
      <c r="AQ999"/>
      <c r="AU999" s="16" cm="1">
        <f t="array" ref="AU999">$C999*EXP(poly_from_str(100000000/$E999,AU$4342))</f>
        <v>0.30064124662590369</v>
      </c>
    </row>
    <row r="1000" spans="1:48" x14ac:dyDescent="0.25">
      <c r="A1000" t="s">
        <v>1536</v>
      </c>
      <c r="B1000" s="2" t="str">
        <f t="shared" si="624"/>
        <v/>
      </c>
      <c r="C1000">
        <v>3</v>
      </c>
      <c r="E1000" t="s">
        <v>1537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AA1000" s="10">
        <f t="shared" si="625"/>
        <v>4406.9160000000002</v>
      </c>
      <c r="AB1000" s="3">
        <f t="shared" si="626"/>
        <v>22685.23</v>
      </c>
      <c r="AC1000" s="3" cm="1">
        <f t="array" ref="AC1000">100000000/LvacE(AA1000)</f>
        <v>22685.234083387157</v>
      </c>
      <c r="AD1000" s="10">
        <f t="shared" si="627"/>
        <v>7.5738219293704665E-3</v>
      </c>
      <c r="AE1000" s="10" t="b">
        <f t="shared" si="628"/>
        <v>1</v>
      </c>
      <c r="AJ1000" t="s">
        <v>4972</v>
      </c>
      <c r="AK1000" t="s">
        <v>4831</v>
      </c>
      <c r="AL1000">
        <v>45807.1</v>
      </c>
      <c r="AM1000">
        <v>68492.429999999993</v>
      </c>
      <c r="AN1000" s="10" cm="1">
        <f t="array" ref="AN1000">Lair(100000000/($AM1000-$AL1000))</f>
        <v>4406.8973651637853</v>
      </c>
      <c r="AO1000" s="10">
        <f>100000000/($AM1000-$AL1000)</f>
        <v>4408.1351252108752</v>
      </c>
      <c r="AP1000" s="12">
        <v>1730000</v>
      </c>
      <c r="AQ1000" s="3">
        <v>0.151</v>
      </c>
      <c r="AR1000" s="3">
        <f>LN(AU1000*100000000/($AM1000-$AL1000)/AP1000)</f>
        <v>-8.0217797790835874</v>
      </c>
      <c r="AS1000" s="13">
        <f>EXP(AR$4341*$AM1000+AR$4342)*$AP1000/(100000000/($AM1000-$AL1000))</f>
        <v>0.2032142344513255</v>
      </c>
      <c r="AT1000" s="3">
        <f>LN(AS1000/$C1000)</f>
        <v>-2.6921068029657187</v>
      </c>
      <c r="AU1000" s="16" cm="1">
        <f t="array" ref="AU1000">$C1000*EXP(poly_from_str($AO1000,AU$4342))</f>
        <v>0.12881798789255386</v>
      </c>
      <c r="AV1000" s="13">
        <f>LN(AS1000/AU1000)</f>
        <v>0.45586030321459886</v>
      </c>
    </row>
    <row r="1001" spans="1:48" x14ac:dyDescent="0.25">
      <c r="A1001" t="s">
        <v>1538</v>
      </c>
      <c r="B1001" s="2" t="str">
        <f t="shared" si="624"/>
        <v/>
      </c>
      <c r="C1001">
        <v>3</v>
      </c>
      <c r="E1001" t="s">
        <v>1539</v>
      </c>
      <c r="R1001">
        <v>10</v>
      </c>
      <c r="S1001" t="s">
        <v>22</v>
      </c>
      <c r="AA1001" s="10">
        <f t="shared" si="625"/>
        <v>4406.777</v>
      </c>
      <c r="AB1001" s="3">
        <f t="shared" si="626"/>
        <v>22685.95</v>
      </c>
      <c r="AC1001" s="3" cm="1">
        <f t="array" ref="AC1001">100000000/LvacE(AA1001)</f>
        <v>22685.949616054644</v>
      </c>
      <c r="AD1001" s="10">
        <f t="shared" si="627"/>
        <v>7.5739842991890266E-3</v>
      </c>
      <c r="AE1001" s="10" t="b">
        <f t="shared" si="628"/>
        <v>1</v>
      </c>
      <c r="AP1001"/>
      <c r="AQ1001"/>
      <c r="AU1001" s="16" cm="1">
        <f t="array" ref="AU1001">$C1001*EXP(poly_from_str(100000000/$E1001,AU$4342))</f>
        <v>0.12878976808557951</v>
      </c>
    </row>
    <row r="1002" spans="1:48" x14ac:dyDescent="0.25">
      <c r="A1002" t="s">
        <v>1540</v>
      </c>
      <c r="B1002" s="2" t="str">
        <f t="shared" si="624"/>
        <v/>
      </c>
      <c r="C1002">
        <v>4</v>
      </c>
      <c r="E1002" t="s">
        <v>1541</v>
      </c>
      <c r="R1002">
        <v>10</v>
      </c>
      <c r="S1002" t="s">
        <v>22</v>
      </c>
      <c r="AA1002" s="10">
        <f t="shared" si="625"/>
        <v>4406.7349999999997</v>
      </c>
      <c r="AB1002" s="3">
        <f t="shared" si="626"/>
        <v>22686.17</v>
      </c>
      <c r="AC1002" s="3" cm="1">
        <f t="array" ref="AC1002">100000000/LvacE(AA1002)</f>
        <v>22686.165829050009</v>
      </c>
      <c r="AD1002" s="10">
        <f t="shared" si="627"/>
        <v>7.5740333635957247E-3</v>
      </c>
      <c r="AE1002" s="10" t="b">
        <f t="shared" si="628"/>
        <v>1</v>
      </c>
      <c r="AP1002"/>
      <c r="AQ1002"/>
      <c r="AU1002" s="16" cm="1">
        <f t="array" ref="AU1002">$C1002*EXP(poly_from_str(100000000/$E1002,AU$4342))</f>
        <v>0.17170635255928288</v>
      </c>
    </row>
    <row r="1003" spans="1:48" x14ac:dyDescent="0.25">
      <c r="A1003" t="s">
        <v>1542</v>
      </c>
      <c r="B1003" s="2" t="str">
        <f t="shared" si="624"/>
        <v/>
      </c>
      <c r="C1003">
        <v>5</v>
      </c>
      <c r="E1003" t="s">
        <v>1543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AA1003" s="10">
        <f t="shared" si="625"/>
        <v>4406.6899999999996</v>
      </c>
      <c r="AB1003" s="3">
        <f t="shared" si="626"/>
        <v>22686.400000000001</v>
      </c>
      <c r="AC1003" s="3" cm="1">
        <f t="array" ref="AC1003">100000000/LvacE(AA1003)</f>
        <v>22686.397490404164</v>
      </c>
      <c r="AD1003" s="10">
        <f t="shared" si="627"/>
        <v>7.5740859341596719E-3</v>
      </c>
      <c r="AE1003" s="10" t="b">
        <f t="shared" si="628"/>
        <v>1</v>
      </c>
      <c r="AJ1003" t="s">
        <v>4802</v>
      </c>
      <c r="AK1003" t="s">
        <v>4831</v>
      </c>
      <c r="AL1003">
        <v>45805.95</v>
      </c>
      <c r="AM1003">
        <v>68492.429999999993</v>
      </c>
      <c r="AN1003" s="10" cm="1">
        <f t="array" ref="AN1003">Lair(100000000/($AM1003-$AL1003))</f>
        <v>4406.6739713268025</v>
      </c>
      <c r="AO1003" s="10">
        <f>100000000/($AM1003-$AL1003)</f>
        <v>4407.9116725027425</v>
      </c>
      <c r="AU1003" s="16" cm="1">
        <f t="array" ref="AU1003">$C1003*EXP(poly_from_str(100000000/$E1003,AU$4342))</f>
        <v>0.21461551922466399</v>
      </c>
    </row>
    <row r="1004" spans="1:48" x14ac:dyDescent="0.25">
      <c r="A1004" t="s">
        <v>1544</v>
      </c>
      <c r="B1004" s="2" t="str">
        <f t="shared" si="624"/>
        <v/>
      </c>
      <c r="C1004">
        <v>5</v>
      </c>
      <c r="E1004" t="s">
        <v>1545</v>
      </c>
      <c r="R1004">
        <v>10</v>
      </c>
      <c r="S1004" t="s">
        <v>22</v>
      </c>
      <c r="AA1004" s="10">
        <f t="shared" si="625"/>
        <v>4406.299</v>
      </c>
      <c r="AB1004" s="3">
        <f t="shared" si="626"/>
        <v>22688.41</v>
      </c>
      <c r="AC1004" s="3" cm="1">
        <f t="array" ref="AC1004">100000000/LvacE(AA1004)</f>
        <v>22688.410569337695</v>
      </c>
      <c r="AD1004" s="10">
        <f t="shared" si="627"/>
        <v>7.5745427817469606E-3</v>
      </c>
      <c r="AE1004" s="10" t="b">
        <f t="shared" si="628"/>
        <v>1</v>
      </c>
      <c r="AP1004"/>
      <c r="AQ1004"/>
      <c r="AU1004" s="16" cm="1">
        <f t="array" ref="AU1004">$C1004*EXP(poly_from_str(100000000/$E1004,AU$4342))</f>
        <v>0.21446366853566678</v>
      </c>
    </row>
    <row r="1005" spans="1:48" x14ac:dyDescent="0.25">
      <c r="A1005" t="s">
        <v>1546</v>
      </c>
      <c r="B1005" s="2" t="str">
        <f t="shared" si="624"/>
        <v/>
      </c>
      <c r="C1005">
        <v>6</v>
      </c>
      <c r="E1005" t="s">
        <v>1547</v>
      </c>
      <c r="R1005">
        <v>10</v>
      </c>
      <c r="S1005" t="s">
        <v>22</v>
      </c>
      <c r="AA1005" s="10">
        <f t="shared" si="625"/>
        <v>4406.0659999999998</v>
      </c>
      <c r="AB1005" s="3">
        <f t="shared" si="626"/>
        <v>22689.61</v>
      </c>
      <c r="AC1005" s="3" cm="1">
        <f t="array" ref="AC1005">100000000/LvacE(AA1005)</f>
        <v>22689.610348922193</v>
      </c>
      <c r="AD1005" s="10">
        <f t="shared" si="627"/>
        <v>7.5748150786804141E-3</v>
      </c>
      <c r="AE1005" s="10" t="b">
        <f t="shared" si="628"/>
        <v>1</v>
      </c>
      <c r="AP1005"/>
      <c r="AQ1005"/>
      <c r="AU1005" s="16" cm="1">
        <f t="array" ref="AU1005">$C1005*EXP(poly_from_str(100000000/$E1005,AU$4342))</f>
        <v>0.25724802149316806</v>
      </c>
    </row>
    <row r="1006" spans="1:48" x14ac:dyDescent="0.25">
      <c r="A1006" t="s">
        <v>1548</v>
      </c>
      <c r="B1006" s="2" t="str">
        <f t="shared" si="624"/>
        <v/>
      </c>
      <c r="C1006">
        <v>60</v>
      </c>
      <c r="D1006" t="s">
        <v>14</v>
      </c>
      <c r="E1006" t="s">
        <v>1549</v>
      </c>
      <c r="R1006">
        <v>10</v>
      </c>
      <c r="S1006" t="s">
        <v>22</v>
      </c>
      <c r="AA1006" s="10">
        <f t="shared" si="625"/>
        <v>4404.9070000000002</v>
      </c>
      <c r="AB1006" s="3">
        <f t="shared" si="626"/>
        <v>22695.58</v>
      </c>
      <c r="AC1006" s="3" cm="1">
        <f t="array" ref="AC1006">100000000/LvacE(AA1006)</f>
        <v>22695.580237136342</v>
      </c>
      <c r="AD1006" s="10">
        <f t="shared" si="627"/>
        <v>7.5761701935065078E-3</v>
      </c>
      <c r="AE1006" s="10" t="b">
        <f t="shared" si="628"/>
        <v>1</v>
      </c>
      <c r="AP1006"/>
      <c r="AQ1006"/>
      <c r="AU1006" s="16" cm="1">
        <f t="array" ref="AU1006">$C1006*EXP(poly_from_str(100000000/$E1006,AU$4342))</f>
        <v>2.5671333982587567</v>
      </c>
    </row>
    <row r="1007" spans="1:48" x14ac:dyDescent="0.25">
      <c r="A1007" t="s">
        <v>1550</v>
      </c>
      <c r="B1007" s="2" t="str">
        <f t="shared" si="624"/>
        <v/>
      </c>
      <c r="C1007">
        <v>120</v>
      </c>
      <c r="E1007" t="s">
        <v>1551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625"/>
        <v>4404.7060000000001</v>
      </c>
      <c r="AB1007" s="3">
        <f t="shared" si="626"/>
        <v>22696.62</v>
      </c>
      <c r="AC1007" s="3" cm="1">
        <f t="array" ref="AC1007">100000000/LvacE(AA1007)</f>
        <v>22696.615886849344</v>
      </c>
      <c r="AD1007" s="10">
        <f t="shared" si="627"/>
        <v>7.5764053136406087E-3</v>
      </c>
      <c r="AE1007" s="10" t="b">
        <f t="shared" si="628"/>
        <v>1</v>
      </c>
      <c r="AJ1007" t="s">
        <v>4988</v>
      </c>
      <c r="AK1007" t="s">
        <v>4781</v>
      </c>
      <c r="AL1007">
        <v>16089.14</v>
      </c>
      <c r="AM1007">
        <v>38785.760000000002</v>
      </c>
      <c r="AN1007" s="10" cm="1">
        <f t="array" ref="AN1007">Lair(100000000/($AM1007-$AL1007))</f>
        <v>4404.7052002558958</v>
      </c>
      <c r="AO1007" s="10">
        <f>100000000/($AM1007-$AL1007)</f>
        <v>4405.9423826102739</v>
      </c>
      <c r="AU1007" s="16" cm="1">
        <f t="array" ref="AU1007">$C1007*EXP(poly_from_str(100000000/$E1007,AU$4342))</f>
        <v>5.1324192324628628</v>
      </c>
    </row>
    <row r="1008" spans="1:48" x14ac:dyDescent="0.25">
      <c r="A1008" t="s">
        <v>1552</v>
      </c>
      <c r="B1008" s="2" t="str">
        <f t="shared" si="624"/>
        <v/>
      </c>
      <c r="C1008">
        <v>1</v>
      </c>
      <c r="E1008" t="s">
        <v>1553</v>
      </c>
      <c r="R1008">
        <v>10</v>
      </c>
      <c r="S1008" t="s">
        <v>22</v>
      </c>
      <c r="AA1008" s="10">
        <f t="shared" si="625"/>
        <v>4404.308</v>
      </c>
      <c r="AB1008" s="3">
        <f t="shared" si="626"/>
        <v>22698.67</v>
      </c>
      <c r="AC1008" s="3" cm="1">
        <f t="array" ref="AC1008">100000000/LvacE(AA1008)</f>
        <v>22698.666855223404</v>
      </c>
      <c r="AD1008" s="10">
        <f t="shared" si="627"/>
        <v>7.5768709698803317E-3</v>
      </c>
      <c r="AE1008" s="10" t="b">
        <f t="shared" si="628"/>
        <v>1</v>
      </c>
      <c r="AP1008"/>
      <c r="AQ1008"/>
      <c r="AU1008" s="16" cm="1">
        <f t="array" ref="AU1008">$C1008*EXP(poly_from_str(100000000/$E1008,AU$4342))</f>
        <v>4.2739922082472355E-2</v>
      </c>
    </row>
    <row r="1009" spans="1:48" x14ac:dyDescent="0.25">
      <c r="A1009" t="s">
        <v>1554</v>
      </c>
      <c r="B1009" s="2" t="str">
        <f t="shared" si="624"/>
        <v/>
      </c>
      <c r="C1009">
        <v>3</v>
      </c>
      <c r="E1009" t="s">
        <v>1555</v>
      </c>
      <c r="R1009">
        <v>10</v>
      </c>
      <c r="S1009" t="s">
        <v>22</v>
      </c>
      <c r="AA1009" s="10">
        <f t="shared" si="625"/>
        <v>4404.1710000000003</v>
      </c>
      <c r="AB1009" s="3">
        <f t="shared" si="626"/>
        <v>22699.37</v>
      </c>
      <c r="AC1009" s="3" cm="1">
        <f t="array" ref="AC1009">100000000/LvacE(AA1009)</f>
        <v>22699.372927582397</v>
      </c>
      <c r="AD1009" s="10">
        <f t="shared" si="627"/>
        <v>7.5770312877931397E-3</v>
      </c>
      <c r="AE1009" s="10" t="b">
        <f t="shared" si="628"/>
        <v>1</v>
      </c>
      <c r="AP1009"/>
      <c r="AQ1009"/>
      <c r="AU1009" s="16" cm="1">
        <f t="array" ref="AU1009">$C1009*EXP(poly_from_str(100000000/$E1009,AU$4342))</f>
        <v>0.12818889103549441</v>
      </c>
    </row>
    <row r="1010" spans="1:48" x14ac:dyDescent="0.25">
      <c r="A1010" t="s">
        <v>1556</v>
      </c>
      <c r="B1010" s="2" t="str">
        <f t="shared" si="624"/>
        <v/>
      </c>
      <c r="C1010">
        <v>4</v>
      </c>
      <c r="D1010" t="s">
        <v>14</v>
      </c>
      <c r="E1010" t="s">
        <v>1557</v>
      </c>
      <c r="R1010">
        <v>10</v>
      </c>
      <c r="S1010" t="s">
        <v>22</v>
      </c>
      <c r="AA1010" s="10">
        <f t="shared" si="625"/>
        <v>4403.9139999999998</v>
      </c>
      <c r="AB1010" s="3">
        <f t="shared" si="626"/>
        <v>22700.7</v>
      </c>
      <c r="AC1010" s="3" cm="1">
        <f t="array" ref="AC1010">100000000/LvacE(AA1010)</f>
        <v>22700.697575979044</v>
      </c>
      <c r="AD1010" s="10">
        <f t="shared" si="627"/>
        <v>7.5773320705148925E-3</v>
      </c>
      <c r="AE1010" s="10" t="b">
        <f t="shared" si="628"/>
        <v>1</v>
      </c>
      <c r="AP1010"/>
      <c r="AQ1010"/>
      <c r="AU1010" s="16" cm="1">
        <f t="array" ref="AU1010">$C1010*EXP(poly_from_str(100000000/$E1010,AU$4342))</f>
        <v>0.17084049175524488</v>
      </c>
    </row>
    <row r="1011" spans="1:48" x14ac:dyDescent="0.25">
      <c r="A1011" t="s">
        <v>1558</v>
      </c>
      <c r="B1011" s="2" t="str">
        <f t="shared" si="624"/>
        <v/>
      </c>
      <c r="C1011">
        <v>2</v>
      </c>
      <c r="D1011" t="s">
        <v>14</v>
      </c>
      <c r="E1011" t="s">
        <v>1559</v>
      </c>
      <c r="R1011">
        <v>10</v>
      </c>
      <c r="S1011" t="s">
        <v>22</v>
      </c>
      <c r="AA1011" s="10">
        <f t="shared" si="625"/>
        <v>4403.4269999999997</v>
      </c>
      <c r="AB1011" s="3">
        <f t="shared" si="626"/>
        <v>22703.21</v>
      </c>
      <c r="AC1011" s="3" cm="1">
        <f t="array" ref="AC1011">100000000/LvacE(AA1011)</f>
        <v>22703.208131474876</v>
      </c>
      <c r="AD1011" s="10">
        <f t="shared" si="627"/>
        <v>7.5779021806736974E-3</v>
      </c>
      <c r="AE1011" s="10" t="b">
        <f t="shared" si="628"/>
        <v>1</v>
      </c>
      <c r="AP1011"/>
      <c r="AQ1011"/>
      <c r="AU1011" s="16" cm="1">
        <f t="array" ref="AU1011">$C1011*EXP(poly_from_str(100000000/$E1011,AU$4342))</f>
        <v>8.5346950545116484E-2</v>
      </c>
    </row>
    <row r="1012" spans="1:48" x14ac:dyDescent="0.25">
      <c r="A1012" t="s">
        <v>1560</v>
      </c>
      <c r="B1012" s="2" t="str">
        <f t="shared" si="624"/>
        <v/>
      </c>
      <c r="C1012">
        <v>3</v>
      </c>
      <c r="D1012" t="s">
        <v>14</v>
      </c>
      <c r="E1012" t="s">
        <v>1561</v>
      </c>
      <c r="R1012">
        <v>10</v>
      </c>
      <c r="S1012" t="s">
        <v>22</v>
      </c>
      <c r="AA1012" s="10">
        <f t="shared" si="625"/>
        <v>4403.0320000000002</v>
      </c>
      <c r="AB1012" s="3">
        <f t="shared" si="626"/>
        <v>22705.24</v>
      </c>
      <c r="AC1012" s="3" cm="1">
        <f t="array" ref="AC1012">100000000/LvacE(AA1012)</f>
        <v>22705.244821542816</v>
      </c>
      <c r="AD1012" s="10">
        <f t="shared" si="627"/>
        <v>7.5783647292982214E-3</v>
      </c>
      <c r="AE1012" s="10" t="b">
        <f t="shared" si="628"/>
        <v>1</v>
      </c>
      <c r="AP1012"/>
      <c r="AQ1012"/>
      <c r="AU1012" s="16" cm="1">
        <f t="array" ref="AU1012">$C1012*EXP(poly_from_str(100000000/$E1012,AU$4342))</f>
        <v>0.12793198573104703</v>
      </c>
    </row>
    <row r="1013" spans="1:48" x14ac:dyDescent="0.25">
      <c r="A1013" t="s">
        <v>1562</v>
      </c>
      <c r="B1013" s="2" t="str">
        <f t="shared" si="624"/>
        <v/>
      </c>
      <c r="C1013">
        <v>7</v>
      </c>
      <c r="D1013" t="s">
        <v>14</v>
      </c>
      <c r="E1013" t="s">
        <v>1563</v>
      </c>
      <c r="R1013">
        <v>10</v>
      </c>
      <c r="S1013" t="s">
        <v>22</v>
      </c>
      <c r="AA1013" s="10">
        <f t="shared" si="625"/>
        <v>4402.8829999999998</v>
      </c>
      <c r="AB1013" s="3">
        <f t="shared" si="626"/>
        <v>22706.01</v>
      </c>
      <c r="AC1013" s="3" cm="1">
        <f t="array" ref="AC1013">100000000/LvacE(AA1013)</f>
        <v>22706.013186894841</v>
      </c>
      <c r="AD1013" s="10">
        <f t="shared" si="627"/>
        <v>7.5785392420028921E-3</v>
      </c>
      <c r="AE1013" s="10" t="b">
        <f t="shared" si="628"/>
        <v>1</v>
      </c>
      <c r="AP1013"/>
      <c r="AQ1013"/>
      <c r="AU1013" s="16" cm="1">
        <f t="array" ref="AU1013">$C1013*EXP(poly_from_str(100000000/$E1013,AU$4342))</f>
        <v>0.29842995240987968</v>
      </c>
    </row>
    <row r="1014" spans="1:48" x14ac:dyDescent="0.25">
      <c r="A1014" t="s">
        <v>1564</v>
      </c>
      <c r="B1014" s="2" t="str">
        <f t="shared" si="624"/>
        <v/>
      </c>
      <c r="C1014">
        <v>7</v>
      </c>
      <c r="D1014" t="s">
        <v>14</v>
      </c>
      <c r="E1014" t="s">
        <v>1565</v>
      </c>
      <c r="R1014">
        <v>10</v>
      </c>
      <c r="S1014" t="s">
        <v>22</v>
      </c>
      <c r="AA1014" s="10">
        <f t="shared" si="625"/>
        <v>4402.4740000000002</v>
      </c>
      <c r="AB1014" s="3">
        <f t="shared" si="626"/>
        <v>22708.12</v>
      </c>
      <c r="AC1014" s="3" cm="1">
        <f t="array" ref="AC1014">100000000/LvacE(AA1014)</f>
        <v>22708.122591321247</v>
      </c>
      <c r="AD1014" s="10">
        <f t="shared" si="627"/>
        <v>7.5790183645969567E-3</v>
      </c>
      <c r="AE1014" s="10" t="b">
        <f t="shared" si="628"/>
        <v>1</v>
      </c>
      <c r="AP1014"/>
      <c r="AQ1014"/>
      <c r="AU1014" s="16" cm="1">
        <f t="array" ref="AU1014">$C1014*EXP(poly_from_str(100000000/$E1014,AU$4342))</f>
        <v>0.29821690490977409</v>
      </c>
    </row>
    <row r="1015" spans="1:48" x14ac:dyDescent="0.25">
      <c r="A1015" t="s">
        <v>1566</v>
      </c>
      <c r="B1015" s="2" t="str">
        <f t="shared" si="624"/>
        <v/>
      </c>
      <c r="C1015">
        <v>3</v>
      </c>
      <c r="E1015" t="s">
        <v>1567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625"/>
        <v>4402.2280000000001</v>
      </c>
      <c r="AB1015" s="3">
        <f t="shared" si="626"/>
        <v>22709.39</v>
      </c>
      <c r="AC1015" s="3" cm="1">
        <f t="array" ref="AC1015">100000000/LvacE(AA1015)</f>
        <v>22709.391517225904</v>
      </c>
      <c r="AD1015" s="10">
        <f t="shared" si="627"/>
        <v>7.5793066053400585E-3</v>
      </c>
      <c r="AE1015" s="10" t="b">
        <f t="shared" si="628"/>
        <v>1</v>
      </c>
      <c r="AJ1015" t="s">
        <v>4776</v>
      </c>
      <c r="AK1015" t="s">
        <v>4714</v>
      </c>
      <c r="AL1015">
        <v>16516.150000000001</v>
      </c>
      <c r="AM1015">
        <v>39225.599999999999</v>
      </c>
      <c r="AN1015" s="10" cm="1">
        <f t="array" ref="AN1015">Lair(100000000/($AM1015-$AL1015))</f>
        <v>4402.2166614030648</v>
      </c>
      <c r="AO1015" s="10">
        <f>100000000/($AM1015-$AL1015)</f>
        <v>4403.4531879900223</v>
      </c>
      <c r="AP1015" s="12">
        <v>93100</v>
      </c>
      <c r="AQ1015" s="3">
        <v>8.9999999999999993E-3</v>
      </c>
      <c r="AR1015" s="3"/>
      <c r="AS1015" s="13">
        <f>EXP(AR$4341*$AM1015+AR$4342)*$AP1015/(100000000/($AM1015-$AL1015))</f>
        <v>9.844536284945779E-2</v>
      </c>
      <c r="AT1015" s="3"/>
      <c r="AU1015" s="16" cm="1">
        <f t="array" ref="AU1015">$C1015*EXP(poly_from_str(100000000/$E1015,AU$4342))</f>
        <v>0.12775250939534125</v>
      </c>
    </row>
    <row r="1016" spans="1:48" x14ac:dyDescent="0.25">
      <c r="A1016" t="s">
        <v>1568</v>
      </c>
      <c r="B1016" s="2" t="str">
        <f t="shared" si="624"/>
        <v/>
      </c>
      <c r="C1016">
        <v>2</v>
      </c>
      <c r="E1016" t="s">
        <v>1569</v>
      </c>
      <c r="R1016">
        <v>10</v>
      </c>
      <c r="S1016" t="s">
        <v>22</v>
      </c>
      <c r="AA1016" s="10">
        <f t="shared" si="625"/>
        <v>4402.1139999999996</v>
      </c>
      <c r="AB1016" s="3">
        <f t="shared" si="626"/>
        <v>22709.98</v>
      </c>
      <c r="AC1016" s="3" cm="1">
        <f t="array" ref="AC1016">100000000/LvacE(AA1016)</f>
        <v>22709.9796041476</v>
      </c>
      <c r="AD1016" s="10">
        <f t="shared" si="627"/>
        <v>7.5794401967040842E-3</v>
      </c>
      <c r="AE1016" s="10" t="b">
        <f t="shared" si="628"/>
        <v>1</v>
      </c>
      <c r="AP1016"/>
      <c r="AQ1016"/>
      <c r="AU1016" s="16" cm="1">
        <f t="array" ref="AU1016">$C1016*EXP(poly_from_str(100000000/$E1016,AU$4342))</f>
        <v>8.5151425001137745E-2</v>
      </c>
    </row>
    <row r="1017" spans="1:48" x14ac:dyDescent="0.25">
      <c r="A1017" t="s">
        <v>1570</v>
      </c>
      <c r="B1017" s="2" t="str">
        <f t="shared" si="624"/>
        <v/>
      </c>
      <c r="C1017">
        <v>4</v>
      </c>
      <c r="E1017" t="s">
        <v>1571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625"/>
        <v>4401.07</v>
      </c>
      <c r="AB1017" s="3">
        <f t="shared" si="626"/>
        <v>22715.37</v>
      </c>
      <c r="AC1017" s="3" cm="1">
        <f t="array" ref="AC1017">100000000/LvacE(AA1017)</f>
        <v>22715.366659290572</v>
      </c>
      <c r="AD1017" s="10">
        <f t="shared" si="627"/>
        <v>7.5806640952416765E-3</v>
      </c>
      <c r="AE1017" s="10" t="b">
        <f t="shared" si="628"/>
        <v>1</v>
      </c>
      <c r="AJ1017" t="s">
        <v>4806</v>
      </c>
      <c r="AK1017" t="s">
        <v>4894</v>
      </c>
      <c r="AL1017">
        <v>44679.98</v>
      </c>
      <c r="AM1017">
        <v>67395.320000000007</v>
      </c>
      <c r="AN1017" s="10" cm="1">
        <f t="array" ref="AN1017">Lair(100000000/($AM1017-$AL1017))</f>
        <v>4401.0751637769954</v>
      </c>
      <c r="AO1017" s="10">
        <f>100000000/($AM1017-$AL1017)</f>
        <v>4402.3113895719798</v>
      </c>
      <c r="AP1017" s="12">
        <v>603000</v>
      </c>
      <c r="AQ1017" s="3">
        <v>3.5000000000000003E-2</v>
      </c>
      <c r="AR1017" s="3"/>
      <c r="AS1017" s="13">
        <f>EXP(AR$4341*$AM1017+AR$4342)*$AP1017/(100000000/($AM1017-$AL1017))</f>
        <v>7.7011736457944874E-2</v>
      </c>
      <c r="AT1017" s="3"/>
      <c r="AU1017" s="16" cm="1">
        <f t="array" ref="AU1017">$C1017*EXP(poly_from_str(100000000/$E1017,AU$4342))</f>
        <v>0.16999600335399845</v>
      </c>
    </row>
    <row r="1018" spans="1:48" x14ac:dyDescent="0.25">
      <c r="A1018" t="s">
        <v>1572</v>
      </c>
      <c r="B1018" s="2" t="str">
        <f t="shared" si="624"/>
        <v/>
      </c>
      <c r="C1018">
        <v>6</v>
      </c>
      <c r="E1018" t="s">
        <v>1573</v>
      </c>
      <c r="R1018">
        <v>10</v>
      </c>
      <c r="S1018" t="s">
        <v>22</v>
      </c>
      <c r="AA1018" s="10">
        <f t="shared" si="625"/>
        <v>4400.9790000000003</v>
      </c>
      <c r="AB1018" s="3">
        <f t="shared" si="626"/>
        <v>22715.84</v>
      </c>
      <c r="AC1018" s="3" cm="1">
        <f t="array" ref="AC1018">100000000/LvacE(AA1018)</f>
        <v>22715.836341705664</v>
      </c>
      <c r="AD1018" s="10">
        <f t="shared" si="627"/>
        <v>7.5807708173233346E-3</v>
      </c>
      <c r="AE1018" s="10" t="b">
        <f t="shared" si="628"/>
        <v>1</v>
      </c>
      <c r="AP1018"/>
      <c r="AQ1018"/>
      <c r="AU1018" s="16" cm="1">
        <f t="array" ref="AU1018">$C1018*EXP(poly_from_str(100000000/$E1018,AU$4342))</f>
        <v>0.25495415172893682</v>
      </c>
    </row>
    <row r="1019" spans="1:48" x14ac:dyDescent="0.25">
      <c r="A1019" t="s">
        <v>1574</v>
      </c>
      <c r="B1019" s="2" t="str">
        <f t="shared" si="624"/>
        <v/>
      </c>
      <c r="C1019">
        <v>20</v>
      </c>
      <c r="E1019" t="s">
        <v>1575</v>
      </c>
      <c r="R1019">
        <v>10</v>
      </c>
      <c r="S1019" t="s">
        <v>22</v>
      </c>
      <c r="AA1019" s="10">
        <f t="shared" si="625"/>
        <v>4400.5609999999997</v>
      </c>
      <c r="AB1019" s="3">
        <f t="shared" si="626"/>
        <v>22717.99</v>
      </c>
      <c r="AC1019" s="3" cm="1">
        <f t="array" ref="AC1019">100000000/LvacE(AA1019)</f>
        <v>22717.994033546067</v>
      </c>
      <c r="AD1019" s="10">
        <f t="shared" si="627"/>
        <v>7.5812611202919437E-3</v>
      </c>
      <c r="AE1019" s="10" t="b">
        <f t="shared" si="628"/>
        <v>1</v>
      </c>
      <c r="AP1019"/>
      <c r="AQ1019"/>
      <c r="AU1019" s="16" cm="1">
        <f t="array" ref="AU1019">$C1019*EXP(poly_from_str(100000000/$E1019,AU$4342))</f>
        <v>0.84924139283303768</v>
      </c>
    </row>
    <row r="1020" spans="1:48" x14ac:dyDescent="0.25">
      <c r="A1020" t="s">
        <v>1576</v>
      </c>
      <c r="B1020" s="2" t="str">
        <f t="shared" si="624"/>
        <v/>
      </c>
      <c r="C1020">
        <v>5</v>
      </c>
      <c r="D1020" t="s">
        <v>14</v>
      </c>
      <c r="E1020" t="s">
        <v>1577</v>
      </c>
      <c r="R1020">
        <v>10</v>
      </c>
      <c r="S1020" t="s">
        <v>22</v>
      </c>
      <c r="AA1020" s="10">
        <f t="shared" si="625"/>
        <v>4398.6949999999997</v>
      </c>
      <c r="AB1020" s="3">
        <f t="shared" si="626"/>
        <v>22727.63</v>
      </c>
      <c r="AC1020" s="3" cm="1">
        <f t="array" ref="AC1020">100000000/LvacE(AA1020)</f>
        <v>22727.631219018163</v>
      </c>
      <c r="AD1020" s="10">
        <f t="shared" si="627"/>
        <v>7.5834515940543922E-3</v>
      </c>
      <c r="AE1020" s="10" t="b">
        <f t="shared" si="628"/>
        <v>1</v>
      </c>
      <c r="AP1020"/>
      <c r="AQ1020"/>
      <c r="AU1020" s="16" cm="1">
        <f t="array" ref="AU1020">$C1020*EXP(poly_from_str(100000000/$E1020,AU$4342))</f>
        <v>0.21164090627354298</v>
      </c>
    </row>
    <row r="1021" spans="1:48" x14ac:dyDescent="0.25">
      <c r="A1021" t="s">
        <v>1578</v>
      </c>
      <c r="B1021" s="2" t="str">
        <f t="shared" si="624"/>
        <v/>
      </c>
      <c r="C1021">
        <v>30</v>
      </c>
      <c r="D1021" t="s">
        <v>14</v>
      </c>
      <c r="E1021" t="s">
        <v>1579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625"/>
        <v>4391.5330000000004</v>
      </c>
      <c r="AB1021" s="3">
        <f t="shared" si="626"/>
        <v>22764.7</v>
      </c>
      <c r="AC1021" s="3" cm="1">
        <f t="array" ref="AC1021">100000000/LvacE(AA1021)</f>
        <v>22764.696283889873</v>
      </c>
      <c r="AD1021" s="10">
        <f t="shared" si="627"/>
        <v>7.5918849162570192E-3</v>
      </c>
      <c r="AE1021" s="10" t="b">
        <f t="shared" si="628"/>
        <v>1</v>
      </c>
      <c r="AJ1021" t="s">
        <v>4818</v>
      </c>
      <c r="AK1021" t="s">
        <v>4771</v>
      </c>
      <c r="AL1021">
        <v>13887.6</v>
      </c>
      <c r="AM1021">
        <v>36652.29</v>
      </c>
      <c r="AN1021" s="10" cm="1">
        <f t="array" ref="AN1021">Lair(100000000/($AM1021-$AL1021))</f>
        <v>4391.5342106680682</v>
      </c>
      <c r="AO1021" s="10">
        <f>100000000/($AM1021-$AL1021)</f>
        <v>4392.7679226029431</v>
      </c>
      <c r="AP1021" s="12">
        <v>3510000</v>
      </c>
      <c r="AQ1021" s="3">
        <v>0.17100000000000001</v>
      </c>
      <c r="AR1021" s="17"/>
      <c r="AS1021" s="13">
        <f>EXP(AR$4341*$AM1021+AR$4342)*$AP1021/(100000000/($AM1021-$AL1021))</f>
        <v>4.5131332541728781</v>
      </c>
      <c r="AT1021" s="17"/>
      <c r="AU1021" s="16">
        <f>EXP(3.99170988317164E-09*$AO1021^3 - 0.000043835202647649*$AO1021^2 + 0.156286538105623*$AO1021 - 181.419239498555)</f>
        <v>9.1182083748516454E-2</v>
      </c>
      <c r="AV1021" s="17"/>
    </row>
    <row r="1022" spans="1:48" x14ac:dyDescent="0.25">
      <c r="A1022" t="s">
        <v>1580</v>
      </c>
      <c r="B1022" s="2" t="str">
        <f t="shared" si="624"/>
        <v/>
      </c>
      <c r="C1022">
        <v>0</v>
      </c>
      <c r="E1022" t="s">
        <v>1581</v>
      </c>
      <c r="R1022">
        <v>11</v>
      </c>
      <c r="S1022" t="s">
        <v>22</v>
      </c>
      <c r="AA1022" s="10">
        <f t="shared" si="625"/>
        <v>4389.8220000000001</v>
      </c>
      <c r="AB1022" s="3">
        <f t="shared" si="626"/>
        <v>22773.57</v>
      </c>
      <c r="AC1022" s="3" cm="1">
        <f t="array" ref="AC1022">100000000/LvacE(AA1022)</f>
        <v>22773.569016052243</v>
      </c>
      <c r="AD1022" s="10">
        <f t="shared" si="627"/>
        <v>7.5939057456147702E-3</v>
      </c>
      <c r="AE1022" s="10" t="b">
        <f t="shared" si="628"/>
        <v>1</v>
      </c>
      <c r="AP1022"/>
      <c r="AQ1022"/>
      <c r="AU1022" s="16" cm="1">
        <f t="array" ref="AU1022">$C1022*EXP(poly_from_str(100000000/$E1022,AU$4342))</f>
        <v>0</v>
      </c>
    </row>
    <row r="1023" spans="1:48" x14ac:dyDescent="0.25">
      <c r="A1023" t="s">
        <v>1582</v>
      </c>
      <c r="B1023" s="2" t="str">
        <f t="shared" si="624"/>
        <v/>
      </c>
      <c r="C1023">
        <v>8</v>
      </c>
      <c r="D1023" t="s">
        <v>170</v>
      </c>
      <c r="E1023" t="s">
        <v>1583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625"/>
        <v>4389.759</v>
      </c>
      <c r="AB1023" s="3">
        <f t="shared" si="626"/>
        <v>22773.9</v>
      </c>
      <c r="AC1023" s="3" cm="1">
        <f t="array" ref="AC1023">100000000/LvacE(AA1023)</f>
        <v>22773.89584715517</v>
      </c>
      <c r="AD1023" s="10">
        <f t="shared" si="627"/>
        <v>7.5939801988167428E-3</v>
      </c>
      <c r="AE1023" s="10" t="b">
        <f t="shared" si="628"/>
        <v>1</v>
      </c>
      <c r="AJ1023" t="s">
        <v>4728</v>
      </c>
      <c r="AK1023" t="s">
        <v>4902</v>
      </c>
      <c r="AL1023">
        <v>35384.17</v>
      </c>
      <c r="AM1023">
        <v>58158.080000000002</v>
      </c>
      <c r="AN1023" s="10" cm="1">
        <f t="array" ref="AN1023">Lair(100000000/($AM1023-$AL1023))</f>
        <v>4389.7562703485701</v>
      </c>
      <c r="AO1023" s="10">
        <f>100000000/($AM1023-$AL1023)</f>
        <v>4390.9895138779411</v>
      </c>
      <c r="AP1023" s="12">
        <v>2440000</v>
      </c>
      <c r="AQ1023" s="3">
        <v>0.254</v>
      </c>
      <c r="AR1023" s="3">
        <f>LN(AU1023*100000000/($AM1023-$AL1023)/AP1023)</f>
        <v>-7.4173400728608563</v>
      </c>
      <c r="AS1023" s="13">
        <f>EXP(AR$4341*$AM1023+AR$4342)*$AP1023/(100000000/($AM1023-$AL1023))</f>
        <v>0.62490147725781287</v>
      </c>
      <c r="AT1023" s="3">
        <f>LN(AS1023/$C1023)</f>
        <v>-2.5496028197389919</v>
      </c>
      <c r="AU1023" s="16" cm="1">
        <f t="array" ref="AU1023">$C1023*EXP(poly_from_str($AO1023,AU$4342))</f>
        <v>0.33382400432037446</v>
      </c>
      <c r="AV1023" s="13">
        <f>LN(AS1023/AU1023)</f>
        <v>0.62698007999688465</v>
      </c>
    </row>
    <row r="1024" spans="1:48" x14ac:dyDescent="0.25">
      <c r="A1024" t="s">
        <v>1584</v>
      </c>
      <c r="B1024" s="2" t="str">
        <f t="shared" si="624"/>
        <v/>
      </c>
      <c r="C1024">
        <v>5</v>
      </c>
      <c r="E1024" t="s">
        <v>1585</v>
      </c>
      <c r="R1024">
        <v>11</v>
      </c>
      <c r="S1024" t="s">
        <v>22</v>
      </c>
      <c r="AA1024" s="10">
        <f t="shared" si="625"/>
        <v>4389.51</v>
      </c>
      <c r="AB1024" s="3">
        <f t="shared" si="626"/>
        <v>22775.19</v>
      </c>
      <c r="AC1024" s="3" cm="1">
        <f t="array" ref="AC1024">100000000/LvacE(AA1024)</f>
        <v>22775.187699994964</v>
      </c>
      <c r="AD1024" s="10">
        <f t="shared" si="627"/>
        <v>7.5942744976084994E-3</v>
      </c>
      <c r="AE1024" s="10" t="b">
        <f t="shared" si="628"/>
        <v>1</v>
      </c>
      <c r="AP1024"/>
      <c r="AQ1024"/>
      <c r="AU1024" s="16" cm="1">
        <f t="array" ref="AU1024">$C1024*EXP(poly_from_str(100000000/$E1024,AU$4342))</f>
        <v>0.20856189108710596</v>
      </c>
    </row>
    <row r="1025" spans="1:48" x14ac:dyDescent="0.25">
      <c r="A1025" t="s">
        <v>1586</v>
      </c>
      <c r="B1025" s="2" t="str">
        <f t="shared" si="624"/>
        <v/>
      </c>
      <c r="C1025">
        <v>4</v>
      </c>
      <c r="E1025" t="s">
        <v>1587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625"/>
        <v>4389.3860000000004</v>
      </c>
      <c r="AB1025" s="3">
        <f t="shared" si="626"/>
        <v>22775.83</v>
      </c>
      <c r="AC1025" s="3" cm="1">
        <f t="array" ref="AC1025">100000000/LvacE(AA1025)</f>
        <v>22775.831087000231</v>
      </c>
      <c r="AD1025" s="10">
        <f t="shared" si="627"/>
        <v>7.594421074724373E-3</v>
      </c>
      <c r="AE1025" s="10" t="b">
        <f t="shared" si="628"/>
        <v>1</v>
      </c>
      <c r="AJ1025" t="s">
        <v>4765</v>
      </c>
      <c r="AK1025" t="s">
        <v>4861</v>
      </c>
      <c r="AL1025">
        <v>44903.42</v>
      </c>
      <c r="AM1025">
        <v>67679.210000000006</v>
      </c>
      <c r="AN1025" s="10" cm="1">
        <f t="array" ref="AN1025">Lair(100000000/($AM1025-$AL1025))</f>
        <v>4389.39391689903</v>
      </c>
      <c r="AO1025" s="10">
        <f>100000000/($AM1025-$AL1025)</f>
        <v>4390.6270649667895</v>
      </c>
      <c r="AP1025" s="12">
        <v>672000</v>
      </c>
      <c r="AQ1025" s="3">
        <v>8.2000000000000003E-2</v>
      </c>
      <c r="AR1025" s="3">
        <f>LN(AU1025*100000000/($AM1025-$AL1025)/AP1025)</f>
        <v>-6.8216244262311667</v>
      </c>
      <c r="AS1025" s="13">
        <f>EXP(AR$4341*$AM1025+AR$4342)*$AP1025/(100000000/($AM1025-$AL1025))</f>
        <v>8.4238462263091701E-2</v>
      </c>
      <c r="AT1025" s="3">
        <f>LN(AS1025/$C1025)</f>
        <v>-3.8603980266797215</v>
      </c>
      <c r="AU1025" s="16" cm="1">
        <f t="array" ref="AU1025">$C1025*EXP(poly_from_str($AO1025,AU$4342))</f>
        <v>0.16682029196427714</v>
      </c>
      <c r="AV1025" s="13">
        <f>LN(AS1025/AU1025)</f>
        <v>-0.68326552356512926</v>
      </c>
    </row>
    <row r="1026" spans="1:48" x14ac:dyDescent="0.25">
      <c r="A1026" t="s">
        <v>1588</v>
      </c>
      <c r="B1026" s="2" t="str">
        <f t="shared" si="624"/>
        <v/>
      </c>
      <c r="C1026">
        <v>3</v>
      </c>
      <c r="D1026" t="s">
        <v>143</v>
      </c>
      <c r="E1026" t="s">
        <v>1589</v>
      </c>
      <c r="R1026">
        <v>11</v>
      </c>
      <c r="S1026" t="s">
        <v>22</v>
      </c>
      <c r="AA1026" s="10">
        <f t="shared" si="625"/>
        <v>4389.1030000000001</v>
      </c>
      <c r="AB1026" s="3">
        <f t="shared" si="626"/>
        <v>22777.3</v>
      </c>
      <c r="AC1026" s="3" cm="1">
        <f t="array" ref="AC1026">100000000/LvacE(AA1026)</f>
        <v>22777.29959833973</v>
      </c>
      <c r="AD1026" s="10">
        <f t="shared" si="627"/>
        <v>7.5947556480606328E-3</v>
      </c>
      <c r="AE1026" s="10" t="b">
        <f t="shared" si="628"/>
        <v>1</v>
      </c>
      <c r="AP1026"/>
      <c r="AQ1026"/>
      <c r="AU1026" s="16" cm="1">
        <f t="array" ref="AU1026">$C1026*EXP(poly_from_str(100000000/$E1026,AU$4342))</f>
        <v>0.12506021459970287</v>
      </c>
    </row>
    <row r="1027" spans="1:48" x14ac:dyDescent="0.25">
      <c r="A1027" t="s">
        <v>1590</v>
      </c>
      <c r="B1027" s="2" t="str">
        <f t="shared" ref="B1027:B1090" si="629">IF(OR(A1027=A1026,A1027=A1028),IF(B1026="",1,B1026+1),"")</f>
        <v/>
      </c>
      <c r="C1027">
        <v>3</v>
      </c>
      <c r="D1027" t="s">
        <v>14</v>
      </c>
      <c r="E1027" t="s">
        <v>1591</v>
      </c>
      <c r="R1027">
        <v>11</v>
      </c>
      <c r="S1027" t="s">
        <v>22</v>
      </c>
      <c r="AA1027" s="10">
        <f t="shared" ref="AA1027:AA1090" si="630">ROUND($A1027,3)+0</f>
        <v>4388.8</v>
      </c>
      <c r="AB1027" s="3">
        <f t="shared" ref="AB1027:AB1090" si="631">ROUND($E1027,2)+0</f>
        <v>22778.87</v>
      </c>
      <c r="AC1027" s="3" cm="1">
        <f t="array" ref="AC1027">100000000/LvacE(AA1027)</f>
        <v>22778.872101328681</v>
      </c>
      <c r="AD1027" s="10">
        <f t="shared" ref="AD1027:AD1090" si="632">0.0005/$AA1027*AC1027+0.005</f>
        <v>7.5951139379020101E-3</v>
      </c>
      <c r="AE1027" s="10" t="b">
        <f t="shared" ref="AE1027:AE1090" si="633">ABS(AB1027-AC1027)&lt;AD1027</f>
        <v>1</v>
      </c>
      <c r="AP1027"/>
      <c r="AQ1027"/>
      <c r="AU1027" s="16" cm="1">
        <f t="array" ref="AU1027">$C1027*EXP(poly_from_str(100000000/$E1027,AU$4342))</f>
        <v>0.12500325205573065</v>
      </c>
    </row>
    <row r="1028" spans="1:48" x14ac:dyDescent="0.25">
      <c r="A1028" t="s">
        <v>1592</v>
      </c>
      <c r="B1028" s="2" t="str">
        <f t="shared" si="629"/>
        <v/>
      </c>
      <c r="C1028">
        <v>2</v>
      </c>
      <c r="E1028" t="s">
        <v>1593</v>
      </c>
      <c r="R1028">
        <v>11</v>
      </c>
      <c r="S1028" t="s">
        <v>22</v>
      </c>
      <c r="AA1028" s="10">
        <f t="shared" si="630"/>
        <v>4388.7120000000004</v>
      </c>
      <c r="AB1028" s="3">
        <f t="shared" si="631"/>
        <v>22779.33</v>
      </c>
      <c r="AC1028" s="3" cm="1">
        <f t="array" ref="AC1028">100000000/LvacE(AA1028)</f>
        <v>22779.328842554038</v>
      </c>
      <c r="AD1028" s="10">
        <f t="shared" si="632"/>
        <v>7.5952180095839091E-3</v>
      </c>
      <c r="AE1028" s="10" t="b">
        <f t="shared" si="633"/>
        <v>1</v>
      </c>
      <c r="AP1028"/>
      <c r="AQ1028"/>
      <c r="AU1028" s="16" cm="1">
        <f t="array" ref="AU1028">$C1028*EXP(poly_from_str(100000000/$E1028,AU$4342))</f>
        <v>8.3324404164799748E-2</v>
      </c>
    </row>
    <row r="1029" spans="1:48" x14ac:dyDescent="0.25">
      <c r="A1029" t="s">
        <v>1594</v>
      </c>
      <c r="B1029" s="2" t="str">
        <f t="shared" si="629"/>
        <v/>
      </c>
      <c r="C1029">
        <v>5</v>
      </c>
      <c r="D1029" t="s">
        <v>14</v>
      </c>
      <c r="E1029" t="s">
        <v>1595</v>
      </c>
      <c r="R1029">
        <v>11</v>
      </c>
      <c r="S1029" t="s">
        <v>22</v>
      </c>
      <c r="AA1029" s="10">
        <f t="shared" si="630"/>
        <v>4388.5249999999996</v>
      </c>
      <c r="AB1029" s="3">
        <f t="shared" si="631"/>
        <v>22780.3</v>
      </c>
      <c r="AC1029" s="3" cm="1">
        <f t="array" ref="AC1029">100000000/LvacE(AA1029)</f>
        <v>22780.299478475787</v>
      </c>
      <c r="AD1029" s="10">
        <f t="shared" si="632"/>
        <v>7.5954391826953006E-3</v>
      </c>
      <c r="AE1029" s="10" t="b">
        <f t="shared" si="633"/>
        <v>1</v>
      </c>
      <c r="AP1029"/>
      <c r="AQ1029"/>
      <c r="AU1029" s="16" cm="1">
        <f t="array" ref="AU1029">$C1029*EXP(poly_from_str(100000000/$E1029,AU$4342))</f>
        <v>0.20825261727223465</v>
      </c>
    </row>
    <row r="1030" spans="1:48" x14ac:dyDescent="0.25">
      <c r="A1030" t="s">
        <v>1596</v>
      </c>
      <c r="B1030" s="2" t="str">
        <f t="shared" si="629"/>
        <v/>
      </c>
      <c r="C1030">
        <v>5</v>
      </c>
      <c r="D1030" t="s">
        <v>143</v>
      </c>
      <c r="E1030" t="s">
        <v>1597</v>
      </c>
      <c r="R1030">
        <v>11</v>
      </c>
      <c r="S1030" t="s">
        <v>22</v>
      </c>
      <c r="AA1030" s="10">
        <f t="shared" si="630"/>
        <v>4387.3519999999999</v>
      </c>
      <c r="AB1030" s="3">
        <f t="shared" si="631"/>
        <v>22786.39</v>
      </c>
      <c r="AC1030" s="3" cm="1">
        <f t="array" ref="AC1030">100000000/LvacE(AA1030)</f>
        <v>22786.389900176997</v>
      </c>
      <c r="AD1030" s="10">
        <f t="shared" si="632"/>
        <v>7.5968271864415024E-3</v>
      </c>
      <c r="AE1030" s="10" t="b">
        <f t="shared" si="633"/>
        <v>1</v>
      </c>
      <c r="AP1030"/>
      <c r="AQ1030"/>
      <c r="AU1030" s="16" cm="1">
        <f t="array" ref="AU1030">$C1030*EXP(poly_from_str(100000000/$E1030,AU$4342))</f>
        <v>0.20788935514815601</v>
      </c>
    </row>
    <row r="1031" spans="1:48" x14ac:dyDescent="0.25">
      <c r="A1031" t="s">
        <v>1598</v>
      </c>
      <c r="B1031" s="2" t="str">
        <f t="shared" si="629"/>
        <v/>
      </c>
      <c r="C1031">
        <v>7</v>
      </c>
      <c r="E1031" t="s">
        <v>1599</v>
      </c>
      <c r="R1031">
        <v>11</v>
      </c>
      <c r="S1031" t="s">
        <v>22</v>
      </c>
      <c r="AA1031" s="10">
        <f t="shared" si="630"/>
        <v>4386.8450000000003</v>
      </c>
      <c r="AB1031" s="3">
        <f t="shared" si="631"/>
        <v>22789.02</v>
      </c>
      <c r="AC1031" s="3" cm="1">
        <f t="array" ref="AC1031">100000000/LvacE(AA1031)</f>
        <v>22789.023341182768</v>
      </c>
      <c r="AD1031" s="10">
        <f t="shared" si="632"/>
        <v>7.5974274611004915E-3</v>
      </c>
      <c r="AE1031" s="10" t="b">
        <f t="shared" si="633"/>
        <v>1</v>
      </c>
      <c r="AP1031"/>
      <c r="AQ1031"/>
      <c r="AU1031" s="16" cm="1">
        <f t="array" ref="AU1031">$C1031*EXP(poly_from_str(100000000/$E1031,AU$4342))</f>
        <v>0.29082796160981239</v>
      </c>
    </row>
    <row r="1032" spans="1:48" x14ac:dyDescent="0.25">
      <c r="A1032" t="s">
        <v>1600</v>
      </c>
      <c r="B1032" s="2" t="str">
        <f t="shared" si="629"/>
        <v/>
      </c>
      <c r="C1032">
        <v>9</v>
      </c>
      <c r="E1032" t="s">
        <v>1601</v>
      </c>
      <c r="R1032">
        <v>11</v>
      </c>
      <c r="S1032" t="s">
        <v>22</v>
      </c>
      <c r="AA1032" s="10">
        <f t="shared" si="630"/>
        <v>4386.5609999999997</v>
      </c>
      <c r="AB1032" s="3">
        <f t="shared" si="631"/>
        <v>22790.5</v>
      </c>
      <c r="AC1032" s="3" cm="1">
        <f t="array" ref="AC1032">100000000/LvacE(AA1032)</f>
        <v>22790.498749674487</v>
      </c>
      <c r="AD1032" s="10">
        <f t="shared" si="632"/>
        <v>7.5977638005802831E-3</v>
      </c>
      <c r="AE1032" s="10" t="b">
        <f t="shared" si="633"/>
        <v>1</v>
      </c>
      <c r="AP1032"/>
      <c r="AQ1032"/>
      <c r="AU1032" s="16" cm="1">
        <f t="array" ref="AU1032">$C1032*EXP(poly_from_str(100000000/$E1032,AU$4342))</f>
        <v>0.37376540916353007</v>
      </c>
    </row>
    <row r="1033" spans="1:48" x14ac:dyDescent="0.25">
      <c r="A1033" t="s">
        <v>1602</v>
      </c>
      <c r="B1033" s="2" t="str">
        <f t="shared" si="629"/>
        <v/>
      </c>
      <c r="C1033">
        <v>9</v>
      </c>
      <c r="E1033" t="s">
        <v>1603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AA1033" s="10">
        <f t="shared" si="630"/>
        <v>4386.5010000000002</v>
      </c>
      <c r="AB1033" s="3">
        <f t="shared" si="631"/>
        <v>22790.81</v>
      </c>
      <c r="AC1033" s="3" cm="1">
        <f t="array" ref="AC1033">100000000/LvacE(AA1033)</f>
        <v>22790.810480137912</v>
      </c>
      <c r="AD1033" s="10">
        <f t="shared" si="632"/>
        <v>7.5978348665756501E-3</v>
      </c>
      <c r="AE1033" s="10" t="b">
        <f t="shared" si="633"/>
        <v>1</v>
      </c>
      <c r="AJ1033" t="s">
        <v>4762</v>
      </c>
      <c r="AK1033" t="s">
        <v>4860</v>
      </c>
      <c r="AL1033">
        <v>48745.48</v>
      </c>
      <c r="AM1033">
        <v>71536.38</v>
      </c>
      <c r="AN1033" s="10" cm="1">
        <f t="array" ref="AN1033">Lair(100000000/($AM1033-$AL1033))</f>
        <v>4386.4837684515978</v>
      </c>
      <c r="AO1033" s="10">
        <f>100000000/($AM1033-$AL1033)</f>
        <v>4387.7161498668329</v>
      </c>
      <c r="AP1033" s="12">
        <v>3390000</v>
      </c>
      <c r="AQ1033" s="3">
        <v>0.17299999999999999</v>
      </c>
      <c r="AR1033" s="3">
        <f>LN(AU1033*100000000/($AM1033-$AL1033)/AP1033)</f>
        <v>-7.6339906384264884</v>
      </c>
      <c r="AS1033" s="13">
        <f>EXP(AR$4341*$AM1033+AR$4342)*$AP1033/(100000000/($AM1033-$AL1033))</f>
        <v>0.31835705464124092</v>
      </c>
      <c r="AT1033" s="3">
        <f>LN(AS1033/$C1033)</f>
        <v>-3.341806290084389</v>
      </c>
      <c r="AU1033" s="16" cm="1">
        <f t="array" ref="AU1033">$C1033*EXP(poly_from_str(100000000/$E1033,AU$4342))</f>
        <v>0.37373275696305341</v>
      </c>
      <c r="AV1033" s="13">
        <f>LN(AS1033/AU1033)</f>
        <v>-0.16036742219075625</v>
      </c>
    </row>
    <row r="1034" spans="1:48" x14ac:dyDescent="0.25">
      <c r="A1034" t="s">
        <v>1604</v>
      </c>
      <c r="B1034" s="2" t="str">
        <f t="shared" si="629"/>
        <v/>
      </c>
      <c r="C1034">
        <v>5</v>
      </c>
      <c r="E1034" t="s">
        <v>1605</v>
      </c>
      <c r="R1034">
        <v>11</v>
      </c>
      <c r="S1034" t="s">
        <v>22</v>
      </c>
      <c r="AA1034" s="10">
        <f t="shared" si="630"/>
        <v>4386.29</v>
      </c>
      <c r="AB1034" s="3">
        <f t="shared" si="631"/>
        <v>22791.91</v>
      </c>
      <c r="AC1034" s="3" cm="1">
        <f t="array" ref="AC1034">100000000/LvacE(AA1034)</f>
        <v>22791.906799995955</v>
      </c>
      <c r="AD1034" s="10">
        <f t="shared" si="632"/>
        <v>7.5980848051537811E-3</v>
      </c>
      <c r="AE1034" s="10" t="b">
        <f t="shared" si="633"/>
        <v>1</v>
      </c>
      <c r="AP1034"/>
      <c r="AQ1034"/>
      <c r="AU1034" s="16" cm="1">
        <f t="array" ref="AU1034">$C1034*EXP(poly_from_str(100000000/$E1034,AU$4342))</f>
        <v>0.20756506078433132</v>
      </c>
    </row>
    <row r="1035" spans="1:48" x14ac:dyDescent="0.25">
      <c r="A1035" t="s">
        <v>1606</v>
      </c>
      <c r="B1035" s="2" t="str">
        <f t="shared" si="629"/>
        <v/>
      </c>
      <c r="C1035">
        <v>3</v>
      </c>
      <c r="E1035" t="s">
        <v>1607</v>
      </c>
      <c r="R1035">
        <v>11</v>
      </c>
      <c r="S1035" t="s">
        <v>22</v>
      </c>
      <c r="AA1035" s="10">
        <f t="shared" si="630"/>
        <v>4384.6509999999998</v>
      </c>
      <c r="AB1035" s="3">
        <f t="shared" si="631"/>
        <v>22800.43</v>
      </c>
      <c r="AC1035" s="3" cm="1">
        <f t="array" ref="AC1035">100000000/LvacE(AA1035)</f>
        <v>22800.426356262287</v>
      </c>
      <c r="AD1035" s="10">
        <f t="shared" si="632"/>
        <v>7.600027500052146E-3</v>
      </c>
      <c r="AE1035" s="10" t="b">
        <f t="shared" si="633"/>
        <v>1</v>
      </c>
      <c r="AP1035"/>
      <c r="AQ1035"/>
      <c r="AU1035" s="16" cm="1">
        <f t="array" ref="AU1035">$C1035*EXP(poly_from_str(100000000/$E1035,AU$4342))</f>
        <v>0.12424422886487713</v>
      </c>
    </row>
    <row r="1036" spans="1:48" x14ac:dyDescent="0.25">
      <c r="A1036" t="s">
        <v>1608</v>
      </c>
      <c r="B1036" s="2" t="str">
        <f t="shared" si="629"/>
        <v/>
      </c>
      <c r="C1036">
        <v>1</v>
      </c>
      <c r="E1036" t="s">
        <v>1609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1610</v>
      </c>
      <c r="AA1036" s="10">
        <f t="shared" si="630"/>
        <v>4384.5460000000003</v>
      </c>
      <c r="AB1036" s="3">
        <f t="shared" si="631"/>
        <v>22800.97</v>
      </c>
      <c r="AC1036" s="3" cm="1">
        <f t="array" ref="AC1036">100000000/LvacE(AA1036)</f>
        <v>22800.972365546088</v>
      </c>
      <c r="AD1036" s="10">
        <f t="shared" si="632"/>
        <v>7.6001520300558014E-3</v>
      </c>
      <c r="AE1036" s="10" t="b">
        <f t="shared" si="633"/>
        <v>1</v>
      </c>
      <c r="AJ1036" t="s">
        <v>4817</v>
      </c>
      <c r="AK1036" t="s">
        <v>4895</v>
      </c>
      <c r="AL1036">
        <v>10859.06</v>
      </c>
      <c r="AM1036">
        <v>33659.99</v>
      </c>
      <c r="AN1036" s="10" cm="1">
        <f t="array" ref="AN1036">Lair(100000000/($AM1036-$AL1036))</f>
        <v>4384.5541452815905</v>
      </c>
      <c r="AO1036" s="10">
        <f>100000000/($AM1036-$AL1036)</f>
        <v>4385.7860183773209</v>
      </c>
      <c r="AU1036" s="16" cm="1">
        <f t="array" ref="AU1036">$C1036*EXP(poly_from_str(100000000/$E1036,AU$4342))</f>
        <v>4.1408589388455048E-2</v>
      </c>
    </row>
    <row r="1037" spans="1:48" x14ac:dyDescent="0.25">
      <c r="A1037" t="s">
        <v>1611</v>
      </c>
      <c r="B1037" s="2" t="str">
        <f t="shared" si="629"/>
        <v/>
      </c>
      <c r="C1037">
        <v>3</v>
      </c>
      <c r="D1037" t="s">
        <v>1156</v>
      </c>
      <c r="E1037" t="s">
        <v>1612</v>
      </c>
      <c r="R1037">
        <v>11</v>
      </c>
      <c r="S1037" t="s">
        <v>22</v>
      </c>
      <c r="AA1037" s="10">
        <f t="shared" si="630"/>
        <v>4381.92</v>
      </c>
      <c r="AB1037" s="3">
        <f t="shared" si="631"/>
        <v>22814.639999999999</v>
      </c>
      <c r="AC1037" s="3" cm="1">
        <f t="array" ref="AC1037">100000000/LvacE(AA1037)</f>
        <v>22814.636308139943</v>
      </c>
      <c r="AD1037" s="10">
        <f t="shared" si="632"/>
        <v>7.6032693782793776E-3</v>
      </c>
      <c r="AE1037" s="10" t="b">
        <f t="shared" si="633"/>
        <v>1</v>
      </c>
      <c r="AP1037"/>
      <c r="AQ1037"/>
      <c r="AU1037" s="16" cm="1">
        <f t="array" ref="AU1037">$C1037*EXP(poly_from_str(100000000/$E1037,AU$4342))</f>
        <v>0.12376726157559448</v>
      </c>
    </row>
    <row r="1038" spans="1:48" x14ac:dyDescent="0.25">
      <c r="A1038" t="s">
        <v>1613</v>
      </c>
      <c r="B1038" s="2" t="str">
        <f t="shared" si="629"/>
        <v/>
      </c>
      <c r="C1038">
        <v>7</v>
      </c>
      <c r="E1038" t="s">
        <v>1614</v>
      </c>
      <c r="R1038">
        <v>11</v>
      </c>
      <c r="S1038" t="s">
        <v>22</v>
      </c>
      <c r="AA1038" s="10">
        <f t="shared" si="630"/>
        <v>4381.5860000000002</v>
      </c>
      <c r="AB1038" s="3">
        <f t="shared" si="631"/>
        <v>22816.38</v>
      </c>
      <c r="AC1038" s="3" cm="1">
        <f t="array" ref="AC1038">100000000/LvacE(AA1038)</f>
        <v>22816.375394128521</v>
      </c>
      <c r="AD1038" s="10">
        <f t="shared" si="632"/>
        <v>7.6036662745097919E-3</v>
      </c>
      <c r="AE1038" s="10" t="b">
        <f t="shared" si="633"/>
        <v>1</v>
      </c>
      <c r="AP1038"/>
      <c r="AQ1038"/>
      <c r="AU1038" s="16" cm="1">
        <f t="array" ref="AU1038">$C1038*EXP(poly_from_str(100000000/$E1038,AU$4342))</f>
        <v>0.28865692338447485</v>
      </c>
    </row>
    <row r="1039" spans="1:48" x14ac:dyDescent="0.25">
      <c r="A1039" t="s">
        <v>1615</v>
      </c>
      <c r="B1039" s="2" t="str">
        <f t="shared" si="629"/>
        <v/>
      </c>
      <c r="C1039">
        <v>90</v>
      </c>
      <c r="E1039" t="s">
        <v>1616</v>
      </c>
      <c r="R1039">
        <v>11</v>
      </c>
      <c r="S1039" t="s">
        <v>22</v>
      </c>
      <c r="AA1039" s="10">
        <f t="shared" si="630"/>
        <v>4381.4679999999998</v>
      </c>
      <c r="AB1039" s="3">
        <f t="shared" si="631"/>
        <v>22816.99</v>
      </c>
      <c r="AC1039" s="3" cm="1">
        <f t="array" ref="AC1039">100000000/LvacE(AA1039)</f>
        <v>22816.98986513483</v>
      </c>
      <c r="AD1039" s="10">
        <f t="shared" si="632"/>
        <v>7.6038065170320572E-3</v>
      </c>
      <c r="AE1039" s="10" t="b">
        <f t="shared" si="633"/>
        <v>1</v>
      </c>
      <c r="AP1039"/>
      <c r="AQ1039"/>
      <c r="AU1039" s="16" cm="1">
        <f t="array" ref="AU1039">$C1039*EXP(poly_from_str(100000000/$E1039,AU$4342))</f>
        <v>3.7107041519301776</v>
      </c>
    </row>
    <row r="1040" spans="1:48" x14ac:dyDescent="0.25">
      <c r="A1040" t="s">
        <v>1617</v>
      </c>
      <c r="B1040" s="2" t="str">
        <f t="shared" si="629"/>
        <v/>
      </c>
      <c r="C1040">
        <v>3</v>
      </c>
      <c r="D1040" t="s">
        <v>14</v>
      </c>
      <c r="E1040" t="s">
        <v>1618</v>
      </c>
      <c r="R1040">
        <v>11</v>
      </c>
      <c r="S1040" t="s">
        <v>22</v>
      </c>
      <c r="AA1040" s="10">
        <f t="shared" si="630"/>
        <v>4380.92</v>
      </c>
      <c r="AB1040" s="3">
        <f t="shared" si="631"/>
        <v>22819.84</v>
      </c>
      <c r="AC1040" s="3" cm="1">
        <f t="array" ref="AC1040">100000000/LvacE(AA1040)</f>
        <v>22819.843943954245</v>
      </c>
      <c r="AD1040" s="10">
        <f t="shared" si="632"/>
        <v>7.6044579613362313E-3</v>
      </c>
      <c r="AE1040" s="10" t="b">
        <f t="shared" si="633"/>
        <v>1</v>
      </c>
      <c r="AP1040"/>
      <c r="AQ1040"/>
      <c r="AU1040" s="16" cm="1">
        <f t="array" ref="AU1040">$C1040*EXP(poly_from_str(100000000/$E1040,AU$4342))</f>
        <v>0.12359726950095523</v>
      </c>
    </row>
    <row r="1041" spans="1:48" x14ac:dyDescent="0.25">
      <c r="A1041" t="s">
        <v>1619</v>
      </c>
      <c r="B1041" s="2" t="str">
        <f t="shared" si="629"/>
        <v/>
      </c>
      <c r="C1041">
        <v>3</v>
      </c>
      <c r="D1041" t="s">
        <v>14</v>
      </c>
      <c r="E1041" t="s">
        <v>1620</v>
      </c>
      <c r="R1041">
        <v>11</v>
      </c>
      <c r="S1041" t="s">
        <v>22</v>
      </c>
      <c r="AA1041" s="10">
        <f t="shared" si="630"/>
        <v>4380.7020000000002</v>
      </c>
      <c r="AB1041" s="3">
        <f t="shared" si="631"/>
        <v>22820.98</v>
      </c>
      <c r="AC1041" s="3" cm="1">
        <f t="array" ref="AC1041">100000000/LvacE(AA1041)</f>
        <v>22820.979524199163</v>
      </c>
      <c r="AD1041" s="10">
        <f t="shared" si="632"/>
        <v>7.6047171805111559E-3</v>
      </c>
      <c r="AE1041" s="10" t="b">
        <f t="shared" si="633"/>
        <v>1</v>
      </c>
      <c r="AP1041"/>
      <c r="AQ1041"/>
      <c r="AU1041" s="16" cm="1">
        <f t="array" ref="AU1041">$C1041*EXP(poly_from_str(100000000/$E1041,AU$4342))</f>
        <v>0.12356032505567008</v>
      </c>
    </row>
    <row r="1042" spans="1:48" x14ac:dyDescent="0.25">
      <c r="A1042" t="s">
        <v>1621</v>
      </c>
      <c r="B1042" s="2" t="str">
        <f t="shared" si="629"/>
        <v/>
      </c>
      <c r="C1042">
        <v>4</v>
      </c>
      <c r="E1042" t="s">
        <v>1622</v>
      </c>
      <c r="R1042">
        <v>11</v>
      </c>
      <c r="S1042" t="s">
        <v>22</v>
      </c>
      <c r="AA1042" s="10">
        <f t="shared" si="630"/>
        <v>4380.47</v>
      </c>
      <c r="AB1042" s="3">
        <f t="shared" si="631"/>
        <v>22822.19</v>
      </c>
      <c r="AC1042" s="3" cm="1">
        <f t="array" ref="AC1042">100000000/LvacE(AA1042)</f>
        <v>22822.188155760679</v>
      </c>
      <c r="AD1042" s="10">
        <f t="shared" si="632"/>
        <v>7.6049930892987151E-3</v>
      </c>
      <c r="AE1042" s="10" t="b">
        <f t="shared" si="633"/>
        <v>1</v>
      </c>
      <c r="AP1042"/>
      <c r="AQ1042"/>
      <c r="AU1042" s="16" cm="1">
        <f t="array" ref="AU1042">$C1042*EXP(poly_from_str(100000000/$E1042,AU$4342))</f>
        <v>0.16469498506664057</v>
      </c>
    </row>
    <row r="1043" spans="1:48" x14ac:dyDescent="0.25">
      <c r="A1043" t="s">
        <v>1623</v>
      </c>
      <c r="B1043" s="2" t="str">
        <f t="shared" si="629"/>
        <v/>
      </c>
      <c r="C1043">
        <v>90</v>
      </c>
      <c r="E1043" t="s">
        <v>1624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AA1043" s="10">
        <f t="shared" si="630"/>
        <v>4379.82</v>
      </c>
      <c r="AB1043" s="3">
        <f t="shared" si="631"/>
        <v>22825.57</v>
      </c>
      <c r="AC1043" s="3" cm="1">
        <f t="array" ref="AC1043">100000000/LvacE(AA1043)</f>
        <v>22825.575089878439</v>
      </c>
      <c r="AD1043" s="10">
        <f t="shared" si="632"/>
        <v>7.6057663431235122E-3</v>
      </c>
      <c r="AE1043" s="10" t="b">
        <f t="shared" si="633"/>
        <v>1</v>
      </c>
      <c r="AJ1043" t="s">
        <v>4725</v>
      </c>
      <c r="AK1043" t="s">
        <v>4821</v>
      </c>
      <c r="AL1043">
        <v>39732.99</v>
      </c>
      <c r="AM1043">
        <v>62558.67</v>
      </c>
      <c r="AN1043" s="10" cm="1">
        <f t="array" ref="AN1043">Lair(100000000/($AM1043-$AL1043))</f>
        <v>4379.7998677117066</v>
      </c>
      <c r="AO1043" s="10">
        <f>100000000/($AM1043-$AL1043)</f>
        <v>4381.0304884673751</v>
      </c>
      <c r="AP1043" s="12">
        <v>3450000</v>
      </c>
      <c r="AQ1043" s="3">
        <v>0.20899999999999999</v>
      </c>
      <c r="AR1043" s="3">
        <f>LN(AU1043*100000000/($AM1043-$AL1043)/AP1043)</f>
        <v>-5.3598690475793198</v>
      </c>
      <c r="AS1043" s="13">
        <f>EXP(AR$4341*$AM1043+AR$4342)*$AP1043/(100000000/($AM1043-$AL1043))</f>
        <v>0.63650406661985259</v>
      </c>
      <c r="AT1043" s="3">
        <f>LN(AS1043/$C1043)</f>
        <v>-4.951574142301804</v>
      </c>
      <c r="AU1043" s="16" cm="1">
        <f t="array" ref="AU1043">$C1043*EXP(poly_from_str(100000000/$E1043,AU$4342))</f>
        <v>3.7023823631889896</v>
      </c>
      <c r="AV1043" s="13">
        <f>LN(AS1043/AU1043)</f>
        <v>-1.7607409663616476</v>
      </c>
    </row>
    <row r="1044" spans="1:48" x14ac:dyDescent="0.25">
      <c r="A1044" t="s">
        <v>1625</v>
      </c>
      <c r="B1044" s="2" t="str">
        <f t="shared" si="629"/>
        <v/>
      </c>
      <c r="C1044">
        <v>8</v>
      </c>
      <c r="E1044" t="s">
        <v>1626</v>
      </c>
      <c r="R1044">
        <v>11</v>
      </c>
      <c r="S1044" t="s">
        <v>22</v>
      </c>
      <c r="AA1044" s="10">
        <f t="shared" si="630"/>
        <v>4378.99</v>
      </c>
      <c r="AB1044" s="3">
        <f t="shared" si="631"/>
        <v>22829.9</v>
      </c>
      <c r="AC1044" s="3" cm="1">
        <f t="array" ref="AC1044">100000000/LvacE(AA1044)</f>
        <v>22829.90140587564</v>
      </c>
      <c r="AD1044" s="10">
        <f t="shared" si="632"/>
        <v>7.6067542293857312E-3</v>
      </c>
      <c r="AE1044" s="10" t="b">
        <f t="shared" si="633"/>
        <v>1</v>
      </c>
      <c r="AP1044"/>
      <c r="AQ1044"/>
      <c r="AU1044" s="16" cm="1">
        <f t="array" ref="AU1044">$C1044*EXP(poly_from_str(100000000/$E1044,AU$4342))</f>
        <v>0.32873396613335465</v>
      </c>
    </row>
    <row r="1045" spans="1:48" x14ac:dyDescent="0.25">
      <c r="A1045" t="s">
        <v>1627</v>
      </c>
      <c r="B1045" s="2" t="str">
        <f t="shared" si="629"/>
        <v/>
      </c>
      <c r="C1045">
        <v>4</v>
      </c>
      <c r="E1045" t="s">
        <v>1628</v>
      </c>
      <c r="R1045">
        <v>11</v>
      </c>
      <c r="S1045" t="s">
        <v>22</v>
      </c>
      <c r="AA1045" s="10">
        <f t="shared" si="630"/>
        <v>4377.991</v>
      </c>
      <c r="AB1045" s="3">
        <f t="shared" si="631"/>
        <v>22835.11</v>
      </c>
      <c r="AC1045" s="3" cm="1">
        <f t="array" ref="AC1045">100000000/LvacE(AA1045)</f>
        <v>22835.110797724556</v>
      </c>
      <c r="AD1045" s="10">
        <f t="shared" si="632"/>
        <v>7.6079440087616166E-3</v>
      </c>
      <c r="AE1045" s="10" t="b">
        <f t="shared" si="633"/>
        <v>1</v>
      </c>
      <c r="AP1045"/>
      <c r="AQ1045"/>
      <c r="AU1045" s="16" cm="1">
        <f t="array" ref="AU1045">$C1045*EXP(poly_from_str(100000000/$E1045,AU$4342))</f>
        <v>0.16414929795696628</v>
      </c>
    </row>
    <row r="1046" spans="1:48" x14ac:dyDescent="0.25">
      <c r="A1046" t="s">
        <v>1629</v>
      </c>
      <c r="B1046" s="2" t="str">
        <f t="shared" si="629"/>
        <v/>
      </c>
      <c r="C1046">
        <v>20</v>
      </c>
      <c r="E1046" t="s">
        <v>1630</v>
      </c>
      <c r="R1046">
        <v>11</v>
      </c>
      <c r="S1046" t="s">
        <v>22</v>
      </c>
      <c r="AA1046" s="10">
        <f t="shared" si="630"/>
        <v>4377.7470000000003</v>
      </c>
      <c r="AB1046" s="3">
        <f t="shared" si="631"/>
        <v>22836.38</v>
      </c>
      <c r="AC1046" s="3" cm="1">
        <f t="array" ref="AC1046">100000000/LvacE(AA1046)</f>
        <v>22836.38352295943</v>
      </c>
      <c r="AD1046" s="10">
        <f t="shared" si="632"/>
        <v>7.6082347292979052E-3</v>
      </c>
      <c r="AE1046" s="10" t="b">
        <f t="shared" si="633"/>
        <v>1</v>
      </c>
      <c r="AP1046"/>
      <c r="AQ1046"/>
      <c r="AU1046" s="16" cm="1">
        <f t="array" ref="AU1046">$C1046*EXP(poly_from_str(100000000/$E1046,AU$4342))</f>
        <v>0.82048358061037518</v>
      </c>
    </row>
    <row r="1047" spans="1:48" x14ac:dyDescent="0.25">
      <c r="A1047" t="s">
        <v>1631</v>
      </c>
      <c r="B1047" s="2" t="str">
        <f t="shared" si="629"/>
        <v/>
      </c>
      <c r="C1047">
        <v>7</v>
      </c>
      <c r="E1047" t="s">
        <v>1632</v>
      </c>
      <c r="R1047">
        <v>11</v>
      </c>
      <c r="S1047" t="s">
        <v>22</v>
      </c>
      <c r="AA1047" s="10">
        <f t="shared" si="630"/>
        <v>4374.5379999999996</v>
      </c>
      <c r="AB1047" s="3">
        <f t="shared" si="631"/>
        <v>22853.13</v>
      </c>
      <c r="AC1047" s="3" cm="1">
        <f t="array" ref="AC1047">100000000/LvacE(AA1047)</f>
        <v>22853.135158175635</v>
      </c>
      <c r="AD1047" s="10">
        <f t="shared" si="632"/>
        <v>7.6120627090421472E-3</v>
      </c>
      <c r="AE1047" s="10" t="b">
        <f t="shared" si="633"/>
        <v>1</v>
      </c>
      <c r="AP1047"/>
      <c r="AQ1047"/>
      <c r="AU1047" s="16" cm="1">
        <f t="array" ref="AU1047">$C1047*EXP(poly_from_str(100000000/$E1047,AU$4342))</f>
        <v>0.28598625207288619</v>
      </c>
    </row>
    <row r="1048" spans="1:48" x14ac:dyDescent="0.25">
      <c r="A1048" t="s">
        <v>1633</v>
      </c>
      <c r="B1048" s="2" t="str">
        <f t="shared" si="629"/>
        <v/>
      </c>
      <c r="C1048">
        <v>6</v>
      </c>
      <c r="E1048" t="s">
        <v>1634</v>
      </c>
      <c r="R1048">
        <v>11</v>
      </c>
      <c r="S1048" t="s">
        <v>22</v>
      </c>
      <c r="AA1048" s="10">
        <f t="shared" si="630"/>
        <v>4374.1009999999997</v>
      </c>
      <c r="AB1048" s="3">
        <f t="shared" si="631"/>
        <v>22855.42</v>
      </c>
      <c r="AC1048" s="3" cm="1">
        <f t="array" ref="AC1048">100000000/LvacE(AA1048)</f>
        <v>22855.418288850986</v>
      </c>
      <c r="AD1048" s="10">
        <f t="shared" si="632"/>
        <v>7.6125846532637213E-3</v>
      </c>
      <c r="AE1048" s="10" t="b">
        <f t="shared" si="633"/>
        <v>1</v>
      </c>
      <c r="AP1048"/>
      <c r="AQ1048"/>
      <c r="AU1048" s="16" cm="1">
        <f t="array" ref="AU1048">$C1048*EXP(poly_from_str(100000000/$E1048,AU$4342))</f>
        <v>0.24499620455705229</v>
      </c>
    </row>
    <row r="1049" spans="1:48" x14ac:dyDescent="0.25">
      <c r="A1049" t="s">
        <v>1635</v>
      </c>
      <c r="B1049" s="2" t="str">
        <f t="shared" si="629"/>
        <v/>
      </c>
      <c r="C1049">
        <v>1</v>
      </c>
      <c r="E1049" t="s">
        <v>1636</v>
      </c>
      <c r="R1049">
        <v>11</v>
      </c>
      <c r="S1049" t="s">
        <v>22</v>
      </c>
      <c r="AA1049" s="10">
        <f t="shared" si="630"/>
        <v>4373.5810000000001</v>
      </c>
      <c r="AB1049" s="3">
        <f t="shared" si="631"/>
        <v>22858.14</v>
      </c>
      <c r="AC1049" s="3" cm="1">
        <f t="array" ref="AC1049">100000000/LvacE(AA1049)</f>
        <v>22858.135652067776</v>
      </c>
      <c r="AD1049" s="10">
        <f t="shared" si="632"/>
        <v>7.6132059349155509E-3</v>
      </c>
      <c r="AE1049" s="10" t="b">
        <f t="shared" si="633"/>
        <v>1</v>
      </c>
      <c r="AP1049"/>
      <c r="AQ1049"/>
      <c r="AU1049" s="16" cm="1">
        <f t="array" ref="AU1049">$C1049*EXP(poly_from_str(100000000/$E1049,AU$4342))</f>
        <v>4.0806196178289414E-2</v>
      </c>
    </row>
    <row r="1050" spans="1:48" x14ac:dyDescent="0.25">
      <c r="A1050" t="s">
        <v>1637</v>
      </c>
      <c r="B1050" s="2" t="str">
        <f t="shared" si="629"/>
        <v/>
      </c>
      <c r="C1050">
        <v>9</v>
      </c>
      <c r="E1050" t="s">
        <v>1638</v>
      </c>
      <c r="R1050">
        <v>11</v>
      </c>
      <c r="S1050" t="s">
        <v>22</v>
      </c>
      <c r="AA1050" s="10">
        <f t="shared" si="630"/>
        <v>4372.0259999999998</v>
      </c>
      <c r="AB1050" s="3">
        <f t="shared" si="631"/>
        <v>22866.27</v>
      </c>
      <c r="AC1050" s="3" cm="1">
        <f t="array" ref="AC1050">100000000/LvacE(AA1050)</f>
        <v>22866.26546976568</v>
      </c>
      <c r="AD1050" s="10">
        <f t="shared" si="632"/>
        <v>7.6150651288173585E-3</v>
      </c>
      <c r="AE1050" s="10" t="b">
        <f t="shared" si="633"/>
        <v>1</v>
      </c>
      <c r="AP1050"/>
      <c r="AQ1050"/>
      <c r="AU1050" s="16" cm="1">
        <f t="array" ref="AU1050">$C1050*EXP(poly_from_str(100000000/$E1050,AU$4342))</f>
        <v>0.36655403574749401</v>
      </c>
    </row>
    <row r="1051" spans="1:48" x14ac:dyDescent="0.25">
      <c r="A1051" t="s">
        <v>1639</v>
      </c>
      <c r="B1051" s="2" t="str">
        <f t="shared" si="629"/>
        <v/>
      </c>
      <c r="C1051">
        <v>2</v>
      </c>
      <c r="D1051" t="s">
        <v>14</v>
      </c>
      <c r="E1051" t="s">
        <v>1640</v>
      </c>
      <c r="R1051">
        <v>11</v>
      </c>
      <c r="S1051" t="s">
        <v>22</v>
      </c>
      <c r="AA1051" s="10">
        <f t="shared" si="630"/>
        <v>4370.6000000000004</v>
      </c>
      <c r="AB1051" s="3">
        <f t="shared" si="631"/>
        <v>22873.73</v>
      </c>
      <c r="AC1051" s="3" cm="1">
        <f t="array" ref="AC1051">100000000/LvacE(AA1051)</f>
        <v>22873.725937281306</v>
      </c>
      <c r="AD1051" s="10">
        <f t="shared" si="632"/>
        <v>7.6167718319316915E-3</v>
      </c>
      <c r="AE1051" s="10" t="b">
        <f t="shared" si="633"/>
        <v>1</v>
      </c>
      <c r="AP1051"/>
      <c r="AQ1051"/>
      <c r="AU1051" s="16" cm="1">
        <f t="array" ref="AU1051">$C1051*EXP(poly_from_str(100000000/$E1051,AU$4342))</f>
        <v>8.1316640439964685E-2</v>
      </c>
    </row>
    <row r="1052" spans="1:48" x14ac:dyDescent="0.25">
      <c r="A1052" t="s">
        <v>1641</v>
      </c>
      <c r="B1052" s="2" t="str">
        <f t="shared" si="629"/>
        <v/>
      </c>
      <c r="C1052">
        <v>3</v>
      </c>
      <c r="E1052" t="s">
        <v>1642</v>
      </c>
      <c r="R1052">
        <v>11</v>
      </c>
      <c r="S1052" t="s">
        <v>22</v>
      </c>
      <c r="AA1052" s="10">
        <f t="shared" si="630"/>
        <v>4370.4620000000004</v>
      </c>
      <c r="AB1052" s="3">
        <f t="shared" si="631"/>
        <v>22874.45</v>
      </c>
      <c r="AC1052" s="3" cm="1">
        <f t="array" ref="AC1052">100000000/LvacE(AA1052)</f>
        <v>22874.448176367106</v>
      </c>
      <c r="AD1052" s="10">
        <f t="shared" si="632"/>
        <v>7.6169370854119204E-3</v>
      </c>
      <c r="AE1052" s="10" t="b">
        <f t="shared" si="633"/>
        <v>1</v>
      </c>
      <c r="AP1052"/>
      <c r="AQ1052"/>
      <c r="AU1052" s="16" cm="1">
        <f t="array" ref="AU1052">$C1052*EXP(poly_from_str(100000000/$E1052,AU$4342))</f>
        <v>0.12195496716344066</v>
      </c>
    </row>
    <row r="1053" spans="1:48" x14ac:dyDescent="0.25">
      <c r="A1053" t="s">
        <v>1643</v>
      </c>
      <c r="B1053" s="2" t="str">
        <f t="shared" si="629"/>
        <v/>
      </c>
      <c r="C1053">
        <v>2</v>
      </c>
      <c r="D1053" t="s">
        <v>14</v>
      </c>
      <c r="E1053" t="s">
        <v>1644</v>
      </c>
      <c r="R1053">
        <v>11</v>
      </c>
      <c r="S1053" t="s">
        <v>22</v>
      </c>
      <c r="AA1053" s="10">
        <f t="shared" si="630"/>
        <v>4370.1639999999998</v>
      </c>
      <c r="AB1053" s="3">
        <f t="shared" si="631"/>
        <v>22876.01</v>
      </c>
      <c r="AC1053" s="3" cm="1">
        <f t="array" ref="AC1053">100000000/LvacE(AA1053)</f>
        <v>22876.007949697756</v>
      </c>
      <c r="AD1053" s="10">
        <f t="shared" si="632"/>
        <v>7.6172939905341953E-3</v>
      </c>
      <c r="AE1053" s="10" t="b">
        <f t="shared" si="633"/>
        <v>1</v>
      </c>
      <c r="AP1053"/>
      <c r="AQ1053"/>
      <c r="AU1053" s="16" cm="1">
        <f t="array" ref="AU1053">$C1053*EXP(poly_from_str(100000000/$E1053,AU$4342))</f>
        <v>8.1274531176145554E-2</v>
      </c>
    </row>
    <row r="1054" spans="1:48" x14ac:dyDescent="0.25">
      <c r="A1054" t="s">
        <v>1645</v>
      </c>
      <c r="B1054" s="2" t="str">
        <f t="shared" si="629"/>
        <v/>
      </c>
      <c r="C1054">
        <v>8</v>
      </c>
      <c r="E1054" t="s">
        <v>1646</v>
      </c>
      <c r="R1054">
        <v>11</v>
      </c>
      <c r="S1054" t="s">
        <v>22</v>
      </c>
      <c r="AA1054" s="10">
        <f t="shared" si="630"/>
        <v>4369.6040000000003</v>
      </c>
      <c r="AB1054" s="3">
        <f t="shared" si="631"/>
        <v>22878.94</v>
      </c>
      <c r="AC1054" s="3" cm="1">
        <f t="array" ref="AC1054">100000000/LvacE(AA1054)</f>
        <v>22878.9396428937</v>
      </c>
      <c r="AD1054" s="10">
        <f t="shared" si="632"/>
        <v>7.6179648822746523E-3</v>
      </c>
      <c r="AE1054" s="10" t="b">
        <f t="shared" si="633"/>
        <v>1</v>
      </c>
      <c r="AP1054"/>
      <c r="AQ1054"/>
      <c r="AU1054" s="16" cm="1">
        <f t="array" ref="AU1054">$C1054*EXP(poly_from_str(100000000/$E1054,AU$4342))</f>
        <v>0.3248833689413741</v>
      </c>
    </row>
    <row r="1055" spans="1:48" x14ac:dyDescent="0.25">
      <c r="A1055" t="s">
        <v>1647</v>
      </c>
      <c r="B1055" s="2" t="str">
        <f t="shared" si="629"/>
        <v/>
      </c>
      <c r="C1055">
        <v>7</v>
      </c>
      <c r="D1055" t="s">
        <v>143</v>
      </c>
      <c r="E1055" t="s">
        <v>1648</v>
      </c>
      <c r="R1055">
        <v>11</v>
      </c>
      <c r="S1055" t="s">
        <v>22</v>
      </c>
      <c r="AA1055" s="10">
        <f t="shared" si="630"/>
        <v>4367.6400000000003</v>
      </c>
      <c r="AB1055" s="3">
        <f t="shared" si="631"/>
        <v>22889.23</v>
      </c>
      <c r="AC1055" s="3" cm="1">
        <f t="array" ref="AC1055">100000000/LvacE(AA1055)</f>
        <v>22889.22745132857</v>
      </c>
      <c r="AD1055" s="10">
        <f t="shared" si="632"/>
        <v>7.6203198353491323E-3</v>
      </c>
      <c r="AE1055" s="10" t="b">
        <f t="shared" si="633"/>
        <v>1</v>
      </c>
      <c r="AP1055"/>
      <c r="AQ1055"/>
      <c r="AU1055" s="16" cm="1">
        <f t="array" ref="AU1055">$C1055*EXP(poly_from_str(100000000/$E1055,AU$4342))</f>
        <v>0.2836261972859585</v>
      </c>
    </row>
    <row r="1056" spans="1:48" x14ac:dyDescent="0.25">
      <c r="A1056" t="s">
        <v>1649</v>
      </c>
      <c r="B1056" s="2" t="str">
        <f t="shared" si="629"/>
        <v/>
      </c>
      <c r="C1056">
        <v>9</v>
      </c>
      <c r="E1056" t="s">
        <v>1650</v>
      </c>
      <c r="R1056">
        <v>11</v>
      </c>
      <c r="S1056" t="s">
        <v>22</v>
      </c>
      <c r="AA1056" s="10">
        <f t="shared" si="630"/>
        <v>4367.3130000000001</v>
      </c>
      <c r="AB1056" s="3">
        <f t="shared" si="631"/>
        <v>22890.94</v>
      </c>
      <c r="AC1056" s="3" cm="1">
        <f t="array" ref="AC1056">100000000/LvacE(AA1056)</f>
        <v>22890.94123852353</v>
      </c>
      <c r="AD1056" s="10">
        <f t="shared" si="632"/>
        <v>7.6207122363938107E-3</v>
      </c>
      <c r="AE1056" s="10" t="b">
        <f t="shared" si="633"/>
        <v>1</v>
      </c>
      <c r="AP1056"/>
      <c r="AQ1056"/>
      <c r="AU1056" s="16" cm="1">
        <f t="array" ref="AU1056">$C1056*EXP(poly_from_str(100000000/$E1056,AU$4342))</f>
        <v>0.3645266109846097</v>
      </c>
    </row>
    <row r="1057" spans="1:48" x14ac:dyDescent="0.25">
      <c r="A1057" t="s">
        <v>1651</v>
      </c>
      <c r="B1057" s="2" t="str">
        <f t="shared" si="629"/>
        <v/>
      </c>
      <c r="C1057">
        <v>6</v>
      </c>
      <c r="E1057" t="s">
        <v>1652</v>
      </c>
      <c r="R1057">
        <v>11</v>
      </c>
      <c r="S1057" t="s">
        <v>22</v>
      </c>
      <c r="AA1057" s="10">
        <f t="shared" si="630"/>
        <v>4364.5159999999996</v>
      </c>
      <c r="AB1057" s="3">
        <f t="shared" si="631"/>
        <v>22905.61</v>
      </c>
      <c r="AC1057" s="3" cm="1">
        <f t="array" ref="AC1057">100000000/LvacE(AA1057)</f>
        <v>22905.610638264458</v>
      </c>
      <c r="AD1057" s="10">
        <f t="shared" si="632"/>
        <v>7.6240722497367928E-3</v>
      </c>
      <c r="AE1057" s="10" t="b">
        <f t="shared" si="633"/>
        <v>1</v>
      </c>
      <c r="AP1057"/>
      <c r="AQ1057"/>
      <c r="AU1057" s="16" cm="1">
        <f t="array" ref="AU1057">$C1057*EXP(poly_from_str(100000000/$E1057,AU$4342))</f>
        <v>0.24226161547780831</v>
      </c>
    </row>
    <row r="1058" spans="1:48" x14ac:dyDescent="0.25">
      <c r="A1058" t="s">
        <v>1653</v>
      </c>
      <c r="B1058" s="2" t="str">
        <f t="shared" si="629"/>
        <v/>
      </c>
      <c r="C1058">
        <v>5</v>
      </c>
      <c r="E1058" t="s">
        <v>1654</v>
      </c>
      <c r="R1058">
        <v>11</v>
      </c>
      <c r="S1058" t="s">
        <v>22</v>
      </c>
      <c r="AA1058" s="10">
        <f t="shared" si="630"/>
        <v>4364.3940000000002</v>
      </c>
      <c r="AB1058" s="3">
        <f t="shared" si="631"/>
        <v>22906.25</v>
      </c>
      <c r="AC1058" s="3" cm="1">
        <f t="array" ref="AC1058">100000000/LvacE(AA1058)</f>
        <v>22906.250918458176</v>
      </c>
      <c r="AD1058" s="10">
        <f t="shared" si="632"/>
        <v>7.62421895439071E-3</v>
      </c>
      <c r="AE1058" s="10" t="b">
        <f t="shared" si="633"/>
        <v>1</v>
      </c>
      <c r="AP1058"/>
      <c r="AQ1058"/>
      <c r="AU1058" s="16" cm="1">
        <f t="array" ref="AU1058">$C1058*EXP(poly_from_str(100000000/$E1058,AU$4342))</f>
        <v>0.20185785410985263</v>
      </c>
    </row>
    <row r="1059" spans="1:48" x14ac:dyDescent="0.25">
      <c r="A1059" t="s">
        <v>1655</v>
      </c>
      <c r="B1059" s="2" t="str">
        <f t="shared" si="629"/>
        <v/>
      </c>
      <c r="C1059">
        <v>3</v>
      </c>
      <c r="D1059" t="s">
        <v>1156</v>
      </c>
      <c r="E1059" t="s">
        <v>1656</v>
      </c>
      <c r="R1059">
        <v>11</v>
      </c>
      <c r="S1059" t="s">
        <v>22</v>
      </c>
      <c r="AA1059" s="10">
        <f t="shared" si="630"/>
        <v>4364.1270000000004</v>
      </c>
      <c r="AB1059" s="3">
        <f t="shared" si="631"/>
        <v>22907.65</v>
      </c>
      <c r="AC1059" s="3" cm="1">
        <f t="array" ref="AC1059">100000000/LvacE(AA1059)</f>
        <v>22907.652312306418</v>
      </c>
      <c r="AD1059" s="10">
        <f t="shared" si="632"/>
        <v>7.6245400640616579E-3</v>
      </c>
      <c r="AE1059" s="10" t="b">
        <f t="shared" si="633"/>
        <v>1</v>
      </c>
      <c r="AP1059"/>
      <c r="AQ1059"/>
      <c r="AU1059" s="16" cm="1">
        <f t="array" ref="AU1059">$C1059*EXP(poly_from_str(100000000/$E1059,AU$4342))</f>
        <v>0.12107961943300788</v>
      </c>
    </row>
    <row r="1060" spans="1:48" x14ac:dyDescent="0.25">
      <c r="A1060" t="s">
        <v>1657</v>
      </c>
      <c r="B1060" s="2" t="str">
        <f t="shared" si="629"/>
        <v/>
      </c>
      <c r="C1060">
        <v>2</v>
      </c>
      <c r="E1060" t="s">
        <v>1658</v>
      </c>
      <c r="R1060">
        <v>11</v>
      </c>
      <c r="S1060" t="s">
        <v>22</v>
      </c>
      <c r="AA1060" s="10">
        <f t="shared" si="630"/>
        <v>4363.6440000000002</v>
      </c>
      <c r="AB1060" s="3">
        <f t="shared" si="631"/>
        <v>22910.19</v>
      </c>
      <c r="AC1060" s="3" cm="1">
        <f t="array" ref="AC1060">100000000/LvacE(AA1060)</f>
        <v>22910.187853740066</v>
      </c>
      <c r="AD1060" s="10">
        <f t="shared" si="632"/>
        <v>7.6251210976124618E-3</v>
      </c>
      <c r="AE1060" s="10" t="b">
        <f t="shared" si="633"/>
        <v>1</v>
      </c>
      <c r="AP1060"/>
      <c r="AQ1060"/>
      <c r="AU1060" s="16" cm="1">
        <f t="array" ref="AU1060">$C1060*EXP(poly_from_str(100000000/$E1060,AU$4342))</f>
        <v>8.0677569508336724E-2</v>
      </c>
    </row>
    <row r="1061" spans="1:48" x14ac:dyDescent="0.25">
      <c r="A1061" t="s">
        <v>1659</v>
      </c>
      <c r="B1061" s="2" t="str">
        <f t="shared" si="629"/>
        <v/>
      </c>
      <c r="C1061">
        <v>6</v>
      </c>
      <c r="D1061" t="s">
        <v>14</v>
      </c>
      <c r="E1061" t="s">
        <v>1660</v>
      </c>
      <c r="R1061">
        <v>11</v>
      </c>
      <c r="S1061" t="s">
        <v>22</v>
      </c>
      <c r="AA1061" s="10">
        <f t="shared" si="630"/>
        <v>4362.3969999999999</v>
      </c>
      <c r="AB1061" s="3">
        <f t="shared" si="631"/>
        <v>22916.74</v>
      </c>
      <c r="AC1061" s="3" cm="1">
        <f t="array" ref="AC1061">100000000/LvacE(AA1061)</f>
        <v>22916.736661231229</v>
      </c>
      <c r="AD1061" s="10">
        <f t="shared" si="632"/>
        <v>7.6266220911612621E-3</v>
      </c>
      <c r="AE1061" s="10" t="b">
        <f t="shared" si="633"/>
        <v>1</v>
      </c>
      <c r="AP1061"/>
      <c r="AQ1061"/>
      <c r="AU1061" s="16" cm="1">
        <f t="array" ref="AU1061">$C1061*EXP(poly_from_str(100000000/$E1061,AU$4342))</f>
        <v>0.24171120411930175</v>
      </c>
    </row>
    <row r="1062" spans="1:48" x14ac:dyDescent="0.25">
      <c r="A1062" t="s">
        <v>1661</v>
      </c>
      <c r="B1062" s="2" t="str">
        <f t="shared" si="629"/>
        <v/>
      </c>
      <c r="C1062">
        <v>4</v>
      </c>
      <c r="E1062" t="s">
        <v>1662</v>
      </c>
      <c r="R1062">
        <v>11</v>
      </c>
      <c r="S1062" t="s">
        <v>22</v>
      </c>
      <c r="AA1062" s="10">
        <f t="shared" si="630"/>
        <v>4359.6030000000001</v>
      </c>
      <c r="AB1062" s="3">
        <f t="shared" si="631"/>
        <v>22931.42</v>
      </c>
      <c r="AC1062" s="3" cm="1">
        <f t="array" ref="AC1062">100000000/LvacE(AA1062)</f>
        <v>22931.423371601013</v>
      </c>
      <c r="AD1062" s="10">
        <f t="shared" si="632"/>
        <v>7.6299898604988824E-3</v>
      </c>
      <c r="AE1062" s="10" t="b">
        <f t="shared" si="633"/>
        <v>1</v>
      </c>
      <c r="AP1062"/>
      <c r="AQ1062"/>
      <c r="AU1062" s="16" cm="1">
        <f t="array" ref="AU1062">$C1062*EXP(poly_from_str(100000000/$E1062,AU$4342))</f>
        <v>0.16067698256363044</v>
      </c>
    </row>
    <row r="1063" spans="1:48" x14ac:dyDescent="0.25">
      <c r="A1063" t="s">
        <v>1663</v>
      </c>
      <c r="B1063" s="2" t="str">
        <f t="shared" si="629"/>
        <v/>
      </c>
      <c r="C1063">
        <v>6</v>
      </c>
      <c r="D1063" t="s">
        <v>143</v>
      </c>
      <c r="E1063" t="s">
        <v>1664</v>
      </c>
      <c r="R1063">
        <v>11</v>
      </c>
      <c r="S1063" t="s">
        <v>22</v>
      </c>
      <c r="AA1063" s="10">
        <f t="shared" si="630"/>
        <v>4358.3810000000003</v>
      </c>
      <c r="AB1063" s="3">
        <f t="shared" si="631"/>
        <v>22937.85</v>
      </c>
      <c r="AC1063" s="3" cm="1">
        <f t="array" ref="AC1063">100000000/LvacE(AA1063)</f>
        <v>22937.852754882239</v>
      </c>
      <c r="AD1063" s="10">
        <f t="shared" si="632"/>
        <v>7.6314648438126718E-3</v>
      </c>
      <c r="AE1063" s="10" t="b">
        <f t="shared" si="633"/>
        <v>1</v>
      </c>
      <c r="AP1063"/>
      <c r="AQ1063"/>
      <c r="AU1063" s="16" cm="1">
        <f t="array" ref="AU1063">$C1063*EXP(poly_from_str(100000000/$E1063,AU$4342))</f>
        <v>0.24072144632940429</v>
      </c>
    </row>
    <row r="1064" spans="1:48" x14ac:dyDescent="0.25">
      <c r="A1064" t="s">
        <v>1665</v>
      </c>
      <c r="B1064" s="2" t="str">
        <f t="shared" si="629"/>
        <v/>
      </c>
      <c r="C1064">
        <v>7</v>
      </c>
      <c r="E1064" t="s">
        <v>1666</v>
      </c>
      <c r="R1064">
        <v>11</v>
      </c>
      <c r="S1064" t="s">
        <v>22</v>
      </c>
      <c r="AA1064" s="10">
        <f t="shared" si="630"/>
        <v>4357.9440000000004</v>
      </c>
      <c r="AB1064" s="3">
        <f t="shared" si="631"/>
        <v>22940.15</v>
      </c>
      <c r="AC1064" s="3" cm="1">
        <f t="array" ref="AC1064">100000000/LvacE(AA1064)</f>
        <v>22940.152844938635</v>
      </c>
      <c r="AD1064" s="10">
        <f t="shared" si="632"/>
        <v>7.6319926145148528E-3</v>
      </c>
      <c r="AE1064" s="10" t="b">
        <f t="shared" si="633"/>
        <v>1</v>
      </c>
      <c r="AP1064"/>
      <c r="AQ1064"/>
      <c r="AU1064" s="16" cm="1">
        <f t="array" ref="AU1064">$C1064*EXP(poly_from_str(100000000/$E1064,AU$4342))</f>
        <v>0.28072081858427755</v>
      </c>
    </row>
    <row r="1065" spans="1:48" x14ac:dyDescent="0.25">
      <c r="A1065" t="s">
        <v>1667</v>
      </c>
      <c r="B1065" s="2" t="str">
        <f t="shared" si="629"/>
        <v/>
      </c>
      <c r="C1065">
        <v>4</v>
      </c>
      <c r="E1065" t="s">
        <v>1668</v>
      </c>
      <c r="R1065">
        <v>11</v>
      </c>
      <c r="S1065" t="s">
        <v>22</v>
      </c>
      <c r="AA1065" s="10">
        <f t="shared" si="630"/>
        <v>4357.7269999999999</v>
      </c>
      <c r="AB1065" s="3">
        <f t="shared" si="631"/>
        <v>22941.29</v>
      </c>
      <c r="AC1065" s="3" cm="1">
        <f t="array" ref="AC1065">100000000/LvacE(AA1065)</f>
        <v>22941.295166327858</v>
      </c>
      <c r="AD1065" s="10">
        <f t="shared" si="632"/>
        <v>7.6322547472946166E-3</v>
      </c>
      <c r="AE1065" s="10" t="b">
        <f t="shared" si="633"/>
        <v>1</v>
      </c>
      <c r="AP1065"/>
      <c r="AQ1065"/>
      <c r="AU1065" s="16" cm="1">
        <f t="array" ref="AU1065">$C1065*EXP(poly_from_str(100000000/$E1065,AU$4342))</f>
        <v>0.16037786657882055</v>
      </c>
    </row>
    <row r="1066" spans="1:48" x14ac:dyDescent="0.25">
      <c r="A1066" t="s">
        <v>1669</v>
      </c>
      <c r="B1066" s="2" t="str">
        <f t="shared" si="629"/>
        <v/>
      </c>
      <c r="C1066">
        <v>7</v>
      </c>
      <c r="E1066" t="s">
        <v>1670</v>
      </c>
      <c r="R1066">
        <v>11</v>
      </c>
      <c r="S1066" t="s">
        <v>22</v>
      </c>
      <c r="AA1066" s="10">
        <f t="shared" si="630"/>
        <v>4357.1139999999996</v>
      </c>
      <c r="AB1066" s="3">
        <f t="shared" si="631"/>
        <v>22944.52</v>
      </c>
      <c r="AC1066" s="3" cm="1">
        <f t="array" ref="AC1066">100000000/LvacE(AA1066)</f>
        <v>22944.522707338125</v>
      </c>
      <c r="AD1066" s="10">
        <f t="shared" si="632"/>
        <v>7.6329954537955776E-3</v>
      </c>
      <c r="AE1066" s="10" t="b">
        <f t="shared" si="633"/>
        <v>1</v>
      </c>
      <c r="AP1066"/>
      <c r="AQ1066"/>
      <c r="AU1066" s="16" cm="1">
        <f t="array" ref="AU1066">$C1066*EXP(poly_from_str(100000000/$E1066,AU$4342))</f>
        <v>0.2804938169654973</v>
      </c>
    </row>
    <row r="1067" spans="1:48" x14ac:dyDescent="0.25">
      <c r="A1067" t="s">
        <v>1671</v>
      </c>
      <c r="B1067" s="2" t="str">
        <f t="shared" si="629"/>
        <v/>
      </c>
      <c r="C1067">
        <v>5</v>
      </c>
      <c r="D1067" t="s">
        <v>143</v>
      </c>
      <c r="E1067" t="s">
        <v>1672</v>
      </c>
      <c r="R1067">
        <v>11</v>
      </c>
      <c r="S1067" t="s">
        <v>22</v>
      </c>
      <c r="AA1067" s="10">
        <f t="shared" si="630"/>
        <v>4356.8639999999996</v>
      </c>
      <c r="AB1067" s="3">
        <f t="shared" si="631"/>
        <v>22945.84</v>
      </c>
      <c r="AC1067" s="3" cm="1">
        <f t="array" ref="AC1067">100000000/LvacE(AA1067)</f>
        <v>22945.839257214851</v>
      </c>
      <c r="AD1067" s="10">
        <f t="shared" si="632"/>
        <v>7.6332976261383016E-3</v>
      </c>
      <c r="AE1067" s="10" t="b">
        <f t="shared" si="633"/>
        <v>1</v>
      </c>
      <c r="AP1067"/>
      <c r="AQ1067"/>
      <c r="AU1067" s="16" cm="1">
        <f t="array" ref="AU1067">$C1067*EXP(poly_from_str(100000000/$E1067,AU$4342))</f>
        <v>0.20030423550480483</v>
      </c>
    </row>
    <row r="1068" spans="1:48" x14ac:dyDescent="0.25">
      <c r="A1068" t="s">
        <v>1673</v>
      </c>
      <c r="B1068" s="2" t="str">
        <f t="shared" si="629"/>
        <v/>
      </c>
      <c r="C1068">
        <v>30</v>
      </c>
      <c r="E1068" t="s">
        <v>1674</v>
      </c>
      <c r="R1068">
        <v>11</v>
      </c>
      <c r="S1068" t="s">
        <v>22</v>
      </c>
      <c r="AA1068" s="10">
        <f t="shared" si="630"/>
        <v>4356.4769999999999</v>
      </c>
      <c r="AB1068" s="3">
        <f t="shared" si="631"/>
        <v>22947.88</v>
      </c>
      <c r="AC1068" s="3" cm="1">
        <f t="array" ref="AC1068">100000000/LvacE(AA1068)</f>
        <v>22947.877574412796</v>
      </c>
      <c r="AD1068" s="10">
        <f t="shared" si="632"/>
        <v>7.6337654915213365E-3</v>
      </c>
      <c r="AE1068" s="10" t="b">
        <f t="shared" si="633"/>
        <v>1</v>
      </c>
      <c r="AP1068"/>
      <c r="AQ1068"/>
      <c r="AU1068" s="16" cm="1">
        <f t="array" ref="AU1068">$C1068*EXP(poly_from_str(100000000/$E1068,AU$4342))</f>
        <v>1.2013784255407323</v>
      </c>
    </row>
    <row r="1069" spans="1:48" x14ac:dyDescent="0.25">
      <c r="A1069" t="s">
        <v>1675</v>
      </c>
      <c r="B1069" s="2" t="str">
        <f t="shared" si="629"/>
        <v/>
      </c>
      <c r="C1069">
        <v>1</v>
      </c>
      <c r="E1069" t="s">
        <v>1676</v>
      </c>
      <c r="R1069">
        <v>11</v>
      </c>
      <c r="S1069" t="s">
        <v>22</v>
      </c>
      <c r="AA1069" s="10">
        <f t="shared" si="630"/>
        <v>4356.0200000000004</v>
      </c>
      <c r="AB1069" s="3">
        <f t="shared" si="631"/>
        <v>22950.28</v>
      </c>
      <c r="AC1069" s="3" cm="1">
        <f t="array" ref="AC1069">100000000/LvacE(AA1069)</f>
        <v>22950.285045831613</v>
      </c>
      <c r="AD1069" s="10">
        <f t="shared" si="632"/>
        <v>7.6343181442958957E-3</v>
      </c>
      <c r="AE1069" s="10" t="b">
        <f t="shared" si="633"/>
        <v>1</v>
      </c>
      <c r="AP1069"/>
      <c r="AQ1069"/>
      <c r="AU1069" s="16" cm="1">
        <f t="array" ref="AU1069">$C1069*EXP(poly_from_str(100000000/$E1069,AU$4342))</f>
        <v>4.0028555929800341E-2</v>
      </c>
    </row>
    <row r="1070" spans="1:48" x14ac:dyDescent="0.25">
      <c r="A1070" t="s">
        <v>1677</v>
      </c>
      <c r="B1070" s="2" t="str">
        <f t="shared" si="629"/>
        <v/>
      </c>
      <c r="C1070">
        <v>10</v>
      </c>
      <c r="E1070" t="s">
        <v>1678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AA1070" s="10">
        <f t="shared" si="630"/>
        <v>4355.5780000000004</v>
      </c>
      <c r="AB1070" s="3">
        <f t="shared" si="631"/>
        <v>22952.61</v>
      </c>
      <c r="AC1070" s="3" cm="1">
        <f t="array" ref="AC1070">100000000/LvacE(AA1070)</f>
        <v>22952.613977984154</v>
      </c>
      <c r="AD1070" s="10">
        <f t="shared" si="632"/>
        <v>7.6348528229759809E-3</v>
      </c>
      <c r="AE1070" s="10" t="b">
        <f t="shared" si="633"/>
        <v>1</v>
      </c>
      <c r="AJ1070" t="s">
        <v>4745</v>
      </c>
      <c r="AK1070" t="s">
        <v>4888</v>
      </c>
      <c r="AL1070">
        <v>39725.99</v>
      </c>
      <c r="AM1070">
        <v>62678.7</v>
      </c>
      <c r="AN1070" s="10" cm="1">
        <f t="array" ref="AN1070">Lair(100000000/($AM1070-$AL1070))</f>
        <v>4355.5597764405693</v>
      </c>
      <c r="AO1070" s="10">
        <f>100000000/($AM1070-$AL1070)</f>
        <v>4356.7840137395542</v>
      </c>
      <c r="AP1070" s="12">
        <v>2630000</v>
      </c>
      <c r="AQ1070" s="3">
        <v>0.185</v>
      </c>
      <c r="AR1070" s="3">
        <f>LN(AU1070*100000000/($AM1070-$AL1070)/AP1070)</f>
        <v>-7.3190003944002058</v>
      </c>
      <c r="AS1070" s="13">
        <f>EXP(AR$4341*$AM1070+AR$4342)*$AP1070/(100000000/($AM1070-$AL1070))</f>
        <v>0.4835440193924565</v>
      </c>
      <c r="AT1070" s="3">
        <f>LN(AS1070/$C1070)</f>
        <v>-3.0291980180161433</v>
      </c>
      <c r="AU1070" s="16" cm="1">
        <f t="array" ref="AU1070">$C1070*EXP(poly_from_str(100000000/$E1070,AU$4342))</f>
        <v>0.40011813303350108</v>
      </c>
      <c r="AV1070" s="13">
        <f>LN(AS1070/AU1070)</f>
        <v>0.18938251787038743</v>
      </c>
    </row>
    <row r="1071" spans="1:48" x14ac:dyDescent="0.25">
      <c r="A1071" t="s">
        <v>1679</v>
      </c>
      <c r="B1071" s="2" t="str">
        <f t="shared" si="629"/>
        <v/>
      </c>
      <c r="C1071">
        <v>4</v>
      </c>
      <c r="D1071" t="s">
        <v>14</v>
      </c>
      <c r="E1071" t="s">
        <v>1680</v>
      </c>
      <c r="R1071">
        <v>11</v>
      </c>
      <c r="S1071" t="s">
        <v>22</v>
      </c>
      <c r="AA1071" s="10">
        <f t="shared" si="630"/>
        <v>4354.5860000000002</v>
      </c>
      <c r="AB1071" s="3">
        <f t="shared" si="631"/>
        <v>22957.84</v>
      </c>
      <c r="AC1071" s="3" cm="1">
        <f t="array" ref="AC1071">100000000/LvacE(AA1071)</f>
        <v>22957.842623853208</v>
      </c>
      <c r="AD1071" s="10">
        <f t="shared" si="632"/>
        <v>7.6360534186089343E-3</v>
      </c>
      <c r="AE1071" s="10" t="b">
        <f t="shared" si="633"/>
        <v>1</v>
      </c>
      <c r="AP1071"/>
      <c r="AQ1071"/>
      <c r="AU1071" s="16" cm="1">
        <f t="array" ref="AU1071">$C1071*EXP(poly_from_str(100000000/$E1071,AU$4342))</f>
        <v>0.15989895553773437</v>
      </c>
    </row>
    <row r="1072" spans="1:48" x14ac:dyDescent="0.25">
      <c r="A1072" t="s">
        <v>1681</v>
      </c>
      <c r="B1072" s="2" t="str">
        <f t="shared" si="629"/>
        <v/>
      </c>
      <c r="C1072">
        <v>60</v>
      </c>
      <c r="E1072" t="s">
        <v>1682</v>
      </c>
      <c r="R1072">
        <v>11</v>
      </c>
      <c r="S1072" t="s">
        <v>22</v>
      </c>
      <c r="AA1072" s="10">
        <f t="shared" si="630"/>
        <v>4354.2780000000002</v>
      </c>
      <c r="AB1072" s="3">
        <f t="shared" si="631"/>
        <v>22959.47</v>
      </c>
      <c r="AC1072" s="3" cm="1">
        <f t="array" ref="AC1072">100000000/LvacE(AA1072)</f>
        <v>22959.466518729139</v>
      </c>
      <c r="AD1072" s="10">
        <f t="shared" si="632"/>
        <v>7.636426351134349E-3</v>
      </c>
      <c r="AE1072" s="10" t="b">
        <f t="shared" si="633"/>
        <v>1</v>
      </c>
      <c r="AP1072"/>
      <c r="AQ1072"/>
      <c r="AU1072" s="16" cm="1">
        <f t="array" ref="AU1072">$C1072*EXP(poly_from_str(100000000/$E1072,AU$4342))</f>
        <v>2.3977996191009536</v>
      </c>
    </row>
    <row r="1073" spans="1:48" x14ac:dyDescent="0.25">
      <c r="A1073" t="s">
        <v>1683</v>
      </c>
      <c r="B1073" s="2" t="str">
        <f t="shared" si="629"/>
        <v/>
      </c>
      <c r="C1073">
        <v>8</v>
      </c>
      <c r="E1073" t="s">
        <v>1684</v>
      </c>
      <c r="R1073">
        <v>11</v>
      </c>
      <c r="S1073" t="s">
        <v>22</v>
      </c>
      <c r="AA1073" s="10">
        <f t="shared" si="630"/>
        <v>4354.1390000000001</v>
      </c>
      <c r="AB1073" s="3">
        <f t="shared" si="631"/>
        <v>22960.2</v>
      </c>
      <c r="AC1073" s="3" cm="1">
        <f t="array" ref="AC1073">100000000/LvacE(AA1073)</f>
        <v>22960.199455611815</v>
      </c>
      <c r="AD1073" s="10">
        <f t="shared" si="632"/>
        <v>7.6365946810163631E-3</v>
      </c>
      <c r="AE1073" s="10" t="b">
        <f t="shared" si="633"/>
        <v>1</v>
      </c>
      <c r="AP1073"/>
      <c r="AQ1073"/>
      <c r="AU1073" s="16" cm="1">
        <f t="array" ref="AU1073">$C1073*EXP(poly_from_str(100000000/$E1073,AU$4342))</f>
        <v>0.31966590468805428</v>
      </c>
    </row>
    <row r="1074" spans="1:48" x14ac:dyDescent="0.25">
      <c r="A1074" t="s">
        <v>1685</v>
      </c>
      <c r="B1074" s="2" t="str">
        <f t="shared" si="629"/>
        <v/>
      </c>
      <c r="C1074">
        <v>5</v>
      </c>
      <c r="E1074" t="s">
        <v>1686</v>
      </c>
      <c r="R1074">
        <v>11</v>
      </c>
      <c r="S1074" t="s">
        <v>22</v>
      </c>
      <c r="AA1074" s="10">
        <f t="shared" si="630"/>
        <v>4353.09</v>
      </c>
      <c r="AB1074" s="3">
        <f t="shared" si="631"/>
        <v>22965.73</v>
      </c>
      <c r="AC1074" s="3" cm="1">
        <f t="array" ref="AC1074">100000000/LvacE(AA1074)</f>
        <v>22965.732265760642</v>
      </c>
      <c r="AD1074" s="10">
        <f t="shared" si="632"/>
        <v>7.6378655467450301E-3</v>
      </c>
      <c r="AE1074" s="10" t="b">
        <f t="shared" si="633"/>
        <v>1</v>
      </c>
      <c r="AP1074"/>
      <c r="AQ1074"/>
      <c r="AU1074" s="16" cm="1">
        <f t="array" ref="AU1074">$C1074*EXP(poly_from_str(100000000/$E1074,AU$4342))</f>
        <v>0.19960063929411842</v>
      </c>
    </row>
    <row r="1075" spans="1:48" x14ac:dyDescent="0.25">
      <c r="A1075" t="s">
        <v>1687</v>
      </c>
      <c r="B1075" s="2" t="str">
        <f t="shared" si="629"/>
        <v/>
      </c>
      <c r="C1075">
        <v>8</v>
      </c>
      <c r="E1075" t="s">
        <v>1688</v>
      </c>
      <c r="R1075">
        <v>11</v>
      </c>
      <c r="S1075" t="s">
        <v>22</v>
      </c>
      <c r="AA1075" s="10">
        <f t="shared" si="630"/>
        <v>4352.152</v>
      </c>
      <c r="AB1075" s="3">
        <f t="shared" si="631"/>
        <v>22970.68</v>
      </c>
      <c r="AC1075" s="3" cm="1">
        <f t="array" ref="AC1075">100000000/LvacE(AA1075)</f>
        <v>22970.681879939817</v>
      </c>
      <c r="AD1075" s="10">
        <f t="shared" si="632"/>
        <v>7.6390027140527048E-3</v>
      </c>
      <c r="AE1075" s="10" t="b">
        <f t="shared" si="633"/>
        <v>1</v>
      </c>
      <c r="AP1075"/>
      <c r="AQ1075"/>
      <c r="AU1075" s="16" cm="1">
        <f t="array" ref="AU1075">$C1075*EXP(poly_from_str(100000000/$E1075,AU$4342))</f>
        <v>0.31909337200027815</v>
      </c>
    </row>
    <row r="1076" spans="1:48" x14ac:dyDescent="0.25">
      <c r="A1076" t="s">
        <v>1689</v>
      </c>
      <c r="B1076" s="2" t="str">
        <f t="shared" si="629"/>
        <v/>
      </c>
      <c r="C1076">
        <v>5</v>
      </c>
      <c r="D1076" t="s">
        <v>14</v>
      </c>
      <c r="E1076" t="s">
        <v>1690</v>
      </c>
      <c r="R1076">
        <v>11</v>
      </c>
      <c r="S1076" t="s">
        <v>22</v>
      </c>
      <c r="AA1076" s="10">
        <f t="shared" si="630"/>
        <v>4351.1409999999996</v>
      </c>
      <c r="AB1076" s="3">
        <f t="shared" si="631"/>
        <v>22976.02</v>
      </c>
      <c r="AC1076" s="3" cm="1">
        <f t="array" ref="AC1076">100000000/LvacE(AA1076)</f>
        <v>22976.019088182991</v>
      </c>
      <c r="AD1076" s="10">
        <f t="shared" si="632"/>
        <v>7.6402292051881322E-3</v>
      </c>
      <c r="AE1076" s="10" t="b">
        <f t="shared" si="633"/>
        <v>1</v>
      </c>
      <c r="AP1076"/>
      <c r="AQ1076"/>
      <c r="AU1076" s="16" cm="1">
        <f t="array" ref="AU1076">$C1076*EXP(poly_from_str(100000000/$E1076,AU$4342))</f>
        <v>0.19925635602599134</v>
      </c>
    </row>
    <row r="1077" spans="1:48" x14ac:dyDescent="0.25">
      <c r="A1077" t="s">
        <v>1691</v>
      </c>
      <c r="B1077" s="2" t="str">
        <f t="shared" si="629"/>
        <v/>
      </c>
      <c r="C1077">
        <v>4</v>
      </c>
      <c r="E1077" t="s">
        <v>1692</v>
      </c>
      <c r="R1077">
        <v>11</v>
      </c>
      <c r="S1077" t="s">
        <v>22</v>
      </c>
      <c r="AA1077" s="10">
        <f t="shared" si="630"/>
        <v>4350.0649999999996</v>
      </c>
      <c r="AB1077" s="3">
        <f t="shared" si="631"/>
        <v>22981.7</v>
      </c>
      <c r="AC1077" s="3" cm="1">
        <f t="array" ref="AC1077">100000000/LvacE(AA1077)</f>
        <v>22981.702165523093</v>
      </c>
      <c r="AD1077" s="10">
        <f t="shared" si="632"/>
        <v>7.6415354903344081E-3</v>
      </c>
      <c r="AE1077" s="10" t="b">
        <f t="shared" si="633"/>
        <v>1</v>
      </c>
      <c r="AP1077"/>
      <c r="AQ1077"/>
      <c r="AU1077" s="16" cm="1">
        <f t="array" ref="AU1077">$C1077*EXP(poly_from_str(100000000/$E1077,AU$4342))</f>
        <v>0.15925760444367862</v>
      </c>
    </row>
    <row r="1078" spans="1:48" x14ac:dyDescent="0.25">
      <c r="A1078" t="s">
        <v>1693</v>
      </c>
      <c r="B1078" s="2" t="str">
        <f t="shared" si="629"/>
        <v/>
      </c>
      <c r="C1078">
        <v>20</v>
      </c>
      <c r="E1078" t="s">
        <v>1694</v>
      </c>
      <c r="R1078">
        <v>11</v>
      </c>
      <c r="S1078" t="s">
        <v>22</v>
      </c>
      <c r="AA1078" s="10">
        <f t="shared" si="630"/>
        <v>4349.2219999999998</v>
      </c>
      <c r="AB1078" s="3">
        <f t="shared" si="631"/>
        <v>22986.16</v>
      </c>
      <c r="AC1078" s="3" cm="1">
        <f t="array" ref="AC1078">100000000/LvacE(AA1078)</f>
        <v>22986.156578152335</v>
      </c>
      <c r="AD1078" s="10">
        <f t="shared" si="632"/>
        <v>7.6425595863067394E-3</v>
      </c>
      <c r="AE1078" s="10" t="b">
        <f t="shared" si="633"/>
        <v>1</v>
      </c>
      <c r="AP1078"/>
      <c r="AQ1078"/>
      <c r="AU1078" s="16" cm="1">
        <f t="array" ref="AU1078">$C1078*EXP(poly_from_str(100000000/$E1078,AU$4342))</f>
        <v>0.7957202796940801</v>
      </c>
    </row>
    <row r="1079" spans="1:48" x14ac:dyDescent="0.25">
      <c r="A1079" t="s">
        <v>1695</v>
      </c>
      <c r="B1079" s="2" t="str">
        <f t="shared" si="629"/>
        <v/>
      </c>
      <c r="C1079">
        <v>2</v>
      </c>
      <c r="E1079" t="s">
        <v>1696</v>
      </c>
      <c r="R1079">
        <v>11</v>
      </c>
      <c r="S1079" t="s">
        <v>22</v>
      </c>
      <c r="AA1079" s="10">
        <f t="shared" si="630"/>
        <v>4348.6379999999999</v>
      </c>
      <c r="AB1079" s="3">
        <f t="shared" si="631"/>
        <v>22989.24</v>
      </c>
      <c r="AC1079" s="3" cm="1">
        <f t="array" ref="AC1079">100000000/LvacE(AA1079)</f>
        <v>22989.24344717912</v>
      </c>
      <c r="AD1079" s="10">
        <f t="shared" si="632"/>
        <v>7.643269392299281E-3</v>
      </c>
      <c r="AE1079" s="10" t="b">
        <f t="shared" si="633"/>
        <v>1</v>
      </c>
      <c r="AP1079"/>
      <c r="AQ1079"/>
      <c r="AU1079" s="16" cm="1">
        <f t="array" ref="AU1079">$C1079*EXP(poly_from_str(100000000/$E1079,AU$4342))</f>
        <v>7.9533397068771605E-2</v>
      </c>
    </row>
    <row r="1080" spans="1:48" x14ac:dyDescent="0.25">
      <c r="A1080" t="s">
        <v>1697</v>
      </c>
      <c r="B1080" s="2" t="str">
        <f t="shared" si="629"/>
        <v/>
      </c>
      <c r="C1080">
        <v>9</v>
      </c>
      <c r="E1080" t="s">
        <v>1698</v>
      </c>
      <c r="R1080">
        <v>11</v>
      </c>
      <c r="S1080" t="s">
        <v>22</v>
      </c>
      <c r="AA1080" s="10">
        <f t="shared" si="630"/>
        <v>4348.0609999999997</v>
      </c>
      <c r="AB1080" s="3">
        <f t="shared" si="631"/>
        <v>22992.29</v>
      </c>
      <c r="AC1080" s="3" cm="1">
        <f t="array" ref="AC1080">100000000/LvacE(AA1080)</f>
        <v>22992.294130402639</v>
      </c>
      <c r="AD1080" s="10">
        <f t="shared" si="632"/>
        <v>7.6439709712447269E-3</v>
      </c>
      <c r="AE1080" s="10" t="b">
        <f t="shared" si="633"/>
        <v>1</v>
      </c>
      <c r="AP1080"/>
      <c r="AQ1080"/>
      <c r="AU1080" s="16" cm="1">
        <f t="array" ref="AU1080">$C1080*EXP(poly_from_str(100000000/$E1080,AU$4342))</f>
        <v>0.35773022216951789</v>
      </c>
    </row>
    <row r="1081" spans="1:48" x14ac:dyDescent="0.25">
      <c r="A1081" t="s">
        <v>1699</v>
      </c>
      <c r="B1081" s="2" t="str">
        <f t="shared" si="629"/>
        <v/>
      </c>
      <c r="C1081">
        <v>9</v>
      </c>
      <c r="E1081" t="s">
        <v>1700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634">$G1081&amp;""</f>
        <v>e</v>
      </c>
      <c r="N1081" t="str">
        <f t="shared" ref="N1081:N1082" si="635">$H1081&amp;""</f>
        <v>5/2</v>
      </c>
      <c r="O1081">
        <v>68801.67</v>
      </c>
      <c r="P1081" t="str">
        <f t="shared" ref="P1081:P1082" si="636">$J1081&amp;""</f>
        <v>o</v>
      </c>
      <c r="Q1081" t="str">
        <f t="shared" ref="Q1081:Q1082" si="637">$K1081&amp;""</f>
        <v>7/2</v>
      </c>
      <c r="R1081">
        <v>11</v>
      </c>
      <c r="AA1081" s="10">
        <f t="shared" si="630"/>
        <v>4347.6369999999997</v>
      </c>
      <c r="AB1081" s="3">
        <f t="shared" si="631"/>
        <v>22994.54</v>
      </c>
      <c r="AC1081" s="3" cm="1">
        <f t="array" ref="AC1081">100000000/LvacE(AA1081)</f>
        <v>22994.536396418807</v>
      </c>
      <c r="AD1081" s="10">
        <f t="shared" si="632"/>
        <v>7.6444866943144989E-3</v>
      </c>
      <c r="AE1081" s="10" t="b">
        <f t="shared" si="633"/>
        <v>1</v>
      </c>
      <c r="AJ1081" t="s">
        <v>4972</v>
      </c>
      <c r="AK1081" t="s">
        <v>4857</v>
      </c>
      <c r="AL1081">
        <v>45807.1</v>
      </c>
      <c r="AM1081">
        <v>68801.67</v>
      </c>
      <c r="AN1081" s="10" cm="1">
        <f t="array" ref="AN1081">Lair(100000000/($AM1081-$AL1081))</f>
        <v>4347.6306445333921</v>
      </c>
      <c r="AO1081" s="10">
        <f t="shared" ref="AO1081:AO1082" si="638">100000000/($AM1081-$AL1081)</f>
        <v>4348.8527943771078</v>
      </c>
      <c r="AP1081" s="12">
        <v>2450000</v>
      </c>
      <c r="AQ1081" s="3">
        <v>0.18</v>
      </c>
      <c r="AR1081" s="3">
        <f>LN(AU1081*100000000/($AM1081-$AL1081)/AP1081)</f>
        <v>-7.3622544285162945</v>
      </c>
      <c r="AS1081" s="13">
        <f t="shared" ref="AS1081:AS1082" si="639">EXP(AR$4341*$AM1081+AR$4342)*$AP1081/(100000000/($AM1081-$AL1081))</f>
        <v>0.28502005942440073</v>
      </c>
      <c r="AT1081" s="3">
        <f t="shared" ref="AT1081" si="640">LN(AS1081/$C1081)</f>
        <v>-3.4524202945812736</v>
      </c>
      <c r="AU1081" s="16" cm="1">
        <f t="array" ref="AU1081">$C1081*EXP(poly_from_str(100000000/$E1081,AU$4342))</f>
        <v>0.35760608848394682</v>
      </c>
      <c r="AV1081" s="13">
        <f>LN(AS1081/AU1081)</f>
        <v>-0.22687250737915643</v>
      </c>
    </row>
    <row r="1082" spans="1:48" x14ac:dyDescent="0.25">
      <c r="A1082" t="s">
        <v>1701</v>
      </c>
      <c r="B1082" s="2" t="str">
        <f t="shared" si="629"/>
        <v/>
      </c>
      <c r="C1082">
        <v>4</v>
      </c>
      <c r="E1082" t="s">
        <v>1702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634"/>
        <v>e</v>
      </c>
      <c r="N1082" t="str">
        <f t="shared" si="635"/>
        <v>7/2</v>
      </c>
      <c r="O1082">
        <v>67679.210000000006</v>
      </c>
      <c r="P1082" t="str">
        <f t="shared" si="636"/>
        <v>o</v>
      </c>
      <c r="Q1082" t="str">
        <f t="shared" si="637"/>
        <v>7/2</v>
      </c>
      <c r="R1082">
        <v>11</v>
      </c>
      <c r="AA1082" s="10">
        <f t="shared" si="630"/>
        <v>4346.7439999999997</v>
      </c>
      <c r="AB1082" s="3">
        <f t="shared" si="631"/>
        <v>22999.26</v>
      </c>
      <c r="AC1082" s="3" cm="1">
        <f t="array" ref="AC1082">100000000/LvacE(AA1082)</f>
        <v>22999.260335607345</v>
      </c>
      <c r="AD1082" s="10">
        <f t="shared" si="632"/>
        <v>7.6455733688948957E-3</v>
      </c>
      <c r="AE1082" s="10" t="b">
        <f t="shared" si="633"/>
        <v>1</v>
      </c>
      <c r="AJ1082" t="s">
        <v>4806</v>
      </c>
      <c r="AK1082" t="s">
        <v>4861</v>
      </c>
      <c r="AL1082">
        <v>44679.98</v>
      </c>
      <c r="AM1082">
        <v>67679.210000000006</v>
      </c>
      <c r="AN1082" s="10" cm="1">
        <f t="array" ref="AN1082">Lair(100000000/($AM1082-$AL1082))</f>
        <v>4346.749731535444</v>
      </c>
      <c r="AO1082" s="10">
        <f t="shared" si="638"/>
        <v>4347.9716494856557</v>
      </c>
      <c r="AP1082" s="12">
        <v>220000</v>
      </c>
      <c r="AQ1082" s="3">
        <v>1.7000000000000001E-2</v>
      </c>
      <c r="AR1082" s="3"/>
      <c r="AS1082" s="13">
        <f t="shared" si="639"/>
        <v>2.7848620353102524E-2</v>
      </c>
      <c r="AT1082" s="3"/>
      <c r="AU1082" s="16" cm="1">
        <f t="array" ref="AU1082">$C1082*EXP(poly_from_str(100000000/$E1082,AU$4342))</f>
        <v>0.15882192180011989</v>
      </c>
    </row>
    <row r="1083" spans="1:48" x14ac:dyDescent="0.25">
      <c r="A1083" t="s">
        <v>1703</v>
      </c>
      <c r="B1083" s="2" t="str">
        <f t="shared" si="629"/>
        <v/>
      </c>
      <c r="C1083">
        <v>25</v>
      </c>
      <c r="E1083" t="s">
        <v>1704</v>
      </c>
      <c r="R1083">
        <v>11</v>
      </c>
      <c r="S1083" t="s">
        <v>22</v>
      </c>
      <c r="AA1083" s="10">
        <f t="shared" si="630"/>
        <v>4346.3469999999998</v>
      </c>
      <c r="AB1083" s="3">
        <f t="shared" si="631"/>
        <v>23001.360000000001</v>
      </c>
      <c r="AC1083" s="3" cm="1">
        <f t="array" ref="AC1083">100000000/LvacE(AA1083)</f>
        <v>23001.36107520822</v>
      </c>
      <c r="AD1083" s="10">
        <f t="shared" si="632"/>
        <v>7.6460566856728449E-3</v>
      </c>
      <c r="AE1083" s="10" t="b">
        <f t="shared" si="633"/>
        <v>1</v>
      </c>
      <c r="AP1083"/>
      <c r="AQ1083"/>
      <c r="AU1083" s="16" cm="1">
        <f t="array" ref="AU1083">$C1083*EXP(poly_from_str(100000000/$E1083,AU$4342))</f>
        <v>0.99232407192276184</v>
      </c>
    </row>
    <row r="1084" spans="1:48" x14ac:dyDescent="0.25">
      <c r="A1084" t="s">
        <v>1705</v>
      </c>
      <c r="B1084" s="2" t="str">
        <f t="shared" si="629"/>
        <v/>
      </c>
      <c r="C1084">
        <v>7</v>
      </c>
      <c r="E1084" t="s">
        <v>1706</v>
      </c>
      <c r="R1084">
        <v>11</v>
      </c>
      <c r="S1084" t="s">
        <v>22</v>
      </c>
      <c r="AA1084" s="10">
        <f t="shared" si="630"/>
        <v>4345.1719999999996</v>
      </c>
      <c r="AB1084" s="3">
        <f t="shared" si="631"/>
        <v>23007.58</v>
      </c>
      <c r="AC1084" s="3" cm="1">
        <f t="array" ref="AC1084">100000000/LvacE(AA1084)</f>
        <v>23007.580878770103</v>
      </c>
      <c r="AD1084" s="10">
        <f t="shared" si="632"/>
        <v>7.6474879335927445E-3</v>
      </c>
      <c r="AE1084" s="10" t="b">
        <f t="shared" si="633"/>
        <v>1</v>
      </c>
      <c r="AP1084"/>
      <c r="AQ1084"/>
      <c r="AU1084" s="16" cm="1">
        <f t="array" ref="AU1084">$C1084*EXP(poly_from_str(100000000/$E1084,AU$4342))</f>
        <v>0.2775956319093642</v>
      </c>
    </row>
    <row r="1085" spans="1:48" x14ac:dyDescent="0.25">
      <c r="A1085" t="s">
        <v>1707</v>
      </c>
      <c r="B1085" s="2" t="str">
        <f t="shared" si="629"/>
        <v/>
      </c>
      <c r="C1085">
        <v>5</v>
      </c>
      <c r="D1085" t="s">
        <v>14</v>
      </c>
      <c r="E1085" t="s">
        <v>1708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630"/>
        <v>4344.6620000000003</v>
      </c>
      <c r="AB1085" s="3">
        <f t="shared" si="631"/>
        <v>23010.28</v>
      </c>
      <c r="AC1085" s="3" cm="1">
        <f t="array" ref="AC1085">100000000/LvacE(AA1085)</f>
        <v>23010.281585173394</v>
      </c>
      <c r="AD1085" s="10">
        <f t="shared" si="632"/>
        <v>7.6481095175152166E-3</v>
      </c>
      <c r="AE1085" s="10" t="b">
        <f t="shared" si="633"/>
        <v>1</v>
      </c>
      <c r="AJ1085" t="s">
        <v>4979</v>
      </c>
      <c r="AK1085" t="s">
        <v>4787</v>
      </c>
      <c r="AL1085">
        <v>14187.35</v>
      </c>
      <c r="AM1085">
        <v>37197.64</v>
      </c>
      <c r="AN1085" s="10" cm="1">
        <f t="array" ref="AN1085">Lair(100000000/($AM1085-$AL1085))</f>
        <v>4344.6604092719035</v>
      </c>
      <c r="AO1085" s="10">
        <f>100000000/($AM1085-$AL1085)</f>
        <v>4345.8817772396606</v>
      </c>
      <c r="AP1085" s="12">
        <v>796000</v>
      </c>
      <c r="AQ1085" s="3">
        <v>0.20399999999999999</v>
      </c>
      <c r="AR1085" s="3">
        <f>LN(AU1085*100000000/($AM1085-$AL1085)/AP1085)</f>
        <v>-6.8288241364008435</v>
      </c>
      <c r="AS1085" s="13">
        <f>EXP(AR$4341*$AM1085+AR$4342)*$AP1085/(100000000/($AM1085-$AL1085))</f>
        <v>0.9930479003489735</v>
      </c>
      <c r="AT1085" s="3">
        <f>LN(AS1085/$C1085)</f>
        <v>-1.6164142905194014</v>
      </c>
      <c r="AU1085" s="16" cm="1">
        <f t="array" ref="AU1085">$C1085*EXP(poly_from_str(100000000/$E1085,AU$4342))</f>
        <v>0.1982049605572786</v>
      </c>
      <c r="AV1085" s="13">
        <f>LN(AS1085/AU1085)</f>
        <v>1.611477251275403</v>
      </c>
    </row>
    <row r="1086" spans="1:48" x14ac:dyDescent="0.25">
      <c r="A1086" t="s">
        <v>1709</v>
      </c>
      <c r="B1086" s="2" t="str">
        <f t="shared" si="629"/>
        <v/>
      </c>
      <c r="C1086">
        <v>6</v>
      </c>
      <c r="E1086" t="s">
        <v>1710</v>
      </c>
      <c r="R1086">
        <v>11</v>
      </c>
      <c r="S1086" t="s">
        <v>22</v>
      </c>
      <c r="AA1086" s="10">
        <f t="shared" si="630"/>
        <v>4342.1589999999997</v>
      </c>
      <c r="AB1086" s="3">
        <f t="shared" si="631"/>
        <v>23023.55</v>
      </c>
      <c r="AC1086" s="3" cm="1">
        <f t="array" ref="AC1086">100000000/LvacE(AA1086)</f>
        <v>23023.545425619934</v>
      </c>
      <c r="AD1086" s="10">
        <f t="shared" si="632"/>
        <v>7.651163329765209E-3</v>
      </c>
      <c r="AE1086" s="10" t="b">
        <f t="shared" si="633"/>
        <v>1</v>
      </c>
      <c r="AP1086"/>
      <c r="AQ1086"/>
      <c r="AU1086" s="16" cm="1">
        <f t="array" ref="AU1086">$C1086*EXP(poly_from_str(100000000/$E1086,AU$4342))</f>
        <v>0.2374034501548469</v>
      </c>
    </row>
    <row r="1087" spans="1:48" x14ac:dyDescent="0.25">
      <c r="A1087" t="s">
        <v>1711</v>
      </c>
      <c r="B1087" s="2" t="str">
        <f t="shared" si="629"/>
        <v/>
      </c>
      <c r="C1087">
        <v>25</v>
      </c>
      <c r="E1087" t="s">
        <v>1712</v>
      </c>
      <c r="R1087">
        <v>11</v>
      </c>
      <c r="S1087" t="s">
        <v>22</v>
      </c>
      <c r="AA1087" s="10">
        <f t="shared" si="630"/>
        <v>4341.5690000000004</v>
      </c>
      <c r="AB1087" s="3">
        <f t="shared" si="631"/>
        <v>23026.67</v>
      </c>
      <c r="AC1087" s="3" cm="1">
        <f t="array" ref="AC1087">100000000/LvacE(AA1087)</f>
        <v>23026.674167460569</v>
      </c>
      <c r="AD1087" s="10">
        <f t="shared" si="632"/>
        <v>7.65188393498532E-3</v>
      </c>
      <c r="AE1087" s="10" t="b">
        <f t="shared" si="633"/>
        <v>1</v>
      </c>
      <c r="AP1087"/>
      <c r="AQ1087"/>
      <c r="AU1087" s="16" cm="1">
        <f t="array" ref="AU1087">$C1087*EXP(poly_from_str(100000000/$E1087,AU$4342))</f>
        <v>0.98876289909585502</v>
      </c>
    </row>
    <row r="1088" spans="1:48" x14ac:dyDescent="0.25">
      <c r="A1088" t="s">
        <v>1713</v>
      </c>
      <c r="B1088" s="2" t="str">
        <f t="shared" si="629"/>
        <v/>
      </c>
      <c r="C1088">
        <v>6</v>
      </c>
      <c r="E1088" t="s">
        <v>1714</v>
      </c>
      <c r="R1088">
        <v>11</v>
      </c>
      <c r="S1088" t="s">
        <v>22</v>
      </c>
      <c r="AA1088" s="10">
        <f t="shared" si="630"/>
        <v>4340.2359999999999</v>
      </c>
      <c r="AB1088" s="3">
        <f t="shared" si="631"/>
        <v>23033.75</v>
      </c>
      <c r="AC1088" s="3" cm="1">
        <f t="array" ref="AC1088">100000000/LvacE(AA1088)</f>
        <v>23033.746134692192</v>
      </c>
      <c r="AD1088" s="10">
        <f t="shared" si="632"/>
        <v>7.6535130963722008E-3</v>
      </c>
      <c r="AE1088" s="10" t="b">
        <f t="shared" si="633"/>
        <v>1</v>
      </c>
      <c r="AP1088"/>
      <c r="AQ1088"/>
      <c r="AU1088" s="16" cm="1">
        <f t="array" ref="AU1088">$C1088*EXP(poly_from_str(100000000/$E1088,AU$4342))</f>
        <v>0.23708053584044647</v>
      </c>
    </row>
    <row r="1089" spans="1:47" x14ac:dyDescent="0.25">
      <c r="A1089" t="s">
        <v>1715</v>
      </c>
      <c r="B1089" s="2" t="str">
        <f t="shared" si="629"/>
        <v/>
      </c>
      <c r="C1089">
        <v>3</v>
      </c>
      <c r="E1089" t="s">
        <v>1716</v>
      </c>
      <c r="R1089">
        <v>11</v>
      </c>
      <c r="S1089" t="s">
        <v>22</v>
      </c>
      <c r="AA1089" s="10">
        <f t="shared" si="630"/>
        <v>4340.0290000000005</v>
      </c>
      <c r="AB1089" s="3">
        <f t="shared" si="631"/>
        <v>23034.84</v>
      </c>
      <c r="AC1089" s="3" cm="1">
        <f t="array" ref="AC1089">100000000/LvacE(AA1089)</f>
        <v>23034.844721823425</v>
      </c>
      <c r="AD1089" s="10">
        <f t="shared" si="632"/>
        <v>7.6537662215878542E-3</v>
      </c>
      <c r="AE1089" s="10" t="b">
        <f t="shared" si="633"/>
        <v>1</v>
      </c>
      <c r="AP1089"/>
      <c r="AQ1089"/>
      <c r="AU1089" s="16" cm="1">
        <f t="array" ref="AU1089">$C1089*EXP(poly_from_str(100000000/$E1089,AU$4342))</f>
        <v>0.11852345334660087</v>
      </c>
    </row>
    <row r="1090" spans="1:47" x14ac:dyDescent="0.25">
      <c r="A1090" t="s">
        <v>1717</v>
      </c>
      <c r="B1090" s="2" t="str">
        <f t="shared" si="629"/>
        <v/>
      </c>
      <c r="C1090">
        <v>9</v>
      </c>
      <c r="D1090" t="s">
        <v>14</v>
      </c>
      <c r="E1090" t="s">
        <v>1718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AA1090" s="10">
        <f t="shared" si="630"/>
        <v>4334.6970000000001</v>
      </c>
      <c r="AB1090" s="3">
        <f t="shared" si="631"/>
        <v>23063.18</v>
      </c>
      <c r="AC1090" s="3" cm="1">
        <f t="array" ref="AC1090">100000000/LvacE(AA1090)</f>
        <v>23063.178786858873</v>
      </c>
      <c r="AD1090" s="10">
        <f t="shared" si="632"/>
        <v>7.6602988382877598E-3</v>
      </c>
      <c r="AE1090" s="10" t="b">
        <f t="shared" si="633"/>
        <v>1</v>
      </c>
      <c r="AJ1090" t="s">
        <v>4695</v>
      </c>
      <c r="AK1090" t="s">
        <v>4761</v>
      </c>
      <c r="AL1090">
        <v>11761.69</v>
      </c>
      <c r="AM1090">
        <v>34825.49</v>
      </c>
      <c r="AN1090" s="10" cm="1">
        <f t="array" ref="AN1090">Lair(100000000/($AM1090-$AL1090))</f>
        <v>4334.5802428517809</v>
      </c>
      <c r="AO1090" s="10">
        <f>100000000/($AM1090-$AL1090)</f>
        <v>4335.798957673931</v>
      </c>
      <c r="AU1090" s="16" cm="1">
        <f t="array" ref="AU1090">$C1090*EXP(poly_from_str(100000000/$E1090,AU$4342))</f>
        <v>0.35434707017169864</v>
      </c>
    </row>
    <row r="1091" spans="1:47" x14ac:dyDescent="0.25">
      <c r="A1091" t="s">
        <v>1719</v>
      </c>
      <c r="B1091" s="2" t="str">
        <f t="shared" ref="B1091:B1154" si="641">IF(OR(A1091=A1090,A1091=A1092),IF(B1090="",1,B1090+1),"")</f>
        <v/>
      </c>
      <c r="C1091">
        <v>4</v>
      </c>
      <c r="E1091" t="s">
        <v>1720</v>
      </c>
      <c r="R1091">
        <v>11</v>
      </c>
      <c r="S1091" t="s">
        <v>22</v>
      </c>
      <c r="AA1091" s="10">
        <f t="shared" ref="AA1091:AA1154" si="642">ROUND($A1091,3)+0</f>
        <v>4332.2039999999997</v>
      </c>
      <c r="AB1091" s="3">
        <f t="shared" ref="AB1091:AB1154" si="643">ROUND($E1091,2)+0</f>
        <v>23076.45</v>
      </c>
      <c r="AC1091" s="3" cm="1">
        <f t="array" ref="AC1091">100000000/LvacE(AA1091)</f>
        <v>23076.450431177713</v>
      </c>
      <c r="AD1091" s="10">
        <f t="shared" ref="AD1091:AD1154" si="644">0.0005/$AA1091*AC1091+0.005</f>
        <v>7.6633614704175648E-3</v>
      </c>
      <c r="AE1091" s="10" t="b">
        <f t="shared" ref="AE1091:AE1154" si="645">ABS(AB1091-AC1091)&lt;AD1091</f>
        <v>1</v>
      </c>
      <c r="AP1091"/>
      <c r="AQ1091"/>
      <c r="AU1091" s="16" cm="1">
        <f t="array" ref="AU1091">$C1091*EXP(poly_from_str(100000000/$E1091,AU$4342))</f>
        <v>0.15725865404925038</v>
      </c>
    </row>
    <row r="1092" spans="1:47" x14ac:dyDescent="0.25">
      <c r="A1092" t="s">
        <v>1721</v>
      </c>
      <c r="B1092" s="2" t="str">
        <f t="shared" si="641"/>
        <v/>
      </c>
      <c r="C1092">
        <v>20</v>
      </c>
      <c r="E1092" t="s">
        <v>1722</v>
      </c>
      <c r="R1092">
        <v>11</v>
      </c>
      <c r="S1092" t="s">
        <v>22</v>
      </c>
      <c r="AA1092" s="10">
        <f t="shared" si="642"/>
        <v>4331.5410000000002</v>
      </c>
      <c r="AB1092" s="3">
        <f t="shared" si="643"/>
        <v>23079.98</v>
      </c>
      <c r="AC1092" s="3" cm="1">
        <f t="array" ref="AC1092">100000000/LvacE(AA1092)</f>
        <v>23079.982525482708</v>
      </c>
      <c r="AD1092" s="10">
        <f t="shared" si="644"/>
        <v>7.6641768513195079E-3</v>
      </c>
      <c r="AE1092" s="10" t="b">
        <f t="shared" si="645"/>
        <v>1</v>
      </c>
      <c r="AP1092"/>
      <c r="AQ1092"/>
      <c r="AU1092" s="16" cm="1">
        <f t="array" ref="AU1092">$C1092*EXP(poly_from_str(100000000/$E1092,AU$4342))</f>
        <v>0.78600236780889132</v>
      </c>
    </row>
    <row r="1093" spans="1:47" x14ac:dyDescent="0.25">
      <c r="A1093" t="s">
        <v>1723</v>
      </c>
      <c r="B1093" s="2" t="str">
        <f t="shared" si="641"/>
        <v/>
      </c>
      <c r="C1093">
        <v>4</v>
      </c>
      <c r="E1093" t="s">
        <v>1724</v>
      </c>
      <c r="R1093">
        <v>11</v>
      </c>
      <c r="S1093" t="s">
        <v>22</v>
      </c>
      <c r="AA1093" s="10">
        <f t="shared" si="642"/>
        <v>4331.2039999999997</v>
      </c>
      <c r="AB1093" s="3">
        <f t="shared" si="643"/>
        <v>23081.78</v>
      </c>
      <c r="AC1093" s="3" cm="1">
        <f t="array" ref="AC1093">100000000/LvacE(AA1093)</f>
        <v>23081.778288071164</v>
      </c>
      <c r="AD1093" s="10">
        <f t="shared" si="644"/>
        <v>7.6645914494065815E-3</v>
      </c>
      <c r="AE1093" s="10" t="b">
        <f t="shared" si="645"/>
        <v>1</v>
      </c>
      <c r="AP1093"/>
      <c r="AQ1093"/>
      <c r="AU1093" s="16" cm="1">
        <f t="array" ref="AU1093">$C1093*EXP(poly_from_str(100000000/$E1093,AU$4342))</f>
        <v>0.15717124398785701</v>
      </c>
    </row>
    <row r="1094" spans="1:47" x14ac:dyDescent="0.25">
      <c r="A1094" t="s">
        <v>1725</v>
      </c>
      <c r="B1094" s="2" t="str">
        <f t="shared" si="641"/>
        <v/>
      </c>
      <c r="C1094">
        <v>5</v>
      </c>
      <c r="E1094" t="s">
        <v>1726</v>
      </c>
      <c r="R1094">
        <v>11</v>
      </c>
      <c r="S1094" t="s">
        <v>22</v>
      </c>
      <c r="AA1094" s="10">
        <f t="shared" si="642"/>
        <v>4330.99</v>
      </c>
      <c r="AB1094" s="3">
        <f t="shared" si="643"/>
        <v>23082.92</v>
      </c>
      <c r="AC1094" s="3" cm="1">
        <f t="array" ref="AC1094">100000000/LvacE(AA1094)</f>
        <v>23082.918769030552</v>
      </c>
      <c r="AD1094" s="10">
        <f t="shared" si="644"/>
        <v>7.6648547755860151E-3</v>
      </c>
      <c r="AE1094" s="10" t="b">
        <f t="shared" si="645"/>
        <v>1</v>
      </c>
      <c r="AP1094"/>
      <c r="AQ1094"/>
      <c r="AU1094" s="16" cm="1">
        <f t="array" ref="AU1094">$C1094*EXP(poly_from_str(100000000/$E1094,AU$4342))</f>
        <v>0.1964411056217516</v>
      </c>
    </row>
    <row r="1095" spans="1:47" x14ac:dyDescent="0.25">
      <c r="A1095" t="s">
        <v>1727</v>
      </c>
      <c r="B1095" s="2" t="str">
        <f t="shared" si="641"/>
        <v/>
      </c>
      <c r="C1095">
        <v>3</v>
      </c>
      <c r="E1095" t="s">
        <v>1728</v>
      </c>
      <c r="R1095">
        <v>11</v>
      </c>
      <c r="S1095" t="s">
        <v>22</v>
      </c>
      <c r="AA1095" s="10">
        <f t="shared" si="642"/>
        <v>4330.8540000000003</v>
      </c>
      <c r="AB1095" s="3">
        <f t="shared" si="643"/>
        <v>23083.64</v>
      </c>
      <c r="AC1095" s="3" cm="1">
        <f t="array" ref="AC1095">100000000/LvacE(AA1095)</f>
        <v>23083.643619240975</v>
      </c>
      <c r="AD1095" s="10">
        <f t="shared" si="644"/>
        <v>7.6650221433510538E-3</v>
      </c>
      <c r="AE1095" s="10" t="b">
        <f t="shared" si="645"/>
        <v>1</v>
      </c>
      <c r="AP1095"/>
      <c r="AQ1095"/>
      <c r="AU1095" s="16" cm="1">
        <f t="array" ref="AU1095">$C1095*EXP(poly_from_str(100000000/$E1095,AU$4342))</f>
        <v>0.1178560124485694</v>
      </c>
    </row>
    <row r="1096" spans="1:47" x14ac:dyDescent="0.25">
      <c r="A1096" t="s">
        <v>1729</v>
      </c>
      <c r="B1096" s="2" t="str">
        <f t="shared" si="641"/>
        <v/>
      </c>
      <c r="C1096">
        <v>30</v>
      </c>
      <c r="E1096" t="s">
        <v>1730</v>
      </c>
      <c r="R1096">
        <v>11</v>
      </c>
      <c r="S1096" t="s">
        <v>22</v>
      </c>
      <c r="AA1096" s="10">
        <f t="shared" si="642"/>
        <v>4330.5690000000004</v>
      </c>
      <c r="AB1096" s="3">
        <f t="shared" si="643"/>
        <v>23085.16</v>
      </c>
      <c r="AC1096" s="3" cm="1">
        <f t="array" ref="AC1096">100000000/LvacE(AA1096)</f>
        <v>23085.162754479712</v>
      </c>
      <c r="AD1096" s="10">
        <f t="shared" si="644"/>
        <v>7.665372928416533E-3</v>
      </c>
      <c r="AE1096" s="10" t="b">
        <f t="shared" si="645"/>
        <v>1</v>
      </c>
      <c r="AP1096"/>
      <c r="AQ1096"/>
      <c r="AU1096" s="16" cm="1">
        <f t="array" ref="AU1096">$C1096*EXP(poly_from_str(100000000/$E1096,AU$4342))</f>
        <v>1.1783786540517864</v>
      </c>
    </row>
    <row r="1097" spans="1:47" x14ac:dyDescent="0.25">
      <c r="A1097" t="s">
        <v>1731</v>
      </c>
      <c r="B1097" s="2" t="str">
        <f t="shared" si="641"/>
        <v/>
      </c>
      <c r="C1097">
        <v>2</v>
      </c>
      <c r="D1097" t="s">
        <v>14</v>
      </c>
      <c r="E1097" t="s">
        <v>1732</v>
      </c>
      <c r="R1097">
        <v>11</v>
      </c>
      <c r="S1097" t="s">
        <v>22</v>
      </c>
      <c r="AA1097" s="10">
        <f t="shared" si="642"/>
        <v>4329.1869999999999</v>
      </c>
      <c r="AB1097" s="3">
        <f t="shared" si="643"/>
        <v>23092.53</v>
      </c>
      <c r="AC1097" s="3" cm="1">
        <f t="array" ref="AC1097">100000000/LvacE(AA1097)</f>
        <v>23092.532064270566</v>
      </c>
      <c r="AD1097" s="10">
        <f t="shared" si="644"/>
        <v>7.6670749108632367E-3</v>
      </c>
      <c r="AE1097" s="10" t="b">
        <f t="shared" si="645"/>
        <v>1</v>
      </c>
      <c r="AP1097"/>
      <c r="AQ1097"/>
      <c r="AU1097" s="16" cm="1">
        <f t="array" ref="AU1097">$C1097*EXP(poly_from_str(100000000/$E1097,AU$4342))</f>
        <v>7.8501401868532009E-2</v>
      </c>
    </row>
    <row r="1098" spans="1:47" x14ac:dyDescent="0.25">
      <c r="A1098" t="s">
        <v>1733</v>
      </c>
      <c r="B1098" s="2" t="str">
        <f t="shared" si="641"/>
        <v/>
      </c>
      <c r="C1098">
        <v>4</v>
      </c>
      <c r="D1098" t="s">
        <v>1156</v>
      </c>
      <c r="E1098" t="s">
        <v>1734</v>
      </c>
      <c r="R1098">
        <v>11</v>
      </c>
      <c r="S1098" t="s">
        <v>22</v>
      </c>
      <c r="AA1098" s="10">
        <f t="shared" si="642"/>
        <v>4328.5389999999998</v>
      </c>
      <c r="AB1098" s="3">
        <f t="shared" si="643"/>
        <v>23095.99</v>
      </c>
      <c r="AC1098" s="3" cm="1">
        <f t="array" ref="AC1098">100000000/LvacE(AA1098)</f>
        <v>23095.98904850199</v>
      </c>
      <c r="AD1098" s="10">
        <f t="shared" si="644"/>
        <v>7.6678735074931746E-3</v>
      </c>
      <c r="AE1098" s="10" t="b">
        <f t="shared" si="645"/>
        <v>1</v>
      </c>
      <c r="AP1098"/>
      <c r="AQ1098"/>
      <c r="AU1098" s="16" cm="1">
        <f t="array" ref="AU1098">$C1098*EXP(poly_from_str(100000000/$E1098,AU$4342))</f>
        <v>0.1569508119238941</v>
      </c>
    </row>
    <row r="1099" spans="1:47" x14ac:dyDescent="0.25">
      <c r="A1099" t="s">
        <v>1735</v>
      </c>
      <c r="B1099" s="2" t="str">
        <f t="shared" si="641"/>
        <v/>
      </c>
      <c r="C1099">
        <v>9</v>
      </c>
      <c r="E1099" t="s">
        <v>1736</v>
      </c>
      <c r="R1099">
        <v>11</v>
      </c>
      <c r="S1099" t="s">
        <v>22</v>
      </c>
      <c r="AA1099" s="10">
        <f t="shared" si="642"/>
        <v>4328.0609999999997</v>
      </c>
      <c r="AB1099" s="3">
        <f t="shared" si="643"/>
        <v>23098.54</v>
      </c>
      <c r="AC1099" s="3" cm="1">
        <f t="array" ref="AC1099">100000000/LvacE(AA1099)</f>
        <v>23098.539771269003</v>
      </c>
      <c r="AD1099" s="10">
        <f t="shared" si="644"/>
        <v>7.6684628256474445E-3</v>
      </c>
      <c r="AE1099" s="10" t="b">
        <f t="shared" si="645"/>
        <v>1</v>
      </c>
      <c r="AP1099"/>
      <c r="AQ1099"/>
      <c r="AU1099" s="16" cm="1">
        <f t="array" ref="AU1099">$C1099*EXP(poly_from_str(100000000/$E1099,AU$4342))</f>
        <v>0.35305466365271637</v>
      </c>
    </row>
    <row r="1100" spans="1:47" x14ac:dyDescent="0.25">
      <c r="A1100" t="s">
        <v>1737</v>
      </c>
      <c r="B1100" s="2" t="str">
        <f t="shared" si="641"/>
        <v/>
      </c>
      <c r="C1100">
        <v>5</v>
      </c>
      <c r="E1100" t="s">
        <v>1738</v>
      </c>
      <c r="R1100">
        <v>11</v>
      </c>
      <c r="S1100" t="s">
        <v>22</v>
      </c>
      <c r="AA1100" s="10">
        <f t="shared" si="642"/>
        <v>4327.3549999999996</v>
      </c>
      <c r="AB1100" s="3">
        <f t="shared" si="643"/>
        <v>23102.31</v>
      </c>
      <c r="AC1100" s="3" cm="1">
        <f t="array" ref="AC1100">100000000/LvacE(AA1100)</f>
        <v>23102.308187536328</v>
      </c>
      <c r="AD1100" s="10">
        <f t="shared" si="644"/>
        <v>7.6693335984147747E-3</v>
      </c>
      <c r="AE1100" s="10" t="b">
        <f t="shared" si="645"/>
        <v>1</v>
      </c>
      <c r="AP1100"/>
      <c r="AQ1100"/>
      <c r="AU1100" s="16" cm="1">
        <f t="array" ref="AU1100">$C1100*EXP(poly_from_str(100000000/$E1100,AU$4342))</f>
        <v>0.19607327822502854</v>
      </c>
    </row>
    <row r="1101" spans="1:47" x14ac:dyDescent="0.25">
      <c r="A1101" t="s">
        <v>1739</v>
      </c>
      <c r="B1101" s="2" t="str">
        <f t="shared" si="641"/>
        <v/>
      </c>
      <c r="C1101">
        <v>4</v>
      </c>
      <c r="E1101" t="s">
        <v>1740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642"/>
        <v>4325.8969999999999</v>
      </c>
      <c r="AB1101" s="3">
        <f t="shared" si="643"/>
        <v>23110.09</v>
      </c>
      <c r="AC1101" s="3" cm="1">
        <f t="array" ref="AC1101">100000000/LvacE(AA1101)</f>
        <v>23110.094447237643</v>
      </c>
      <c r="AD1101" s="10">
        <f t="shared" si="644"/>
        <v>7.6711332293900713E-3</v>
      </c>
      <c r="AE1101" s="10" t="b">
        <f t="shared" si="645"/>
        <v>1</v>
      </c>
      <c r="AJ1101" t="s">
        <v>4856</v>
      </c>
      <c r="AK1101" t="s">
        <v>4779</v>
      </c>
      <c r="AL1101">
        <v>17095.63</v>
      </c>
      <c r="AM1101">
        <v>40205.74</v>
      </c>
      <c r="AN1101" s="10" cm="1">
        <f t="array" ref="AN1101">Lair(100000000/($AM1101-$AL1101))</f>
        <v>4325.8940867059</v>
      </c>
      <c r="AO1101" s="10">
        <f>100000000/($AM1101-$AL1101)</f>
        <v>4327.110515700705</v>
      </c>
      <c r="AU1101" s="16" cm="1">
        <f t="array" ref="AU1101">$C1101*EXP(poly_from_str(100000000/$E1101,AU$4342))</f>
        <v>0.1567500440806962</v>
      </c>
    </row>
    <row r="1102" spans="1:47" x14ac:dyDescent="0.25">
      <c r="A1102" t="s">
        <v>1741</v>
      </c>
      <c r="B1102" s="2" t="str">
        <f t="shared" si="641"/>
        <v/>
      </c>
      <c r="C1102">
        <v>2</v>
      </c>
      <c r="D1102" t="s">
        <v>14</v>
      </c>
      <c r="E1102" t="s">
        <v>1742</v>
      </c>
      <c r="R1102">
        <v>11</v>
      </c>
      <c r="S1102" t="s">
        <v>22</v>
      </c>
      <c r="AA1102" s="10">
        <f t="shared" si="642"/>
        <v>4325.6819999999998</v>
      </c>
      <c r="AB1102" s="3">
        <f t="shared" si="643"/>
        <v>23111.24</v>
      </c>
      <c r="AC1102" s="3" cm="1">
        <f t="array" ref="AC1102">100000000/LvacE(AA1102)</f>
        <v>23111.243070880093</v>
      </c>
      <c r="AD1102" s="10">
        <f t="shared" si="644"/>
        <v>7.6713987610369985E-3</v>
      </c>
      <c r="AE1102" s="10" t="b">
        <f t="shared" si="645"/>
        <v>1</v>
      </c>
      <c r="AP1102"/>
      <c r="AQ1102"/>
      <c r="AU1102" s="16" cm="1">
        <f t="array" ref="AU1102">$C1102*EXP(poly_from_str(100000000/$E1102,AU$4342))</f>
        <v>7.8367226070083992E-2</v>
      </c>
    </row>
    <row r="1103" spans="1:47" x14ac:dyDescent="0.25">
      <c r="A1103" t="s">
        <v>1743</v>
      </c>
      <c r="B1103" s="2" t="str">
        <f t="shared" si="641"/>
        <v/>
      </c>
      <c r="C1103">
        <v>25</v>
      </c>
      <c r="E1103" t="s">
        <v>1744</v>
      </c>
      <c r="R1103">
        <v>11</v>
      </c>
      <c r="S1103" t="s">
        <v>22</v>
      </c>
      <c r="AA1103" s="10">
        <f t="shared" si="642"/>
        <v>4325.4790000000003</v>
      </c>
      <c r="AB1103" s="3">
        <f t="shared" si="643"/>
        <v>23112.33</v>
      </c>
      <c r="AC1103" s="3" cm="1">
        <f t="array" ref="AC1103">100000000/LvacE(AA1103)</f>
        <v>23112.327690096841</v>
      </c>
      <c r="AD1103" s="10">
        <f t="shared" si="644"/>
        <v>7.6716495086552082E-3</v>
      </c>
      <c r="AE1103" s="10" t="b">
        <f t="shared" si="645"/>
        <v>1</v>
      </c>
      <c r="AP1103"/>
      <c r="AQ1103"/>
      <c r="AU1103" s="16" cm="1">
        <f t="array" ref="AU1103">$C1103*EXP(poly_from_str(100000000/$E1103,AU$4342))</f>
        <v>0.97949863871964293</v>
      </c>
    </row>
    <row r="1104" spans="1:47" x14ac:dyDescent="0.25">
      <c r="A1104" t="s">
        <v>1745</v>
      </c>
      <c r="B1104" s="2" t="str">
        <f t="shared" si="641"/>
        <v/>
      </c>
      <c r="C1104">
        <v>4</v>
      </c>
      <c r="E1104" t="s">
        <v>1746</v>
      </c>
      <c r="R1104">
        <v>11</v>
      </c>
      <c r="S1104" t="s">
        <v>22</v>
      </c>
      <c r="AA1104" s="10">
        <f t="shared" si="642"/>
        <v>4324.8519999999999</v>
      </c>
      <c r="AB1104" s="3">
        <f t="shared" si="643"/>
        <v>23115.68</v>
      </c>
      <c r="AC1104" s="3" cm="1">
        <f t="array" ref="AC1104">100000000/LvacE(AA1104)</f>
        <v>23115.678363779058</v>
      </c>
      <c r="AD1104" s="10">
        <f t="shared" si="644"/>
        <v>7.6724242082479421E-3</v>
      </c>
      <c r="AE1104" s="10" t="b">
        <f t="shared" si="645"/>
        <v>1</v>
      </c>
      <c r="AP1104"/>
      <c r="AQ1104"/>
      <c r="AU1104" s="16" cm="1">
        <f t="array" ref="AU1104">$C1104*EXP(poly_from_str(100000000/$E1104,AU$4342))</f>
        <v>0.15667535568629989</v>
      </c>
    </row>
    <row r="1105" spans="1:48" x14ac:dyDescent="0.25">
      <c r="A1105" t="s">
        <v>1747</v>
      </c>
      <c r="B1105" s="2" t="str">
        <f t="shared" si="641"/>
        <v/>
      </c>
      <c r="C1105">
        <v>2</v>
      </c>
      <c r="E1105" t="s">
        <v>1748</v>
      </c>
      <c r="R1105">
        <v>11</v>
      </c>
      <c r="S1105" t="s">
        <v>22</v>
      </c>
      <c r="AA1105" s="10">
        <f t="shared" si="642"/>
        <v>4324.7359999999999</v>
      </c>
      <c r="AB1105" s="3">
        <f t="shared" si="643"/>
        <v>23116.3</v>
      </c>
      <c r="AC1105" s="3" cm="1">
        <f t="array" ref="AC1105">100000000/LvacE(AA1105)</f>
        <v>23116.298371627603</v>
      </c>
      <c r="AD1105" s="10">
        <f t="shared" si="644"/>
        <v>7.6725675707867026E-3</v>
      </c>
      <c r="AE1105" s="10" t="b">
        <f t="shared" si="645"/>
        <v>1</v>
      </c>
      <c r="AP1105"/>
      <c r="AQ1105"/>
      <c r="AU1105" s="16" cm="1">
        <f t="array" ref="AU1105">$C1105*EXP(poly_from_str(100000000/$E1105,AU$4342))</f>
        <v>7.8333621272141121E-2</v>
      </c>
    </row>
    <row r="1106" spans="1:48" x14ac:dyDescent="0.25">
      <c r="A1106" t="s">
        <v>1749</v>
      </c>
      <c r="B1106" s="2" t="str">
        <f t="shared" si="641"/>
        <v/>
      </c>
      <c r="C1106">
        <v>4</v>
      </c>
      <c r="D1106" t="s">
        <v>14</v>
      </c>
      <c r="E1106" t="s">
        <v>1750</v>
      </c>
      <c r="R1106">
        <v>11</v>
      </c>
      <c r="S1106" t="s">
        <v>22</v>
      </c>
      <c r="AA1106" s="10">
        <f t="shared" si="642"/>
        <v>4324.4830000000002</v>
      </c>
      <c r="AB1106" s="3">
        <f t="shared" si="643"/>
        <v>23117.65</v>
      </c>
      <c r="AC1106" s="3" cm="1">
        <f t="array" ref="AC1106">100000000/LvacE(AA1106)</f>
        <v>23117.650745507188</v>
      </c>
      <c r="AD1106" s="10">
        <f t="shared" si="644"/>
        <v>7.6728802894481477E-3</v>
      </c>
      <c r="AE1106" s="10" t="b">
        <f t="shared" si="645"/>
        <v>1</v>
      </c>
      <c r="AP1106"/>
      <c r="AQ1106"/>
      <c r="AU1106" s="16" cm="1">
        <f t="array" ref="AU1106">$C1106*EXP(poly_from_str(100000000/$E1106,AU$4342))</f>
        <v>0.15664969452445213</v>
      </c>
    </row>
    <row r="1107" spans="1:48" x14ac:dyDescent="0.25">
      <c r="A1107" t="s">
        <v>1751</v>
      </c>
      <c r="B1107" s="2" t="str">
        <f t="shared" si="641"/>
        <v/>
      </c>
      <c r="C1107">
        <v>25</v>
      </c>
      <c r="E1107" t="s">
        <v>1752</v>
      </c>
      <c r="R1107">
        <v>11</v>
      </c>
      <c r="S1107" t="s">
        <v>22</v>
      </c>
      <c r="AA1107" s="10">
        <f t="shared" si="642"/>
        <v>4323.607</v>
      </c>
      <c r="AB1107" s="3">
        <f t="shared" si="643"/>
        <v>23122.33</v>
      </c>
      <c r="AC1107" s="3" cm="1">
        <f t="array" ref="AC1107">100000000/LvacE(AA1107)</f>
        <v>23122.334495935916</v>
      </c>
      <c r="AD1107" s="10">
        <f t="shared" si="644"/>
        <v>7.6739634864981853E-3</v>
      </c>
      <c r="AE1107" s="10" t="b">
        <f t="shared" si="645"/>
        <v>1</v>
      </c>
      <c r="AP1107"/>
      <c r="AQ1107"/>
      <c r="AU1107" s="16" cm="1">
        <f t="array" ref="AU1107">$C1107*EXP(poly_from_str(100000000/$E1107,AU$4342))</f>
        <v>0.97868817555168897</v>
      </c>
    </row>
    <row r="1108" spans="1:48" x14ac:dyDescent="0.25">
      <c r="A1108" t="s">
        <v>1753</v>
      </c>
      <c r="B1108" s="2" t="str">
        <f t="shared" si="641"/>
        <v/>
      </c>
      <c r="C1108">
        <v>10</v>
      </c>
      <c r="D1108" t="s">
        <v>14</v>
      </c>
      <c r="E1108" t="s">
        <v>1754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642"/>
        <v>4323.2439999999997</v>
      </c>
      <c r="AB1108" s="3">
        <f t="shared" si="643"/>
        <v>23124.28</v>
      </c>
      <c r="AC1108" s="3" cm="1">
        <f t="array" ref="AC1108">100000000/LvacE(AA1108)</f>
        <v>23124.275921338663</v>
      </c>
      <c r="AD1108" s="10">
        <f t="shared" si="644"/>
        <v>7.6744125385172189E-3</v>
      </c>
      <c r="AE1108" s="10" t="b">
        <f t="shared" si="645"/>
        <v>1</v>
      </c>
      <c r="AJ1108" t="s">
        <v>4818</v>
      </c>
      <c r="AK1108" t="s">
        <v>4768</v>
      </c>
      <c r="AL1108">
        <v>13887.6</v>
      </c>
      <c r="AM1108">
        <v>37011.919999999998</v>
      </c>
      <c r="AN1108" s="10" cm="1">
        <f t="array" ref="AN1108">Lair(100000000/($AM1108-$AL1108))</f>
        <v>4323.2357570620752</v>
      </c>
      <c r="AO1108" s="10">
        <f>100000000/($AM1108-$AL1108)</f>
        <v>4324.4514865734427</v>
      </c>
      <c r="AP1108" s="12">
        <v>101000</v>
      </c>
      <c r="AQ1108" s="3">
        <v>2E-3</v>
      </c>
      <c r="AR1108" s="3"/>
      <c r="AS1108" s="13">
        <f>EXP(AR$4341*$AM1108+AR$4342)*$AP1108/(100000000/($AM1108-$AL1108))</f>
        <v>0.12840396701271042</v>
      </c>
      <c r="AT1108" s="3"/>
      <c r="AU1108" s="16" cm="1">
        <f t="array" ref="AU1108">$C1108*EXP(poly_from_str(100000000/$E1108,AU$4342))</f>
        <v>0.39141462593185128</v>
      </c>
    </row>
    <row r="1109" spans="1:48" x14ac:dyDescent="0.25">
      <c r="A1109" t="s">
        <v>1755</v>
      </c>
      <c r="B1109" s="2" t="str">
        <f t="shared" si="641"/>
        <v/>
      </c>
      <c r="C1109">
        <v>30</v>
      </c>
      <c r="E1109" t="s">
        <v>1756</v>
      </c>
      <c r="R1109">
        <v>11</v>
      </c>
      <c r="S1109" t="s">
        <v>22</v>
      </c>
      <c r="AA1109" s="10">
        <f t="shared" si="642"/>
        <v>4322.3050000000003</v>
      </c>
      <c r="AB1109" s="3">
        <f t="shared" si="643"/>
        <v>23129.3</v>
      </c>
      <c r="AC1109" s="3" cm="1">
        <f t="array" ref="AC1109">100000000/LvacE(AA1109)</f>
        <v>23129.299468379206</v>
      </c>
      <c r="AD1109" s="10">
        <f t="shared" si="644"/>
        <v>7.6755746607862253E-3</v>
      </c>
      <c r="AE1109" s="10" t="b">
        <f t="shared" si="645"/>
        <v>1</v>
      </c>
      <c r="AP1109"/>
      <c r="AQ1109"/>
      <c r="AU1109" s="16" cm="1">
        <f t="array" ref="AU1109">$C1109*EXP(poly_from_str(100000000/$E1109,AU$4342))</f>
        <v>1.1737870517253008</v>
      </c>
    </row>
    <row r="1110" spans="1:48" x14ac:dyDescent="0.25">
      <c r="A1110" t="s">
        <v>1757</v>
      </c>
      <c r="B1110" s="2" t="str">
        <f t="shared" si="641"/>
        <v/>
      </c>
      <c r="C1110">
        <v>1</v>
      </c>
      <c r="E1110" t="s">
        <v>1758</v>
      </c>
      <c r="R1110">
        <v>11</v>
      </c>
      <c r="S1110" t="s">
        <v>22</v>
      </c>
      <c r="AA1110" s="10">
        <f t="shared" si="642"/>
        <v>4321.6030000000001</v>
      </c>
      <c r="AB1110" s="3">
        <f t="shared" si="643"/>
        <v>23133.06</v>
      </c>
      <c r="AC1110" s="3" cm="1">
        <f t="array" ref="AC1110">100000000/LvacE(AA1110)</f>
        <v>23133.056517450881</v>
      </c>
      <c r="AD1110" s="10">
        <f t="shared" si="644"/>
        <v>7.6764439627437873E-3</v>
      </c>
      <c r="AE1110" s="10" t="b">
        <f t="shared" si="645"/>
        <v>1</v>
      </c>
      <c r="AP1110"/>
      <c r="AQ1110"/>
      <c r="AU1110" s="16" cm="1">
        <f t="array" ref="AU1110">$C1110*EXP(poly_from_str(100000000/$E1110,AU$4342))</f>
        <v>3.9115191340925365E-2</v>
      </c>
    </row>
    <row r="1111" spans="1:48" x14ac:dyDescent="0.25">
      <c r="A1111" t="s">
        <v>1759</v>
      </c>
      <c r="B1111" s="2" t="str">
        <f t="shared" si="641"/>
        <v/>
      </c>
      <c r="C1111">
        <v>2</v>
      </c>
      <c r="E1111" t="s">
        <v>1760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646">$G1111&amp;""</f>
        <v>e</v>
      </c>
      <c r="N1111" t="str">
        <f t="shared" ref="N1111:N1113" si="647">$H1111&amp;""</f>
        <v>5/2</v>
      </c>
      <c r="O1111">
        <v>63232.14</v>
      </c>
      <c r="P1111" t="str">
        <f t="shared" ref="P1111:P1113" si="648">$J1111&amp;""</f>
        <v>o</v>
      </c>
      <c r="Q1111" t="str">
        <f t="shared" ref="Q1111:Q1113" si="649">$K1111&amp;""</f>
        <v>7/2</v>
      </c>
      <c r="R1111">
        <v>11</v>
      </c>
      <c r="AA1111" s="10">
        <f t="shared" si="642"/>
        <v>4321.53</v>
      </c>
      <c r="AB1111" s="3">
        <f t="shared" si="643"/>
        <v>23133.45</v>
      </c>
      <c r="AC1111" s="3" cm="1">
        <f t="array" ref="AC1111">100000000/LvacE(AA1111)</f>
        <v>23133.447277801228</v>
      </c>
      <c r="AD1111" s="10">
        <f t="shared" si="644"/>
        <v>7.6765343845583891E-3</v>
      </c>
      <c r="AE1111" s="10" t="b">
        <f t="shared" si="645"/>
        <v>1</v>
      </c>
      <c r="AJ1111" t="s">
        <v>4737</v>
      </c>
      <c r="AK1111" t="s">
        <v>4819</v>
      </c>
      <c r="AL1111">
        <v>40098.660000000003</v>
      </c>
      <c r="AM1111">
        <v>63232.14</v>
      </c>
      <c r="AN1111" s="10" cm="1">
        <f t="array" ref="AN1111">Lair(100000000/($AM1111-$AL1111))</f>
        <v>4321.5238851024842</v>
      </c>
      <c r="AO1111" s="10">
        <f t="shared" ref="AO1111:AO1113" si="650">100000000/($AM1111-$AL1111)</f>
        <v>4322.7391641897375</v>
      </c>
      <c r="AU1111" s="16" cm="1">
        <f t="array" ref="AU1111">$C1111*EXP(poly_from_str(100000000/$E1111,AU$4342))</f>
        <v>7.822812708793607E-2</v>
      </c>
    </row>
    <row r="1112" spans="1:48" x14ac:dyDescent="0.25">
      <c r="A1112" t="s">
        <v>1761</v>
      </c>
      <c r="B1112" s="2" t="str">
        <f t="shared" si="641"/>
        <v/>
      </c>
      <c r="C1112">
        <v>3</v>
      </c>
      <c r="E1112" t="s">
        <v>1762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646"/>
        <v>e</v>
      </c>
      <c r="N1112" t="str">
        <f t="shared" si="647"/>
        <v>3/2</v>
      </c>
      <c r="O1112">
        <v>68978.55</v>
      </c>
      <c r="P1112" t="str">
        <f t="shared" si="648"/>
        <v>o</v>
      </c>
      <c r="Q1112" t="str">
        <f t="shared" si="649"/>
        <v>5/2</v>
      </c>
      <c r="R1112">
        <v>11</v>
      </c>
      <c r="AA1112" s="10">
        <f t="shared" si="642"/>
        <v>4321.442</v>
      </c>
      <c r="AB1112" s="3">
        <f t="shared" si="643"/>
        <v>23133.919999999998</v>
      </c>
      <c r="AC1112" s="3" cm="1">
        <f t="array" ref="AC1112">100000000/LvacE(AA1112)</f>
        <v>23133.918348923344</v>
      </c>
      <c r="AD1112" s="10">
        <f t="shared" si="644"/>
        <v>7.6766433922893498E-3</v>
      </c>
      <c r="AE1112" s="10" t="b">
        <f t="shared" si="645"/>
        <v>1</v>
      </c>
      <c r="AJ1112" t="s">
        <v>4971</v>
      </c>
      <c r="AK1112" t="s">
        <v>4918</v>
      </c>
      <c r="AL1112">
        <v>45844.65</v>
      </c>
      <c r="AM1112">
        <v>68978.55</v>
      </c>
      <c r="AN1112" s="10" cm="1">
        <f t="array" ref="AN1112">Lair(100000000/($AM1112-$AL1112))</f>
        <v>4321.4454256607523</v>
      </c>
      <c r="AO1112" s="10">
        <f t="shared" si="650"/>
        <v>4322.6606841042794</v>
      </c>
      <c r="AP1112" s="12">
        <v>1280000</v>
      </c>
      <c r="AQ1112" s="3">
        <v>0.13400000000000001</v>
      </c>
      <c r="AR1112" s="3">
        <f t="shared" ref="AR1112:AR1113" si="651">LN(AU1112*100000000/($AM1112-$AL1112)/AP1112)</f>
        <v>-7.8334397875749131</v>
      </c>
      <c r="AS1112" s="13">
        <f t="shared" ref="AS1112:AS1113" si="652">EXP(AR$4341*$AM1112+AR$4342)*$AP1112/(100000000/($AM1112-$AL1112))</f>
        <v>0.14783522624253262</v>
      </c>
      <c r="AT1112" s="3">
        <f t="shared" ref="AT1112:AT1113" si="653">LN(AS1112/$C1112)</f>
        <v>-3.0102692503043662</v>
      </c>
      <c r="AU1112" s="16" cm="1">
        <f t="array" ref="AU1112">$C1112*EXP(poly_from_str(100000000/$E1112,AU$4342))</f>
        <v>0.11733812645385999</v>
      </c>
      <c r="AV1112" s="13">
        <f t="shared" ref="AV1112:AV1113" si="654">LN(AS1112/AU1112)</f>
        <v>0.23103858079121661</v>
      </c>
    </row>
    <row r="1113" spans="1:48" x14ac:dyDescent="0.25">
      <c r="A1113" t="s">
        <v>1763</v>
      </c>
      <c r="B1113" s="2" t="str">
        <f t="shared" si="641"/>
        <v/>
      </c>
      <c r="C1113">
        <v>7</v>
      </c>
      <c r="E1113" t="s">
        <v>1764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646"/>
        <v>e</v>
      </c>
      <c r="N1113" t="str">
        <f t="shared" si="647"/>
        <v>3/2</v>
      </c>
      <c r="O1113">
        <v>71536.38</v>
      </c>
      <c r="P1113" t="str">
        <f t="shared" si="648"/>
        <v>o</v>
      </c>
      <c r="Q1113" t="str">
        <f t="shared" si="649"/>
        <v>5/2</v>
      </c>
      <c r="R1113">
        <v>11</v>
      </c>
      <c r="AA1113" s="10">
        <f t="shared" si="642"/>
        <v>4321.2979999999998</v>
      </c>
      <c r="AB1113" s="3">
        <f t="shared" si="643"/>
        <v>23134.69</v>
      </c>
      <c r="AC1113" s="3" cm="1">
        <f t="array" ref="AC1113">100000000/LvacE(AA1113)</f>
        <v>23134.689233961246</v>
      </c>
      <c r="AD1113" s="10">
        <f t="shared" si="644"/>
        <v>7.6768217829412885E-3</v>
      </c>
      <c r="AE1113" s="10" t="b">
        <f t="shared" si="645"/>
        <v>1</v>
      </c>
      <c r="AJ1113" t="s">
        <v>4945</v>
      </c>
      <c r="AK1113" t="s">
        <v>4860</v>
      </c>
      <c r="AL1113">
        <v>48401.64</v>
      </c>
      <c r="AM1113">
        <v>71536.38</v>
      </c>
      <c r="AN1113" s="10" cm="1">
        <f t="array" ref="AN1113">Lair(100000000/($AM1113-$AL1113))</f>
        <v>4321.2885153235547</v>
      </c>
      <c r="AO1113" s="10">
        <f t="shared" si="650"/>
        <v>4322.5037324819723</v>
      </c>
      <c r="AP1113" s="12">
        <v>994000</v>
      </c>
      <c r="AQ1113" s="3">
        <v>9.1999999999999998E-2</v>
      </c>
      <c r="AR1113" s="3">
        <f t="shared" si="651"/>
        <v>-6.7333565665975845</v>
      </c>
      <c r="AS1113" s="13">
        <f t="shared" si="652"/>
        <v>9.4755474716823176E-2</v>
      </c>
      <c r="AT1113" s="3">
        <f t="shared" si="653"/>
        <v>-4.3023658050916644</v>
      </c>
      <c r="AU1113" s="16" cm="1">
        <f t="array" ref="AU1113">$C1113*EXP(poly_from_str(100000000/$E1113,AU$4342))</f>
        <v>0.27377349856825395</v>
      </c>
      <c r="AV1113" s="13">
        <f t="shared" si="654"/>
        <v>-1.0610014940196604</v>
      </c>
    </row>
    <row r="1114" spans="1:48" x14ac:dyDescent="0.25">
      <c r="A1114" t="s">
        <v>1765</v>
      </c>
      <c r="B1114" s="2" t="str">
        <f t="shared" si="641"/>
        <v/>
      </c>
      <c r="C1114">
        <v>4</v>
      </c>
      <c r="D1114" t="s">
        <v>143</v>
      </c>
      <c r="E1114" t="s">
        <v>1766</v>
      </c>
      <c r="R1114">
        <v>11</v>
      </c>
      <c r="S1114" t="s">
        <v>22</v>
      </c>
      <c r="AA1114" s="10">
        <f t="shared" si="642"/>
        <v>4320.7619999999997</v>
      </c>
      <c r="AB1114" s="3">
        <f t="shared" si="643"/>
        <v>23137.56</v>
      </c>
      <c r="AC1114" s="3" cm="1">
        <f t="array" ref="AC1114">100000000/LvacE(AA1114)</f>
        <v>23137.559090952993</v>
      </c>
      <c r="AD1114" s="10">
        <f t="shared" si="644"/>
        <v>7.6774859493479383E-3</v>
      </c>
      <c r="AE1114" s="10" t="b">
        <f t="shared" si="645"/>
        <v>1</v>
      </c>
      <c r="AP1114"/>
      <c r="AQ1114"/>
      <c r="AU1114" s="16" cm="1">
        <f t="array" ref="AU1114">$C1114*EXP(poly_from_str(100000000/$E1114,AU$4342))</f>
        <v>0.15640952032749644</v>
      </c>
    </row>
    <row r="1115" spans="1:48" x14ac:dyDescent="0.25">
      <c r="A1115" t="s">
        <v>1767</v>
      </c>
      <c r="B1115" s="2" t="str">
        <f t="shared" si="641"/>
        <v/>
      </c>
      <c r="C1115">
        <v>5</v>
      </c>
      <c r="D1115" t="s">
        <v>14</v>
      </c>
      <c r="E1115" t="s">
        <v>1768</v>
      </c>
      <c r="R1115">
        <v>11</v>
      </c>
      <c r="S1115" t="s">
        <v>22</v>
      </c>
      <c r="AA1115" s="10">
        <f t="shared" si="642"/>
        <v>4320.625</v>
      </c>
      <c r="AB1115" s="3">
        <f t="shared" si="643"/>
        <v>23138.29</v>
      </c>
      <c r="AC1115" s="3" cm="1">
        <f t="array" ref="AC1115">100000000/LvacE(AA1115)</f>
        <v>23138.292732087477</v>
      </c>
      <c r="AD1115" s="10">
        <f t="shared" si="644"/>
        <v>7.6776557479632549E-3</v>
      </c>
      <c r="AE1115" s="10" t="b">
        <f t="shared" si="645"/>
        <v>1</v>
      </c>
      <c r="AP1115"/>
      <c r="AQ1115"/>
      <c r="AU1115" s="16" cm="1">
        <f t="array" ref="AU1115">$C1115*EXP(poly_from_str(100000000/$E1115,AU$4342))</f>
        <v>0.1955017170704918</v>
      </c>
    </row>
    <row r="1116" spans="1:48" x14ac:dyDescent="0.25">
      <c r="A1116" t="s">
        <v>1769</v>
      </c>
      <c r="B1116" s="2" t="str">
        <f t="shared" si="641"/>
        <v/>
      </c>
      <c r="C1116">
        <v>3</v>
      </c>
      <c r="E1116" t="s">
        <v>1770</v>
      </c>
      <c r="R1116">
        <v>11</v>
      </c>
      <c r="S1116" t="s">
        <v>22</v>
      </c>
      <c r="AA1116" s="10">
        <f t="shared" si="642"/>
        <v>4319.8119999999999</v>
      </c>
      <c r="AB1116" s="3">
        <f t="shared" si="643"/>
        <v>23142.65</v>
      </c>
      <c r="AC1116" s="3" cm="1">
        <f t="array" ref="AC1116">100000000/LvacE(AA1116)</f>
        <v>23142.647340905409</v>
      </c>
      <c r="AD1116" s="10">
        <f t="shared" si="644"/>
        <v>7.6786637174147175E-3</v>
      </c>
      <c r="AE1116" s="10" t="b">
        <f t="shared" si="645"/>
        <v>1</v>
      </c>
      <c r="AP1116"/>
      <c r="AQ1116"/>
      <c r="AU1116" s="16" cm="1">
        <f t="array" ref="AU1116">$C1116*EXP(poly_from_str(100000000/$E1116,AU$4342))</f>
        <v>0.11726526136302645</v>
      </c>
    </row>
    <row r="1117" spans="1:48" x14ac:dyDescent="0.25">
      <c r="A1117" t="s">
        <v>1771</v>
      </c>
      <c r="B1117" s="2" t="str">
        <f t="shared" si="641"/>
        <v/>
      </c>
      <c r="C1117">
        <v>3</v>
      </c>
      <c r="E1117" t="s">
        <v>1772</v>
      </c>
      <c r="R1117">
        <v>11</v>
      </c>
      <c r="S1117" t="s">
        <v>22</v>
      </c>
      <c r="AA1117" s="10">
        <f t="shared" si="642"/>
        <v>4319.268</v>
      </c>
      <c r="AB1117" s="3">
        <f t="shared" si="643"/>
        <v>23145.56</v>
      </c>
      <c r="AC1117" s="3" cm="1">
        <f t="array" ref="AC1117">100000000/LvacE(AA1117)</f>
        <v>23145.56204130323</v>
      </c>
      <c r="AD1117" s="10">
        <f t="shared" si="644"/>
        <v>7.6793384945438945E-3</v>
      </c>
      <c r="AE1117" s="10" t="b">
        <f t="shared" si="645"/>
        <v>1</v>
      </c>
      <c r="AP1117"/>
      <c r="AQ1117"/>
      <c r="AU1117" s="16" cm="1">
        <f t="array" ref="AU1117">$C1117*EXP(poly_from_str(100000000/$E1117,AU$4342))</f>
        <v>0.11724207666020381</v>
      </c>
    </row>
    <row r="1118" spans="1:48" x14ac:dyDescent="0.25">
      <c r="A1118" t="s">
        <v>1773</v>
      </c>
      <c r="B1118" s="2" t="str">
        <f t="shared" si="641"/>
        <v/>
      </c>
      <c r="C1118">
        <v>4</v>
      </c>
      <c r="D1118" t="s">
        <v>14</v>
      </c>
      <c r="E1118" t="s">
        <v>1774</v>
      </c>
      <c r="R1118">
        <v>11</v>
      </c>
      <c r="S1118" t="s">
        <v>22</v>
      </c>
      <c r="AA1118" s="10">
        <f t="shared" si="642"/>
        <v>4317.6120000000001</v>
      </c>
      <c r="AB1118" s="3">
        <f t="shared" si="643"/>
        <v>23154.44</v>
      </c>
      <c r="AC1118" s="3" cm="1">
        <f t="array" ref="AC1118">100000000/LvacE(AA1118)</f>
        <v>23154.439253087723</v>
      </c>
      <c r="AD1118" s="10">
        <f t="shared" si="644"/>
        <v>7.6813941656971169E-3</v>
      </c>
      <c r="AE1118" s="10" t="b">
        <f t="shared" si="645"/>
        <v>1</v>
      </c>
      <c r="AP1118"/>
      <c r="AQ1118"/>
      <c r="AU1118" s="16" cm="1">
        <f t="array" ref="AU1118">$C1118*EXP(poly_from_str(100000000/$E1118,AU$4342))</f>
        <v>0.15623296196748457</v>
      </c>
    </row>
    <row r="1119" spans="1:48" x14ac:dyDescent="0.25">
      <c r="A1119" t="s">
        <v>1775</v>
      </c>
      <c r="B1119" s="2" t="str">
        <f t="shared" si="641"/>
        <v/>
      </c>
      <c r="C1119">
        <v>3</v>
      </c>
      <c r="D1119" t="s">
        <v>14</v>
      </c>
      <c r="E1119" t="s">
        <v>1776</v>
      </c>
      <c r="R1119">
        <v>11</v>
      </c>
      <c r="S1119" t="s">
        <v>22</v>
      </c>
      <c r="AA1119" s="10">
        <f t="shared" si="642"/>
        <v>4316.6589999999997</v>
      </c>
      <c r="AB1119" s="3">
        <f t="shared" si="643"/>
        <v>23159.55</v>
      </c>
      <c r="AC1119" s="3" cm="1">
        <f t="array" ref="AC1119">100000000/LvacE(AA1119)</f>
        <v>23159.551025984794</v>
      </c>
      <c r="AD1119" s="10">
        <f t="shared" si="644"/>
        <v>7.682578242337975E-3</v>
      </c>
      <c r="AE1119" s="10" t="b">
        <f t="shared" si="645"/>
        <v>1</v>
      </c>
      <c r="AP1119"/>
      <c r="AQ1119"/>
      <c r="AU1119" s="16" cm="1">
        <f t="array" ref="AU1119">$C1119*EXP(poly_from_str(100000000/$E1119,AU$4342))</f>
        <v>0.11713826989497607</v>
      </c>
    </row>
    <row r="1120" spans="1:48" x14ac:dyDescent="0.25">
      <c r="A1120" t="s">
        <v>1777</v>
      </c>
      <c r="B1120" s="2" t="str">
        <f t="shared" si="641"/>
        <v/>
      </c>
      <c r="C1120">
        <v>90</v>
      </c>
      <c r="E1120" t="s">
        <v>1778</v>
      </c>
      <c r="R1120">
        <v>11</v>
      </c>
      <c r="S1120" t="s">
        <v>22</v>
      </c>
      <c r="AA1120" s="10">
        <f t="shared" si="642"/>
        <v>4316.3429999999998</v>
      </c>
      <c r="AB1120" s="3">
        <f t="shared" si="643"/>
        <v>23161.25</v>
      </c>
      <c r="AC1120" s="3" cm="1">
        <f t="array" ref="AC1120">100000000/LvacE(AA1120)</f>
        <v>23161.246508801145</v>
      </c>
      <c r="AD1120" s="10">
        <f t="shared" si="644"/>
        <v>7.6829710369172638E-3</v>
      </c>
      <c r="AE1120" s="10" t="b">
        <f t="shared" si="645"/>
        <v>1</v>
      </c>
      <c r="AP1120"/>
      <c r="AQ1120"/>
      <c r="AU1120" s="16" cm="1">
        <f t="array" ref="AU1120">$C1120*EXP(poly_from_str(100000000/$E1120,AU$4342))</f>
        <v>3.5137954646709844</v>
      </c>
    </row>
    <row r="1121" spans="1:48" x14ac:dyDescent="0.25">
      <c r="A1121" t="s">
        <v>1779</v>
      </c>
      <c r="B1121" s="2" t="str">
        <f t="shared" si="641"/>
        <v/>
      </c>
      <c r="C1121">
        <v>1</v>
      </c>
      <c r="E1121" t="s">
        <v>1780</v>
      </c>
      <c r="R1121">
        <v>11</v>
      </c>
      <c r="S1121" t="s">
        <v>22</v>
      </c>
      <c r="AA1121" s="10">
        <f t="shared" si="642"/>
        <v>4315.3590000000004</v>
      </c>
      <c r="AB1121" s="3">
        <f t="shared" si="643"/>
        <v>23166.53</v>
      </c>
      <c r="AC1121" s="3" cm="1">
        <f t="array" ref="AC1121">100000000/LvacE(AA1121)</f>
        <v>23166.52770395267</v>
      </c>
      <c r="AD1121" s="10">
        <f t="shared" si="644"/>
        <v>7.6841947221485711E-3</v>
      </c>
      <c r="AE1121" s="10" t="b">
        <f t="shared" si="645"/>
        <v>1</v>
      </c>
      <c r="AP1121"/>
      <c r="AQ1121"/>
      <c r="AU1121" s="16" cm="1">
        <f t="array" ref="AU1121">$C1121*EXP(poly_from_str(100000000/$E1121,AU$4342))</f>
        <v>3.9030396528795717E-2</v>
      </c>
    </row>
    <row r="1122" spans="1:48" x14ac:dyDescent="0.25">
      <c r="A1122" t="s">
        <v>1781</v>
      </c>
      <c r="B1122" s="2" t="str">
        <f t="shared" si="641"/>
        <v/>
      </c>
      <c r="C1122">
        <v>4</v>
      </c>
      <c r="E1122" t="s">
        <v>1782</v>
      </c>
      <c r="R1122">
        <v>11</v>
      </c>
      <c r="S1122" t="s">
        <v>22</v>
      </c>
      <c r="AA1122" s="10">
        <f t="shared" si="642"/>
        <v>4314.3549999999996</v>
      </c>
      <c r="AB1122" s="3">
        <f t="shared" si="643"/>
        <v>23171.919999999998</v>
      </c>
      <c r="AC1122" s="3" cm="1">
        <f t="array" ref="AC1122">100000000/LvacE(AA1122)</f>
        <v>23171.918723365903</v>
      </c>
      <c r="AD1122" s="10">
        <f t="shared" si="644"/>
        <v>7.6854441420984021E-3</v>
      </c>
      <c r="AE1122" s="10" t="b">
        <f t="shared" si="645"/>
        <v>1</v>
      </c>
      <c r="AP1122"/>
      <c r="AQ1122"/>
      <c r="AU1122" s="16" cm="1">
        <f t="array" ref="AU1122">$C1122*EXP(poly_from_str(100000000/$E1122,AU$4342))</f>
        <v>0.1560759555761127</v>
      </c>
    </row>
    <row r="1123" spans="1:48" x14ac:dyDescent="0.25">
      <c r="A1123" t="s">
        <v>1783</v>
      </c>
      <c r="B1123" s="2" t="str">
        <f t="shared" si="641"/>
        <v/>
      </c>
      <c r="C1123">
        <v>3</v>
      </c>
      <c r="E1123" t="s">
        <v>1784</v>
      </c>
      <c r="R1123">
        <v>11</v>
      </c>
      <c r="S1123" t="s">
        <v>22</v>
      </c>
      <c r="AA1123" s="10">
        <f t="shared" si="642"/>
        <v>4312.1509999999998</v>
      </c>
      <c r="AB1123" s="3">
        <f t="shared" si="643"/>
        <v>23183.759999999998</v>
      </c>
      <c r="AC1123" s="3" cm="1">
        <f t="array" ref="AC1123">100000000/LvacE(AA1123)</f>
        <v>23183.761996205409</v>
      </c>
      <c r="AD1123" s="10">
        <f t="shared" si="644"/>
        <v>7.6881899539470453E-3</v>
      </c>
      <c r="AE1123" s="10" t="b">
        <f t="shared" si="645"/>
        <v>1</v>
      </c>
      <c r="AP1123"/>
      <c r="AQ1123"/>
      <c r="AU1123" s="16" cm="1">
        <f t="array" ref="AU1123">$C1123*EXP(poly_from_str(100000000/$E1123,AU$4342))</f>
        <v>0.11698827942109213</v>
      </c>
    </row>
    <row r="1124" spans="1:48" x14ac:dyDescent="0.25">
      <c r="A1124" t="s">
        <v>1785</v>
      </c>
      <c r="B1124" s="2" t="str">
        <f t="shared" si="641"/>
        <v/>
      </c>
      <c r="C1124">
        <v>9</v>
      </c>
      <c r="D1124" t="s">
        <v>14</v>
      </c>
      <c r="E1124" t="s">
        <v>1786</v>
      </c>
      <c r="R1124">
        <v>11</v>
      </c>
      <c r="S1124" t="s">
        <v>22</v>
      </c>
      <c r="AA1124" s="10">
        <f t="shared" si="642"/>
        <v>4311.7889999999998</v>
      </c>
      <c r="AB1124" s="3">
        <f t="shared" si="643"/>
        <v>23185.71</v>
      </c>
      <c r="AC1124" s="3" cm="1">
        <f t="array" ref="AC1124">100000000/LvacE(AA1124)</f>
        <v>23185.708373745674</v>
      </c>
      <c r="AD1124" s="10">
        <f t="shared" si="644"/>
        <v>7.6886413474483188E-3</v>
      </c>
      <c r="AE1124" s="10" t="b">
        <f t="shared" si="645"/>
        <v>1</v>
      </c>
      <c r="AP1124"/>
      <c r="AQ1124"/>
      <c r="AU1124" s="16" cm="1">
        <f t="array" ref="AU1124">$C1124*EXP(poly_from_str(100000000/$E1124,AU$4342))</f>
        <v>0.35093345533424503</v>
      </c>
    </row>
    <row r="1125" spans="1:48" x14ac:dyDescent="0.25">
      <c r="A1125" t="s">
        <v>1787</v>
      </c>
      <c r="B1125" s="2" t="str">
        <f t="shared" si="641"/>
        <v/>
      </c>
      <c r="C1125">
        <v>9</v>
      </c>
      <c r="D1125" t="s">
        <v>14</v>
      </c>
      <c r="E1125" t="s">
        <v>1788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655">$G1125&amp;""</f>
        <v>o</v>
      </c>
      <c r="N1125" t="str">
        <f t="shared" ref="N1125:N1126" si="656">$H1125&amp;""</f>
        <v>13/2</v>
      </c>
      <c r="O1125">
        <v>26095.23</v>
      </c>
      <c r="P1125" t="str">
        <f t="shared" ref="P1125:P1126" si="657">$J1125&amp;""</f>
        <v>e</v>
      </c>
      <c r="Q1125" t="str">
        <f t="shared" ref="Q1125:Q1126" si="658">$K1125&amp;""</f>
        <v>11/2</v>
      </c>
      <c r="R1125">
        <v>11</v>
      </c>
      <c r="S1125" t="s">
        <v>6</v>
      </c>
      <c r="AA1125" s="10">
        <f t="shared" si="642"/>
        <v>4308.7449999999999</v>
      </c>
      <c r="AB1125" s="3">
        <f t="shared" si="643"/>
        <v>23202.09</v>
      </c>
      <c r="AC1125" s="3" cm="1">
        <f t="array" ref="AC1125">100000000/LvacE(AA1125)</f>
        <v>23202.088087951226</v>
      </c>
      <c r="AD1125" s="10">
        <f t="shared" si="644"/>
        <v>7.6924415448061129E-3</v>
      </c>
      <c r="AE1125" s="10" t="b">
        <f t="shared" si="645"/>
        <v>1</v>
      </c>
      <c r="AJ1125" t="s">
        <v>4977</v>
      </c>
      <c r="AK1125" t="s">
        <v>4738</v>
      </c>
      <c r="AL1125">
        <v>2893.14</v>
      </c>
      <c r="AM1125">
        <v>26095.23</v>
      </c>
      <c r="AN1125" s="10" cm="1">
        <f t="array" ref="AN1125">Lair(100000000/($AM1125-$AL1125))</f>
        <v>4308.7446428369913</v>
      </c>
      <c r="AO1125" s="10">
        <f t="shared" ref="AO1125:AO1126" si="659">100000000/($AM1125-$AL1125)</f>
        <v>4309.9565599478319</v>
      </c>
      <c r="AP1125" s="12">
        <v>440000</v>
      </c>
      <c r="AQ1125" s="3">
        <v>0.19600000000000001</v>
      </c>
      <c r="AR1125" s="3">
        <f>LN(AU1125*100000000/($AM1125-$AL1125)/AP1125)</f>
        <v>-5.6736762480631109</v>
      </c>
      <c r="AS1125" s="13">
        <f>EXP(AR$4341*$AM1125+AR$4342)*$AP1125/(100000000/($AM1125-$AL1125))</f>
        <v>1.2734120023876514</v>
      </c>
      <c r="AT1125" s="3">
        <f>LN(AS1125/$C1125)</f>
        <v>-1.9555246633144421</v>
      </c>
      <c r="AU1125" s="16" cm="1">
        <f t="array" ref="AU1125">$C1125*EXP(poly_from_str(100000000/$E1125,AU$4342))</f>
        <v>0.35069816777921242</v>
      </c>
      <c r="AV1125" s="13">
        <f>LN(AS1125/AU1125)</f>
        <v>1.28952926033903</v>
      </c>
    </row>
    <row r="1126" spans="1:48" x14ac:dyDescent="0.25">
      <c r="A1126" t="s">
        <v>1789</v>
      </c>
      <c r="B1126" s="2" t="str">
        <f t="shared" si="641"/>
        <v/>
      </c>
      <c r="C1126">
        <v>9</v>
      </c>
      <c r="D1126" t="s">
        <v>14</v>
      </c>
      <c r="E1126" t="s">
        <v>1790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655"/>
        <v>e</v>
      </c>
      <c r="N1126" t="str">
        <f t="shared" si="656"/>
        <v>7/2</v>
      </c>
      <c r="O1126">
        <v>64235.61</v>
      </c>
      <c r="P1126" t="str">
        <f t="shared" si="657"/>
        <v>o</v>
      </c>
      <c r="Q1126" t="str">
        <f t="shared" si="658"/>
        <v>9/2</v>
      </c>
      <c r="R1126">
        <v>11</v>
      </c>
      <c r="AA1126" s="10">
        <f t="shared" si="642"/>
        <v>4306.9780000000001</v>
      </c>
      <c r="AB1126" s="3">
        <f t="shared" si="643"/>
        <v>23211.61</v>
      </c>
      <c r="AC1126" s="3" cm="1">
        <f t="array" ref="AC1126">100000000/LvacE(AA1126)</f>
        <v>23211.606906625864</v>
      </c>
      <c r="AD1126" s="10">
        <f t="shared" si="644"/>
        <v>7.6946512040026518E-3</v>
      </c>
      <c r="AE1126" s="10" t="b">
        <f t="shared" si="645"/>
        <v>1</v>
      </c>
      <c r="AJ1126" t="s">
        <v>4711</v>
      </c>
      <c r="AK1126" t="s">
        <v>4842</v>
      </c>
      <c r="AL1126">
        <v>41023.980000000003</v>
      </c>
      <c r="AM1126">
        <v>64235.61</v>
      </c>
      <c r="AN1126" s="10" cm="1">
        <f t="array" ref="AN1126">Lair(100000000/($AM1126-$AL1126))</f>
        <v>4306.9737127965764</v>
      </c>
      <c r="AO1126" s="10">
        <f t="shared" si="659"/>
        <v>4308.1851640750783</v>
      </c>
      <c r="AU1126" s="16" cm="1">
        <f t="array" ref="AU1126">$C1126*EXP(poly_from_str(100000000/$E1126,AU$4342))</f>
        <v>0.35058454061791278</v>
      </c>
    </row>
    <row r="1127" spans="1:48" x14ac:dyDescent="0.25">
      <c r="A1127" t="s">
        <v>1791</v>
      </c>
      <c r="B1127" s="2" t="str">
        <f t="shared" si="641"/>
        <v/>
      </c>
      <c r="C1127">
        <v>5</v>
      </c>
      <c r="D1127" t="s">
        <v>143</v>
      </c>
      <c r="E1127" t="s">
        <v>1792</v>
      </c>
      <c r="R1127">
        <v>11</v>
      </c>
      <c r="S1127" t="s">
        <v>22</v>
      </c>
      <c r="AA1127" s="10">
        <f t="shared" si="642"/>
        <v>4306.5119999999997</v>
      </c>
      <c r="AB1127" s="3">
        <f t="shared" si="643"/>
        <v>23214.12</v>
      </c>
      <c r="AC1127" s="3" cm="1">
        <f t="array" ref="AC1127">100000000/LvacE(AA1127)</f>
        <v>23214.118547518494</v>
      </c>
      <c r="AD1127" s="10">
        <f t="shared" si="644"/>
        <v>7.6952343970617633E-3</v>
      </c>
      <c r="AE1127" s="10" t="b">
        <f t="shared" si="645"/>
        <v>1</v>
      </c>
      <c r="AP1127"/>
      <c r="AQ1127"/>
      <c r="AU1127" s="16" cm="1">
        <f t="array" ref="AU1127">$C1127*EXP(poly_from_str(100000000/$E1127,AU$4342))</f>
        <v>0.19475410897684614</v>
      </c>
    </row>
    <row r="1128" spans="1:48" x14ac:dyDescent="0.25">
      <c r="A1128" t="s">
        <v>1793</v>
      </c>
      <c r="B1128" s="2" t="str">
        <f t="shared" si="641"/>
        <v/>
      </c>
      <c r="C1128">
        <v>9</v>
      </c>
      <c r="D1128" t="s">
        <v>14</v>
      </c>
      <c r="E1128" t="s">
        <v>1794</v>
      </c>
      <c r="R1128">
        <v>11</v>
      </c>
      <c r="S1128" t="s">
        <v>22</v>
      </c>
      <c r="AA1128" s="10">
        <f t="shared" si="642"/>
        <v>4305.51</v>
      </c>
      <c r="AB1128" s="3">
        <f t="shared" si="643"/>
        <v>23219.52</v>
      </c>
      <c r="AC1128" s="3" cm="1">
        <f t="array" ref="AC1128">100000000/LvacE(AA1128)</f>
        <v>23219.520955731336</v>
      </c>
      <c r="AD1128" s="10">
        <f t="shared" si="644"/>
        <v>7.696489028678523E-3</v>
      </c>
      <c r="AE1128" s="10" t="b">
        <f t="shared" si="645"/>
        <v>1</v>
      </c>
      <c r="AP1128"/>
      <c r="AQ1128"/>
      <c r="AU1128" s="16" cm="1">
        <f t="array" ref="AU1128">$C1128*EXP(poly_from_str(100000000/$E1128,AU$4342))</f>
        <v>0.35050296349853277</v>
      </c>
    </row>
    <row r="1129" spans="1:48" x14ac:dyDescent="0.25">
      <c r="A1129" t="s">
        <v>1795</v>
      </c>
      <c r="B1129" s="2" t="str">
        <f t="shared" si="641"/>
        <v/>
      </c>
      <c r="C1129">
        <v>4</v>
      </c>
      <c r="E1129" t="s">
        <v>1796</v>
      </c>
      <c r="R1129">
        <v>11</v>
      </c>
      <c r="S1129" t="s">
        <v>22</v>
      </c>
      <c r="AA1129" s="10">
        <f t="shared" si="642"/>
        <v>4305.0810000000001</v>
      </c>
      <c r="AB1129" s="3">
        <f t="shared" si="643"/>
        <v>23221.83</v>
      </c>
      <c r="AC1129" s="3" cm="1">
        <f t="array" ref="AC1129">100000000/LvacE(AA1129)</f>
        <v>23221.834731656669</v>
      </c>
      <c r="AD1129" s="10">
        <f t="shared" si="644"/>
        <v>7.6970264591603114E-3</v>
      </c>
      <c r="AE1129" s="10" t="b">
        <f t="shared" si="645"/>
        <v>1</v>
      </c>
      <c r="AP1129"/>
      <c r="AQ1129"/>
      <c r="AU1129" s="16" cm="1">
        <f t="array" ref="AU1129">$C1129*EXP(poly_from_str(100000000/$E1129,AU$4342))</f>
        <v>0.15576947929840149</v>
      </c>
    </row>
    <row r="1130" spans="1:48" x14ac:dyDescent="0.25">
      <c r="A1130" t="s">
        <v>1797</v>
      </c>
      <c r="B1130" s="2" t="str">
        <f t="shared" si="641"/>
        <v/>
      </c>
      <c r="C1130">
        <v>6</v>
      </c>
      <c r="E1130" t="s">
        <v>1798</v>
      </c>
      <c r="R1130">
        <v>11</v>
      </c>
      <c r="S1130" t="s">
        <v>22</v>
      </c>
      <c r="AA1130" s="10">
        <f t="shared" si="642"/>
        <v>4304.7960000000003</v>
      </c>
      <c r="AB1130" s="3">
        <f t="shared" si="643"/>
        <v>23223.37</v>
      </c>
      <c r="AC1130" s="3" cm="1">
        <f t="array" ref="AC1130">100000000/LvacE(AA1130)</f>
        <v>23223.372110465381</v>
      </c>
      <c r="AD1130" s="10">
        <f t="shared" si="644"/>
        <v>7.6973835822261244E-3</v>
      </c>
      <c r="AE1130" s="10" t="b">
        <f t="shared" si="645"/>
        <v>1</v>
      </c>
      <c r="AP1130"/>
      <c r="AQ1130"/>
      <c r="AU1130" s="16" cm="1">
        <f t="array" ref="AU1130">$C1130*EXP(poly_from_str(100000000/$E1130,AU$4342))</f>
        <v>0.23364496883852176</v>
      </c>
    </row>
    <row r="1131" spans="1:48" x14ac:dyDescent="0.25">
      <c r="A1131" t="s">
        <v>1799</v>
      </c>
      <c r="B1131" s="2" t="str">
        <f t="shared" si="641"/>
        <v/>
      </c>
      <c r="C1131">
        <v>8</v>
      </c>
      <c r="D1131" t="s">
        <v>1156</v>
      </c>
      <c r="E1131" t="s">
        <v>1800</v>
      </c>
      <c r="R1131">
        <v>11</v>
      </c>
      <c r="S1131" t="s">
        <v>22</v>
      </c>
      <c r="AA1131" s="10">
        <f t="shared" si="642"/>
        <v>4304.46</v>
      </c>
      <c r="AB1131" s="3">
        <f t="shared" si="643"/>
        <v>23225.18</v>
      </c>
      <c r="AC1131" s="3" cm="1">
        <f t="array" ref="AC1131">100000000/LvacE(AA1131)</f>
        <v>23225.184860644382</v>
      </c>
      <c r="AD1131" s="10">
        <f t="shared" si="644"/>
        <v>7.6978047026391681E-3</v>
      </c>
      <c r="AE1131" s="10" t="b">
        <f t="shared" si="645"/>
        <v>1</v>
      </c>
      <c r="AP1131"/>
      <c r="AQ1131"/>
      <c r="AU1131" s="16" cm="1">
        <f t="array" ref="AU1131">$C1131*EXP(poly_from_str(100000000/$E1131,AU$4342))</f>
        <v>0.3115126270496642</v>
      </c>
    </row>
    <row r="1132" spans="1:48" x14ac:dyDescent="0.25">
      <c r="A1132" t="s">
        <v>1801</v>
      </c>
      <c r="B1132" s="2" t="str">
        <f t="shared" si="641"/>
        <v/>
      </c>
      <c r="C1132">
        <v>9</v>
      </c>
      <c r="E1132" t="s">
        <v>1802</v>
      </c>
      <c r="R1132">
        <v>11</v>
      </c>
      <c r="S1132" t="s">
        <v>22</v>
      </c>
      <c r="AA1132" s="10">
        <f t="shared" si="642"/>
        <v>4304.049</v>
      </c>
      <c r="AB1132" s="3">
        <f t="shared" si="643"/>
        <v>23227.4</v>
      </c>
      <c r="AC1132" s="3" cm="1">
        <f t="array" ref="AC1132">100000000/LvacE(AA1132)</f>
        <v>23227.402627391755</v>
      </c>
      <c r="AD1132" s="10">
        <f t="shared" si="644"/>
        <v>7.6983199572532458E-3</v>
      </c>
      <c r="AE1132" s="10" t="b">
        <f t="shared" si="645"/>
        <v>1</v>
      </c>
      <c r="AP1132"/>
      <c r="AQ1132"/>
      <c r="AU1132" s="16" cm="1">
        <f t="array" ref="AU1132">$C1132*EXP(poly_from_str(100000000/$E1132,AU$4342))</f>
        <v>0.35043321572475755</v>
      </c>
    </row>
    <row r="1133" spans="1:48" x14ac:dyDescent="0.25">
      <c r="A1133" t="s">
        <v>1803</v>
      </c>
      <c r="B1133" s="2" t="str">
        <f t="shared" si="641"/>
        <v/>
      </c>
      <c r="C1133">
        <v>2</v>
      </c>
      <c r="E1133" t="s">
        <v>1804</v>
      </c>
      <c r="R1133">
        <v>11</v>
      </c>
      <c r="S1133" t="s">
        <v>22</v>
      </c>
      <c r="AA1133" s="10">
        <f t="shared" si="642"/>
        <v>4303.9390000000003</v>
      </c>
      <c r="AB1133" s="3">
        <f t="shared" si="643"/>
        <v>23228</v>
      </c>
      <c r="AC1133" s="3" cm="1">
        <f t="array" ref="AC1133">100000000/LvacE(AA1133)</f>
        <v>23227.996262117984</v>
      </c>
      <c r="AD1133" s="10">
        <f t="shared" si="644"/>
        <v>7.6984578849883774E-3</v>
      </c>
      <c r="AE1133" s="10" t="b">
        <f t="shared" si="645"/>
        <v>1</v>
      </c>
      <c r="AP1133"/>
      <c r="AQ1133"/>
      <c r="AU1133" s="16" cm="1">
        <f t="array" ref="AU1133">$C1133*EXP(poly_from_str(100000000/$E1133,AU$4342))</f>
        <v>7.7872972098044169E-2</v>
      </c>
    </row>
    <row r="1134" spans="1:48" x14ac:dyDescent="0.25">
      <c r="A1134" t="s">
        <v>1805</v>
      </c>
      <c r="B1134" s="2" t="str">
        <f t="shared" si="641"/>
        <v/>
      </c>
      <c r="C1134">
        <v>30</v>
      </c>
      <c r="E1134" t="s">
        <v>1806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AA1134" s="10">
        <f t="shared" si="642"/>
        <v>4303.0169999999998</v>
      </c>
      <c r="AB1134" s="3">
        <f t="shared" si="643"/>
        <v>23232.97</v>
      </c>
      <c r="AC1134" s="3" cm="1">
        <f t="array" ref="AC1134">100000000/LvacE(AA1134)</f>
        <v>23232.97319376461</v>
      </c>
      <c r="AD1134" s="10">
        <f t="shared" si="644"/>
        <v>7.6996143861114905E-3</v>
      </c>
      <c r="AE1134" s="10" t="b">
        <f t="shared" si="645"/>
        <v>1</v>
      </c>
      <c r="AJ1134" t="s">
        <v>4762</v>
      </c>
      <c r="AK1134" t="s">
        <v>4716</v>
      </c>
      <c r="AL1134">
        <v>48745.48</v>
      </c>
      <c r="AM1134">
        <v>71978.52</v>
      </c>
      <c r="AN1134" s="10" cm="1">
        <f t="array" ref="AN1134">Lair(100000000/($AM1134-$AL1134))</f>
        <v>4303.0046244037458</v>
      </c>
      <c r="AO1134" s="10">
        <f>100000000/($AM1134-$AL1134)</f>
        <v>4304.2150316962397</v>
      </c>
      <c r="AP1134" s="12">
        <v>5340000</v>
      </c>
      <c r="AQ1134" s="3">
        <v>0.28199999999999997</v>
      </c>
      <c r="AR1134" s="3">
        <f>LN(AU1134*100000000/($AM1134-$AL1134)/AP1134)</f>
        <v>-6.9681194650487397</v>
      </c>
      <c r="AS1134" s="13">
        <f>EXP(AR$4341*$AM1134+AR$4342)*$AP1134/(100000000/($AM1134-$AL1134))</f>
        <v>0.49452721918321191</v>
      </c>
      <c r="AT1134" s="3">
        <f>LN(AS1134/$C1134)</f>
        <v>-4.1053504672476224</v>
      </c>
      <c r="AU1134" s="16" cm="1">
        <f t="array" ref="AU1134">$C1134*EXP(poly_from_str(100000000/$E1134,AU$4342))</f>
        <v>1.1679693987915569</v>
      </c>
      <c r="AV1134" s="13">
        <f>LN(AS1134/AU1134)</f>
        <v>-0.85941976998352232</v>
      </c>
    </row>
    <row r="1135" spans="1:48" x14ac:dyDescent="0.25">
      <c r="A1135" t="s">
        <v>1807</v>
      </c>
      <c r="B1135" s="2" t="str">
        <f t="shared" si="641"/>
        <v/>
      </c>
      <c r="C1135">
        <v>1</v>
      </c>
      <c r="E1135" t="s">
        <v>1808</v>
      </c>
      <c r="R1135">
        <v>11</v>
      </c>
      <c r="S1135" t="s">
        <v>22</v>
      </c>
      <c r="AA1135" s="10">
        <f t="shared" si="642"/>
        <v>4302.0810000000001</v>
      </c>
      <c r="AB1135" s="3">
        <f t="shared" si="643"/>
        <v>23238.03</v>
      </c>
      <c r="AC1135" s="3" cm="1">
        <f t="array" ref="AC1135">100000000/LvacE(AA1135)</f>
        <v>23238.027879072786</v>
      </c>
      <c r="AD1135" s="10">
        <f t="shared" si="644"/>
        <v>7.7007892086495798E-3</v>
      </c>
      <c r="AE1135" s="10" t="b">
        <f t="shared" si="645"/>
        <v>1</v>
      </c>
      <c r="AP1135"/>
      <c r="AQ1135"/>
      <c r="AU1135" s="16" cm="1">
        <f t="array" ref="AU1135">$C1135*EXP(poly_from_str(100000000/$E1135,AU$4342))</f>
        <v>3.8928582712460705E-2</v>
      </c>
    </row>
    <row r="1136" spans="1:48" x14ac:dyDescent="0.25">
      <c r="A1136" t="s">
        <v>1809</v>
      </c>
      <c r="B1136" s="2" t="str">
        <f t="shared" si="641"/>
        <v/>
      </c>
      <c r="C1136">
        <v>8</v>
      </c>
      <c r="E1136" t="s">
        <v>1810</v>
      </c>
      <c r="R1136">
        <v>11</v>
      </c>
      <c r="S1136" t="s">
        <v>22</v>
      </c>
      <c r="AA1136" s="10">
        <f t="shared" si="642"/>
        <v>4301.9350000000004</v>
      </c>
      <c r="AB1136" s="3">
        <f t="shared" si="643"/>
        <v>23238.82</v>
      </c>
      <c r="AC1136" s="3" cm="1">
        <f t="array" ref="AC1136">100000000/LvacE(AA1136)</f>
        <v>23238.816521875564</v>
      </c>
      <c r="AD1136" s="10">
        <f t="shared" si="644"/>
        <v>7.7009725300214403E-3</v>
      </c>
      <c r="AE1136" s="10" t="b">
        <f t="shared" si="645"/>
        <v>1</v>
      </c>
      <c r="AP1136"/>
      <c r="AQ1136"/>
      <c r="AU1136" s="16" cm="1">
        <f t="array" ref="AU1136">$C1136*EXP(poly_from_str(100000000/$E1136,AU$4342))</f>
        <v>0.31142437849788746</v>
      </c>
    </row>
    <row r="1137" spans="1:47" x14ac:dyDescent="0.25">
      <c r="A1137" t="s">
        <v>1811</v>
      </c>
      <c r="B1137" s="2" t="str">
        <f t="shared" si="641"/>
        <v/>
      </c>
      <c r="C1137">
        <v>90</v>
      </c>
      <c r="E1137" t="s">
        <v>1812</v>
      </c>
      <c r="R1137">
        <v>11</v>
      </c>
      <c r="S1137" t="s">
        <v>22</v>
      </c>
      <c r="AA1137" s="10">
        <f t="shared" si="642"/>
        <v>4301.7330000000002</v>
      </c>
      <c r="AB1137" s="3">
        <f t="shared" si="643"/>
        <v>23239.91</v>
      </c>
      <c r="AC1137" s="3" cm="1">
        <f t="array" ref="AC1137">100000000/LvacE(AA1137)</f>
        <v>23239.9077460759</v>
      </c>
      <c r="AD1137" s="10">
        <f t="shared" si="644"/>
        <v>7.7012261972181795E-3</v>
      </c>
      <c r="AE1137" s="10" t="b">
        <f t="shared" si="645"/>
        <v>1</v>
      </c>
      <c r="AP1137"/>
      <c r="AQ1137"/>
      <c r="AU1137" s="16" cm="1">
        <f t="array" ref="AU1137">$C1137*EXP(poly_from_str(100000000/$E1137,AU$4342))</f>
        <v>3.5034596482597986</v>
      </c>
    </row>
    <row r="1138" spans="1:47" x14ac:dyDescent="0.25">
      <c r="A1138" t="s">
        <v>1813</v>
      </c>
      <c r="B1138" s="2" t="str">
        <f t="shared" si="641"/>
        <v/>
      </c>
      <c r="C1138">
        <v>6</v>
      </c>
      <c r="E1138" t="s">
        <v>1814</v>
      </c>
      <c r="R1138">
        <v>11</v>
      </c>
      <c r="S1138" t="s">
        <v>22</v>
      </c>
      <c r="AA1138" s="10">
        <f t="shared" si="642"/>
        <v>4300.7790000000005</v>
      </c>
      <c r="AB1138" s="3">
        <f t="shared" si="643"/>
        <v>23245.06</v>
      </c>
      <c r="AC1138" s="3" cm="1">
        <f t="array" ref="AC1138">100000000/LvacE(AA1138)</f>
        <v>23245.062734666197</v>
      </c>
      <c r="AD1138" s="10">
        <f t="shared" si="644"/>
        <v>7.7024246926738387E-3</v>
      </c>
      <c r="AE1138" s="10" t="b">
        <f t="shared" si="645"/>
        <v>1</v>
      </c>
      <c r="AP1138"/>
      <c r="AQ1138"/>
      <c r="AU1138" s="16" cm="1">
        <f t="array" ref="AU1138">$C1138*EXP(poly_from_str(100000000/$E1138,AU$4342))</f>
        <v>0.23354558261220076</v>
      </c>
    </row>
    <row r="1139" spans="1:47" x14ac:dyDescent="0.25">
      <c r="A1139" t="s">
        <v>1815</v>
      </c>
      <c r="B1139" s="2" t="str">
        <f t="shared" si="641"/>
        <v/>
      </c>
      <c r="C1139">
        <v>1</v>
      </c>
      <c r="E1139" t="s">
        <v>1816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642"/>
        <v>4300.17</v>
      </c>
      <c r="AB1139" s="3">
        <f t="shared" si="643"/>
        <v>23248.35</v>
      </c>
      <c r="AC1139" s="3" cm="1">
        <f t="array" ref="AC1139">100000000/LvacE(AA1139)</f>
        <v>23248.354693894613</v>
      </c>
      <c r="AD1139" s="10">
        <f t="shared" si="644"/>
        <v>7.7031901871198825E-3</v>
      </c>
      <c r="AE1139" s="10" t="b">
        <f t="shared" si="645"/>
        <v>1</v>
      </c>
      <c r="AJ1139" t="s">
        <v>4815</v>
      </c>
      <c r="AK1139" t="s">
        <v>4727</v>
      </c>
      <c r="AL1139">
        <v>10950.24</v>
      </c>
      <c r="AM1139">
        <v>34198.61</v>
      </c>
      <c r="AN1139" s="10" cm="1">
        <f t="array" ref="AN1139">Lair(100000000/($AM1139-$AL1139))</f>
        <v>4300.1671667007358</v>
      </c>
      <c r="AO1139" s="10">
        <f>100000000/($AM1139-$AL1139)</f>
        <v>4301.3768277087811</v>
      </c>
      <c r="AU1139" s="16" cm="1">
        <f t="array" ref="AU1139">$C1139*EXP(poly_from_str(100000000/$E1139,AU$4342))</f>
        <v>3.8922586641018948E-2</v>
      </c>
    </row>
    <row r="1140" spans="1:47" x14ac:dyDescent="0.25">
      <c r="A1140" t="s">
        <v>1817</v>
      </c>
      <c r="B1140" s="2" t="str">
        <f t="shared" si="641"/>
        <v/>
      </c>
      <c r="C1140">
        <v>5</v>
      </c>
      <c r="E1140" t="s">
        <v>1818</v>
      </c>
      <c r="R1140">
        <v>11</v>
      </c>
      <c r="S1140" t="s">
        <v>22</v>
      </c>
      <c r="AA1140" s="10">
        <f t="shared" si="642"/>
        <v>4299.8739999999998</v>
      </c>
      <c r="AB1140" s="3">
        <f t="shared" si="643"/>
        <v>23249.95</v>
      </c>
      <c r="AC1140" s="3" cm="1">
        <f t="array" ref="AC1140">100000000/LvacE(AA1140)</f>
        <v>23249.955063374084</v>
      </c>
      <c r="AD1140" s="10">
        <f t="shared" si="644"/>
        <v>7.7035623675686879E-3</v>
      </c>
      <c r="AE1140" s="10" t="b">
        <f t="shared" si="645"/>
        <v>1</v>
      </c>
      <c r="AP1140"/>
      <c r="AQ1140"/>
      <c r="AU1140" s="16" cm="1">
        <f t="array" ref="AU1140">$C1140*EXP(poly_from_str(100000000/$E1140,AU$4342))</f>
        <v>0.19460925063279513</v>
      </c>
    </row>
    <row r="1141" spans="1:47" x14ac:dyDescent="0.25">
      <c r="A1141" t="s">
        <v>1819</v>
      </c>
      <c r="B1141" s="2" t="str">
        <f t="shared" si="641"/>
        <v/>
      </c>
      <c r="C1141">
        <v>8</v>
      </c>
      <c r="E1141" t="s">
        <v>1820</v>
      </c>
      <c r="R1141">
        <v>11</v>
      </c>
      <c r="S1141" t="s">
        <v>22</v>
      </c>
      <c r="AA1141" s="10">
        <f t="shared" si="642"/>
        <v>4298.4269999999997</v>
      </c>
      <c r="AB1141" s="3">
        <f t="shared" si="643"/>
        <v>23257.78</v>
      </c>
      <c r="AC1141" s="3" cm="1">
        <f t="array" ref="AC1141">100000000/LvacE(AA1141)</f>
        <v>23257.78166348569</v>
      </c>
      <c r="AD1141" s="10">
        <f t="shared" si="644"/>
        <v>7.7053828834926933E-3</v>
      </c>
      <c r="AE1141" s="10" t="b">
        <f t="shared" si="645"/>
        <v>1</v>
      </c>
      <c r="AP1141"/>
      <c r="AQ1141"/>
      <c r="AU1141" s="16" cm="1">
        <f t="array" ref="AU1141">$C1141*EXP(poly_from_str(100000000/$E1141,AU$4342))</f>
        <v>0.311351924285098</v>
      </c>
    </row>
    <row r="1142" spans="1:47" x14ac:dyDescent="0.25">
      <c r="A1142" t="s">
        <v>1821</v>
      </c>
      <c r="B1142" s="2" t="str">
        <f t="shared" si="641"/>
        <v/>
      </c>
      <c r="C1142">
        <v>90</v>
      </c>
      <c r="E1142" t="s">
        <v>1822</v>
      </c>
      <c r="R1142">
        <v>11</v>
      </c>
      <c r="S1142" t="s">
        <v>22</v>
      </c>
      <c r="AA1142" s="10">
        <f t="shared" si="642"/>
        <v>4298.2740000000003</v>
      </c>
      <c r="AB1142" s="3">
        <f t="shared" si="643"/>
        <v>23258.61</v>
      </c>
      <c r="AC1142" s="3" cm="1">
        <f t="array" ref="AC1142">100000000/LvacE(AA1142)</f>
        <v>23258.609524959807</v>
      </c>
      <c r="AD1142" s="10">
        <f t="shared" si="644"/>
        <v>7.7055754850621216E-3</v>
      </c>
      <c r="AE1142" s="10" t="b">
        <f t="shared" si="645"/>
        <v>1</v>
      </c>
      <c r="AP1142"/>
      <c r="AQ1142"/>
      <c r="AU1142" s="16" cm="1">
        <f t="array" ref="AU1142">$C1142*EXP(poly_from_str(100000000/$E1142,AU$4342))</f>
        <v>3.5026883788212655</v>
      </c>
    </row>
    <row r="1143" spans="1:47" x14ac:dyDescent="0.25">
      <c r="A1143" t="s">
        <v>1823</v>
      </c>
      <c r="B1143" s="2" t="str">
        <f t="shared" si="641"/>
        <v/>
      </c>
      <c r="C1143">
        <v>9</v>
      </c>
      <c r="E1143" t="s">
        <v>1824</v>
      </c>
      <c r="R1143">
        <v>11</v>
      </c>
      <c r="S1143" t="s">
        <v>22</v>
      </c>
      <c r="AA1143" s="10">
        <f t="shared" si="642"/>
        <v>4298.0959999999995</v>
      </c>
      <c r="AB1143" s="3">
        <f t="shared" si="643"/>
        <v>23259.57</v>
      </c>
      <c r="AC1143" s="3" cm="1">
        <f t="array" ref="AC1143">100000000/LvacE(AA1143)</f>
        <v>23259.572732086133</v>
      </c>
      <c r="AD1143" s="10">
        <f t="shared" si="644"/>
        <v>7.7057995833604157E-3</v>
      </c>
      <c r="AE1143" s="10" t="b">
        <f t="shared" si="645"/>
        <v>1</v>
      </c>
      <c r="AP1143"/>
      <c r="AQ1143"/>
      <c r="AU1143" s="16" cm="1">
        <f t="array" ref="AU1143">$C1143*EXP(poly_from_str(100000000/$E1143,AU$4342))</f>
        <v>0.35026659103002911</v>
      </c>
    </row>
    <row r="1144" spans="1:47" x14ac:dyDescent="0.25">
      <c r="A1144" t="s">
        <v>1825</v>
      </c>
      <c r="B1144" s="2" t="str">
        <f t="shared" si="641"/>
        <v/>
      </c>
      <c r="C1144">
        <v>6</v>
      </c>
      <c r="E1144" t="s">
        <v>1826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642"/>
        <v>4297.5050000000001</v>
      </c>
      <c r="AB1144" s="3">
        <f t="shared" si="643"/>
        <v>23262.77</v>
      </c>
      <c r="AC1144" s="3" cm="1">
        <f t="array" ref="AC1144">100000000/LvacE(AA1144)</f>
        <v>23262.771368444621</v>
      </c>
      <c r="AD1144" s="10">
        <f t="shared" si="644"/>
        <v>7.7065438397913005E-3</v>
      </c>
      <c r="AE1144" s="10" t="b">
        <f t="shared" si="645"/>
        <v>1</v>
      </c>
      <c r="AJ1144" t="s">
        <v>4695</v>
      </c>
      <c r="AK1144" t="s">
        <v>4770</v>
      </c>
      <c r="AL1144">
        <v>11761.69</v>
      </c>
      <c r="AM1144">
        <v>35024.49</v>
      </c>
      <c r="AN1144" s="10" cm="1">
        <f t="array" ref="AN1144">Lair(100000000/($AM1144-$AL1144))</f>
        <v>4297.4997084428524</v>
      </c>
      <c r="AO1144" s="10">
        <f>100000000/($AM1144-$AL1144)</f>
        <v>4298.7086679161584</v>
      </c>
      <c r="AP1144" s="12">
        <v>448000</v>
      </c>
      <c r="AQ1144" s="3">
        <v>1.4999999999999999E-2</v>
      </c>
      <c r="AR1144" s="3"/>
      <c r="AS1144" s="13">
        <f>EXP(AR$4341*$AM1144+AR$4342)*$AP1144/(100000000/($AM1144-$AL1144))</f>
        <v>0.66512488811669812</v>
      </c>
      <c r="AT1144" s="3"/>
      <c r="AU1144" s="16" cm="1">
        <f t="array" ref="AU1144">$C1144*EXP(poly_from_str(100000000/$E1144,AU$4342))</f>
        <v>0.23350686943024132</v>
      </c>
    </row>
    <row r="1145" spans="1:47" x14ac:dyDescent="0.25">
      <c r="A1145" t="s">
        <v>1827</v>
      </c>
      <c r="B1145" s="2" t="str">
        <f t="shared" si="641"/>
        <v/>
      </c>
      <c r="C1145">
        <v>4</v>
      </c>
      <c r="E1145" t="s">
        <v>1828</v>
      </c>
      <c r="R1145">
        <v>11</v>
      </c>
      <c r="S1145" t="s">
        <v>22</v>
      </c>
      <c r="AA1145" s="10">
        <f t="shared" si="642"/>
        <v>4297.4210000000003</v>
      </c>
      <c r="AB1145" s="3">
        <f t="shared" si="643"/>
        <v>23263.23</v>
      </c>
      <c r="AC1145" s="3" cm="1">
        <f t="array" ref="AC1145">100000000/LvacE(AA1145)</f>
        <v>23263.226068369411</v>
      </c>
      <c r="AD1145" s="10">
        <f t="shared" si="644"/>
        <v>7.7066496473547057E-3</v>
      </c>
      <c r="AE1145" s="10" t="b">
        <f t="shared" si="645"/>
        <v>1</v>
      </c>
      <c r="AP1145"/>
      <c r="AQ1145"/>
      <c r="AU1145" s="16" cm="1">
        <f t="array" ref="AU1145">$C1145*EXP(poly_from_str(100000000/$E1145,AU$4342))</f>
        <v>0.15567091216472431</v>
      </c>
    </row>
    <row r="1146" spans="1:47" x14ac:dyDescent="0.25">
      <c r="A1146" t="s">
        <v>1829</v>
      </c>
      <c r="B1146" s="2" t="str">
        <f t="shared" si="641"/>
        <v/>
      </c>
      <c r="C1146">
        <v>8</v>
      </c>
      <c r="E1146" t="s">
        <v>1830</v>
      </c>
      <c r="R1146">
        <v>11</v>
      </c>
      <c r="S1146" t="s">
        <v>22</v>
      </c>
      <c r="AA1146" s="10">
        <f t="shared" si="642"/>
        <v>4296.9369999999999</v>
      </c>
      <c r="AB1146" s="3">
        <f t="shared" si="643"/>
        <v>23265.85</v>
      </c>
      <c r="AC1146" s="3" cm="1">
        <f t="array" ref="AC1146">100000000/LvacE(AA1146)</f>
        <v>23265.846352343287</v>
      </c>
      <c r="AD1146" s="10">
        <f t="shared" si="644"/>
        <v>7.707259421344005E-3</v>
      </c>
      <c r="AE1146" s="10" t="b">
        <f t="shared" si="645"/>
        <v>1</v>
      </c>
      <c r="AP1146"/>
      <c r="AQ1146"/>
      <c r="AU1146" s="16" cm="1">
        <f t="array" ref="AU1146">$C1146*EXP(poly_from_str(100000000/$E1146,AU$4342))</f>
        <v>0.31133866492056905</v>
      </c>
    </row>
    <row r="1147" spans="1:47" x14ac:dyDescent="0.25">
      <c r="A1147" t="s">
        <v>1831</v>
      </c>
      <c r="B1147" s="2" t="str">
        <f t="shared" si="641"/>
        <v/>
      </c>
      <c r="C1147">
        <v>9</v>
      </c>
      <c r="E1147" t="s">
        <v>1832</v>
      </c>
      <c r="R1147">
        <v>11</v>
      </c>
      <c r="S1147" t="s">
        <v>22</v>
      </c>
      <c r="AA1147" s="10">
        <f t="shared" si="642"/>
        <v>4295.473</v>
      </c>
      <c r="AB1147" s="3">
        <f t="shared" si="643"/>
        <v>23273.78</v>
      </c>
      <c r="AC1147" s="3" cm="1">
        <f t="array" ref="AC1147">100000000/LvacE(AA1147)</f>
        <v>23273.775764241243</v>
      </c>
      <c r="AD1147" s="10">
        <f t="shared" si="644"/>
        <v>7.7091051165076863E-3</v>
      </c>
      <c r="AE1147" s="10" t="b">
        <f t="shared" si="645"/>
        <v>1</v>
      </c>
      <c r="AP1147"/>
      <c r="AQ1147"/>
      <c r="AU1147" s="16" cm="1">
        <f t="array" ref="AU1147">$C1147*EXP(poly_from_str(100000000/$E1147,AU$4342))</f>
        <v>0.35025276699622687</v>
      </c>
    </row>
    <row r="1148" spans="1:47" x14ac:dyDescent="0.25">
      <c r="A1148" t="s">
        <v>1833</v>
      </c>
      <c r="B1148" s="2" t="str">
        <f t="shared" si="641"/>
        <v/>
      </c>
      <c r="C1148">
        <v>6</v>
      </c>
      <c r="D1148" t="s">
        <v>14</v>
      </c>
      <c r="E1148" t="s">
        <v>1834</v>
      </c>
      <c r="R1148">
        <v>11</v>
      </c>
      <c r="S1148" t="s">
        <v>22</v>
      </c>
      <c r="AA1148" s="10">
        <f t="shared" si="642"/>
        <v>4294.2259999999997</v>
      </c>
      <c r="AB1148" s="3">
        <f t="shared" si="643"/>
        <v>23280.53</v>
      </c>
      <c r="AC1148" s="3" cm="1">
        <f t="array" ref="AC1148">100000000/LvacE(AA1148)</f>
        <v>23280.534110456669</v>
      </c>
      <c r="AD1148" s="10">
        <f t="shared" si="644"/>
        <v>7.710678724228379E-3</v>
      </c>
      <c r="AE1148" s="10" t="b">
        <f t="shared" si="645"/>
        <v>1</v>
      </c>
      <c r="AP1148"/>
      <c r="AQ1148"/>
      <c r="AU1148" s="16" cm="1">
        <f t="array" ref="AU1148">$C1148*EXP(poly_from_str(100000000/$E1148,AU$4342))</f>
        <v>0.23350593547921655</v>
      </c>
    </row>
    <row r="1149" spans="1:47" x14ac:dyDescent="0.25">
      <c r="A1149" t="s">
        <v>1835</v>
      </c>
      <c r="B1149" s="2" t="str">
        <f t="shared" si="641"/>
        <v/>
      </c>
      <c r="C1149">
        <v>8</v>
      </c>
      <c r="D1149" t="s">
        <v>14</v>
      </c>
      <c r="E1149" t="s">
        <v>1836</v>
      </c>
      <c r="R1149">
        <v>11</v>
      </c>
      <c r="S1149" t="s">
        <v>22</v>
      </c>
      <c r="AA1149" s="10">
        <f t="shared" si="642"/>
        <v>4294.0630000000001</v>
      </c>
      <c r="AB1149" s="3">
        <f t="shared" si="643"/>
        <v>23281.42</v>
      </c>
      <c r="AC1149" s="3" cm="1">
        <f t="array" ref="AC1149">100000000/LvacE(AA1149)</f>
        <v>23281.4178090514</v>
      </c>
      <c r="AD1149" s="10">
        <f t="shared" si="644"/>
        <v>7.7108845176527916E-3</v>
      </c>
      <c r="AE1149" s="10" t="b">
        <f t="shared" si="645"/>
        <v>1</v>
      </c>
      <c r="AP1149"/>
      <c r="AQ1149"/>
      <c r="AU1149" s="16" cm="1">
        <f t="array" ref="AU1149">$C1149*EXP(poly_from_str(100000000/$E1149,AU$4342))</f>
        <v>0.31134250697603127</v>
      </c>
    </row>
    <row r="1150" spans="1:47" x14ac:dyDescent="0.25">
      <c r="A1150" t="s">
        <v>1837</v>
      </c>
      <c r="B1150" s="2" t="str">
        <f t="shared" si="641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642"/>
        <v>4292.1000000000004</v>
      </c>
      <c r="AB1150" s="3">
        <f t="shared" si="643"/>
        <v>23292.07</v>
      </c>
      <c r="AC1150" s="3" cm="1">
        <f t="array" ref="AC1150">100000000/LvacE(AA1150)</f>
        <v>23292.065413731452</v>
      </c>
      <c r="AD1150" s="10">
        <f t="shared" si="644"/>
        <v>7.7133647181719268E-3</v>
      </c>
      <c r="AE1150" s="10" t="b">
        <f t="shared" si="645"/>
        <v>1</v>
      </c>
      <c r="AP1150"/>
      <c r="AQ1150"/>
      <c r="AU1150" s="16" cm="1">
        <f t="array" ref="AU1150">$C1150*EXP(poly_from_str(100000000/$E1150,AU$4342))</f>
        <v>1.1676274416141355</v>
      </c>
    </row>
    <row r="1151" spans="1:47" x14ac:dyDescent="0.25">
      <c r="A1151" t="s">
        <v>1838</v>
      </c>
      <c r="B1151" s="2" t="str">
        <f t="shared" si="641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642"/>
        <v>4291.884</v>
      </c>
      <c r="AB1151" s="3">
        <f t="shared" si="643"/>
        <v>23293.24</v>
      </c>
      <c r="AC1151" s="3" cm="1">
        <f t="array" ref="AC1151">100000000/LvacE(AA1151)</f>
        <v>23293.237624751553</v>
      </c>
      <c r="AD1151" s="10">
        <f t="shared" si="644"/>
        <v>7.7136378365248864E-3</v>
      </c>
      <c r="AE1151" s="10" t="b">
        <f t="shared" si="645"/>
        <v>1</v>
      </c>
      <c r="AP1151"/>
      <c r="AQ1151"/>
      <c r="AU1151" s="16" cm="1">
        <f t="array" ref="AU1151">$C1151*EXP(poly_from_str(100000000/$E1151,AU$4342))</f>
        <v>1.1676417624779147</v>
      </c>
    </row>
    <row r="1152" spans="1:47" x14ac:dyDescent="0.25">
      <c r="A1152" t="s">
        <v>1839</v>
      </c>
      <c r="B1152" s="2" t="str">
        <f t="shared" si="641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642"/>
        <v>4290.585</v>
      </c>
      <c r="AB1152" s="3">
        <f t="shared" si="643"/>
        <v>23300.29</v>
      </c>
      <c r="AC1152" s="3" cm="1">
        <f t="array" ref="AC1152">100000000/LvacE(AA1152)</f>
        <v>23300.289660693106</v>
      </c>
      <c r="AD1152" s="10">
        <f t="shared" si="644"/>
        <v>7.7152812099857138E-3</v>
      </c>
      <c r="AE1152" s="10" t="b">
        <f t="shared" si="645"/>
        <v>1</v>
      </c>
      <c r="AP1152"/>
      <c r="AQ1152"/>
      <c r="AU1152" s="16" cm="1">
        <f t="array" ref="AU1152">$C1152*EXP(poly_from_str(100000000/$E1152,AU$4342))</f>
        <v>0.35032355305017315</v>
      </c>
    </row>
    <row r="1153" spans="1:48" x14ac:dyDescent="0.25">
      <c r="A1153" t="s">
        <v>1840</v>
      </c>
      <c r="B1153" s="2" t="str">
        <f t="shared" si="641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642"/>
        <v>4290.1210000000001</v>
      </c>
      <c r="AB1153" s="3">
        <f t="shared" si="643"/>
        <v>23302.81</v>
      </c>
      <c r="AC1153" s="3" cm="1">
        <f t="array" ref="AC1153">100000000/LvacE(AA1153)</f>
        <v>23302.809667856905</v>
      </c>
      <c r="AD1153" s="10">
        <f t="shared" si="644"/>
        <v>7.7158685813123809E-3</v>
      </c>
      <c r="AE1153" s="10" t="b">
        <f t="shared" si="645"/>
        <v>1</v>
      </c>
      <c r="AP1153"/>
      <c r="AQ1153"/>
      <c r="AU1153" s="16" cm="1">
        <f t="array" ref="AU1153">$C1153*EXP(poly_from_str(100000000/$E1153,AU$4342))</f>
        <v>0.15570523387961513</v>
      </c>
    </row>
    <row r="1154" spans="1:48" x14ac:dyDescent="0.25">
      <c r="A1154" t="s">
        <v>1841</v>
      </c>
      <c r="B1154" s="2" t="str">
        <f t="shared" si="641"/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642"/>
        <v>4289.72</v>
      </c>
      <c r="AB1154" s="3">
        <f t="shared" si="643"/>
        <v>23304.99</v>
      </c>
      <c r="AC1154" s="3" cm="1">
        <f t="array" ref="AC1154">100000000/LvacE(AA1154)</f>
        <v>23304.98795801511</v>
      </c>
      <c r="AD1154" s="10">
        <f t="shared" si="644"/>
        <v>7.7163763553349763E-3</v>
      </c>
      <c r="AE1154" s="10" t="b">
        <f t="shared" si="645"/>
        <v>1</v>
      </c>
      <c r="AP1154"/>
      <c r="AQ1154"/>
      <c r="AU1154" s="16" cm="1">
        <f t="array" ref="AU1154">$C1154*EXP(poly_from_str(100000000/$E1154,AU$4342))</f>
        <v>0.31142143999696886</v>
      </c>
    </row>
    <row r="1155" spans="1:48" x14ac:dyDescent="0.25">
      <c r="A1155" t="s">
        <v>1842</v>
      </c>
      <c r="B1155" s="2" t="str">
        <f t="shared" ref="B1155:B1218" si="660">IF(OR(A1155=A1154,A1155=A1156),IF(B1154="",1,B1154+1),"")</f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661">ROUND($A1155,3)+0</f>
        <v>4288.7669999999998</v>
      </c>
      <c r="AB1155" s="3">
        <f t="shared" ref="AB1155:AB1218" si="662">ROUND($E1155,2)+0</f>
        <v>23310.17</v>
      </c>
      <c r="AC1155" s="3" cm="1">
        <f t="array" ref="AC1155">100000000/LvacE(AA1155)</f>
        <v>23310.166426553511</v>
      </c>
      <c r="AD1155" s="10">
        <f t="shared" ref="AD1155:AD1218" si="663">0.0005/$AA1155*AC1155+0.005</f>
        <v>7.7175836815748574E-3</v>
      </c>
      <c r="AE1155" s="10" t="b">
        <f t="shared" ref="AE1155:AE1218" si="664">ABS(AB1155-AC1155)&lt;AD1155</f>
        <v>1</v>
      </c>
      <c r="AP1155"/>
      <c r="AQ1155"/>
      <c r="AU1155" s="16" cm="1">
        <f t="array" ref="AU1155">$C1155*EXP(poly_from_str(100000000/$E1155,AU$4342))</f>
        <v>0.38931312355637904</v>
      </c>
    </row>
    <row r="1156" spans="1:48" x14ac:dyDescent="0.25">
      <c r="A1156" t="s">
        <v>1843</v>
      </c>
      <c r="B1156" s="2" t="str">
        <f t="shared" si="660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661"/>
        <v>4288.442</v>
      </c>
      <c r="AB1156" s="3">
        <f t="shared" si="662"/>
        <v>23311.93</v>
      </c>
      <c r="AC1156" s="3" cm="1">
        <f t="array" ref="AC1156">100000000/LvacE(AA1156)</f>
        <v>23311.932957311332</v>
      </c>
      <c r="AD1156" s="10">
        <f t="shared" si="663"/>
        <v>7.7179955980879924E-3</v>
      </c>
      <c r="AE1156" s="10" t="b">
        <f t="shared" si="664"/>
        <v>1</v>
      </c>
      <c r="AP1156"/>
      <c r="AQ1156"/>
      <c r="AU1156" s="16" cm="1">
        <f t="array" ref="AU1156">$C1156*EXP(poly_from_str(100000000/$E1156,AU$4342))</f>
        <v>0.38932665962032598</v>
      </c>
    </row>
    <row r="1157" spans="1:48" x14ac:dyDescent="0.25">
      <c r="A1157" t="s">
        <v>1844</v>
      </c>
      <c r="B1157" s="2" t="str">
        <f t="shared" si="660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661"/>
        <v>4288.3059999999996</v>
      </c>
      <c r="AB1157" s="3">
        <f t="shared" si="662"/>
        <v>23312.67</v>
      </c>
      <c r="AC1157" s="3" cm="1">
        <f t="array" ref="AC1157">100000000/LvacE(AA1157)</f>
        <v>23312.672261955573</v>
      </c>
      <c r="AD1157" s="10">
        <f t="shared" si="663"/>
        <v>7.71816799710137E-3</v>
      </c>
      <c r="AE1157" s="10" t="b">
        <f t="shared" si="664"/>
        <v>1</v>
      </c>
      <c r="AP1157"/>
      <c r="AQ1157"/>
      <c r="AU1157" s="16" cm="1">
        <f t="array" ref="AU1157">$C1157*EXP(poly_from_str(100000000/$E1157,AU$4342))</f>
        <v>0.15573301264138462</v>
      </c>
    </row>
    <row r="1158" spans="1:48" x14ac:dyDescent="0.25">
      <c r="A1158" t="s">
        <v>1845</v>
      </c>
      <c r="B1158" s="2" t="str">
        <f t="shared" si="660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661"/>
        <v>4287.9889999999996</v>
      </c>
      <c r="AB1158" s="3">
        <f t="shared" si="662"/>
        <v>23314.400000000001</v>
      </c>
      <c r="AC1158" s="3" cm="1">
        <f t="array" ref="AC1158">100000000/LvacE(AA1158)</f>
        <v>23314.395676147909</v>
      </c>
      <c r="AD1158" s="10">
        <f t="shared" si="663"/>
        <v>7.7185699025986206E-3</v>
      </c>
      <c r="AE1158" s="10" t="b">
        <f t="shared" si="664"/>
        <v>1</v>
      </c>
      <c r="AP1158"/>
      <c r="AQ1158"/>
      <c r="AU1158" s="16" cm="1">
        <f t="array" ref="AU1158">$C1158*EXP(poly_from_str(100000000/$E1158,AU$4342))</f>
        <v>0.19467333819785237</v>
      </c>
    </row>
    <row r="1159" spans="1:48" x14ac:dyDescent="0.25">
      <c r="A1159" t="s">
        <v>1846</v>
      </c>
      <c r="B1159" s="2" t="str">
        <f t="shared" si="660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661"/>
        <v>4287.7389999999996</v>
      </c>
      <c r="AB1159" s="3">
        <f t="shared" si="662"/>
        <v>23315.75</v>
      </c>
      <c r="AC1159" s="3" cm="1">
        <f t="array" ref="AC1159">100000000/LvacE(AA1159)</f>
        <v>23315.75501533215</v>
      </c>
      <c r="AD1159" s="10">
        <f t="shared" si="663"/>
        <v>7.7188869256421804E-3</v>
      </c>
      <c r="AE1159" s="10" t="b">
        <f t="shared" si="664"/>
        <v>1</v>
      </c>
      <c r="AP1159"/>
      <c r="AQ1159"/>
      <c r="AU1159" s="16" cm="1">
        <f t="array" ref="AU1159">$C1159*EXP(poly_from_str(100000000/$E1159,AU$4342))</f>
        <v>0.15574324791939037</v>
      </c>
    </row>
    <row r="1160" spans="1:48" x14ac:dyDescent="0.25">
      <c r="A1160" t="s">
        <v>1847</v>
      </c>
      <c r="B1160" s="2" t="str">
        <f t="shared" si="660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661"/>
        <v>4287.1170000000002</v>
      </c>
      <c r="AB1160" s="3">
        <f t="shared" si="662"/>
        <v>23319.14</v>
      </c>
      <c r="AC1160" s="3" cm="1">
        <f t="array" ref="AC1160">100000000/LvacE(AA1160)</f>
        <v>23319.137739108606</v>
      </c>
      <c r="AD1160" s="10">
        <f t="shared" si="663"/>
        <v>7.7196759196341749E-3</v>
      </c>
      <c r="AE1160" s="10" t="b">
        <f t="shared" si="664"/>
        <v>1</v>
      </c>
      <c r="AJ1160" t="s">
        <v>4767</v>
      </c>
      <c r="AK1160" t="s">
        <v>4702</v>
      </c>
      <c r="AL1160">
        <v>15705.13</v>
      </c>
      <c r="AM1160">
        <v>39024.269999999997</v>
      </c>
      <c r="AN1160" s="10" cm="1">
        <f t="array" ref="AN1160">Lair(100000000/($AM1160-$AL1160))</f>
        <v>4287.1165821300392</v>
      </c>
      <c r="AO1160" s="10">
        <f>100000000/($AM1160-$AL1160)</f>
        <v>4288.3228112185952</v>
      </c>
      <c r="AP1160" s="12">
        <v>1830000</v>
      </c>
      <c r="AQ1160" s="3">
        <v>7.3999999999999996E-2</v>
      </c>
      <c r="AR1160" s="3">
        <f>LN(AU1160*100000000/($AM1160-$AL1160)/AP1160)</f>
        <v>-5.9007411755445878</v>
      </c>
      <c r="AS1160" s="13">
        <f>EXP(AR$4341*$AM1160+AR$4342)*$AP1160/(100000000/($AM1160-$AL1160))</f>
        <v>2.0172717794683144</v>
      </c>
      <c r="AT1160" s="3">
        <f>LN(AS1160/$C1160)</f>
        <v>-2.6994513873605928</v>
      </c>
      <c r="AU1160" s="16" cm="1">
        <f t="array" ref="AU1160">$C1160*EXP(poly_from_str(100000000/$E1160,AU$4342))</f>
        <v>1.1681652632306805</v>
      </c>
      <c r="AV1160" s="13">
        <f>LN(AS1160/AU1160)</f>
        <v>0.54631162741262507</v>
      </c>
    </row>
    <row r="1161" spans="1:48" x14ac:dyDescent="0.25">
      <c r="A1161" t="s">
        <v>1848</v>
      </c>
      <c r="B1161" s="2" t="str">
        <f t="shared" si="660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661"/>
        <v>4286.4610000000002</v>
      </c>
      <c r="AB1161" s="3">
        <f t="shared" si="662"/>
        <v>23322.71</v>
      </c>
      <c r="AC1161" s="3" cm="1">
        <f t="array" ref="AC1161">100000000/LvacE(AA1161)</f>
        <v>23322.706434266514</v>
      </c>
      <c r="AD1161" s="10">
        <f t="shared" si="663"/>
        <v>7.7205084140817472E-3</v>
      </c>
      <c r="AE1161" s="10" t="b">
        <f t="shared" si="664"/>
        <v>1</v>
      </c>
      <c r="AP1161"/>
      <c r="AQ1161"/>
      <c r="AU1161" s="16" cm="1">
        <f t="array" ref="AU1161">$C1161*EXP(poly_from_str(100000000/$E1161,AU$4342))</f>
        <v>0.38942274895576134</v>
      </c>
    </row>
    <row r="1162" spans="1:48" x14ac:dyDescent="0.25">
      <c r="A1162" t="s">
        <v>1849</v>
      </c>
      <c r="B1162" s="2" t="str">
        <f t="shared" si="660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661"/>
        <v>4286.3220000000001</v>
      </c>
      <c r="AB1162" s="3">
        <f t="shared" si="662"/>
        <v>23323.46</v>
      </c>
      <c r="AC1162" s="3" cm="1">
        <f t="array" ref="AC1162">100000000/LvacE(AA1162)</f>
        <v>23323.462746199748</v>
      </c>
      <c r="AD1162" s="10">
        <f t="shared" si="663"/>
        <v>7.7206848606100695E-3</v>
      </c>
      <c r="AE1162" s="10" t="b">
        <f t="shared" si="664"/>
        <v>1</v>
      </c>
      <c r="AP1162"/>
      <c r="AQ1162"/>
      <c r="AU1162" s="16" cm="1">
        <f t="array" ref="AU1162">$C1162*EXP(poly_from_str(100000000/$E1162,AU$4342))</f>
        <v>4.6731633067311789</v>
      </c>
    </row>
    <row r="1163" spans="1:48" x14ac:dyDescent="0.25">
      <c r="A1163" t="s">
        <v>1850</v>
      </c>
      <c r="B1163" s="2" t="str">
        <f t="shared" si="660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665">$G1163&amp;""</f>
        <v>e</v>
      </c>
      <c r="N1163" t="str">
        <f t="shared" ref="N1163:N1164" si="666">$H1163&amp;""</f>
        <v>9/2</v>
      </c>
      <c r="O1163">
        <v>69138.28</v>
      </c>
      <c r="P1163" t="str">
        <f t="shared" ref="P1163:P1164" si="667">$J1163&amp;""</f>
        <v>o</v>
      </c>
      <c r="Q1163" t="str">
        <f t="shared" ref="Q1163:Q1164" si="668">$K1163&amp;""</f>
        <v>9/2</v>
      </c>
      <c r="R1163">
        <v>12</v>
      </c>
      <c r="AA1163" s="10">
        <f t="shared" si="661"/>
        <v>4284.7049999999999</v>
      </c>
      <c r="AB1163" s="3">
        <f t="shared" si="662"/>
        <v>23332.26</v>
      </c>
      <c r="AC1163" s="3" cm="1">
        <f t="array" ref="AC1163">100000000/LvacE(AA1163)</f>
        <v>23332.264599330829</v>
      </c>
      <c r="AD1163" s="10">
        <f t="shared" si="663"/>
        <v>7.7227387415622351E-3</v>
      </c>
      <c r="AE1163" s="10" t="b">
        <f t="shared" si="664"/>
        <v>1</v>
      </c>
      <c r="AJ1163" t="s">
        <v>4802</v>
      </c>
      <c r="AK1163" t="s">
        <v>4879</v>
      </c>
      <c r="AL1163">
        <v>45805.95</v>
      </c>
      <c r="AM1163">
        <v>69138.28</v>
      </c>
      <c r="AN1163" s="10" cm="1">
        <f t="array" ref="AN1163">Lair(100000000/($AM1163-$AL1163))</f>
        <v>4284.6929875011583</v>
      </c>
      <c r="AO1163" s="10">
        <f t="shared" ref="AO1163:AO1164" si="669">100000000/($AM1163-$AL1163)</f>
        <v>4285.8985793531974</v>
      </c>
      <c r="AP1163" s="12">
        <v>405000</v>
      </c>
      <c r="AQ1163" s="3">
        <v>0.02</v>
      </c>
      <c r="AR1163" s="3"/>
      <c r="AS1163" s="13">
        <f t="shared" ref="AS1163:AS1164" si="670">EXP(AR$4341*$AM1163+AR$4342)*$AP1163/(100000000/($AM1163-$AL1163))</f>
        <v>4.6615061022278213E-2</v>
      </c>
      <c r="AT1163" s="3"/>
      <c r="AU1163" s="16" cm="1">
        <f t="array" ref="AU1163">$C1163*EXP(poly_from_str(100000000/$E1163,AU$4342))</f>
        <v>7.7905347543908737E-2</v>
      </c>
    </row>
    <row r="1164" spans="1:48" x14ac:dyDescent="0.25">
      <c r="A1164" t="s">
        <v>1851</v>
      </c>
      <c r="B1164" s="2" t="str">
        <f t="shared" si="660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665"/>
        <v>o</v>
      </c>
      <c r="N1164" t="str">
        <f t="shared" si="666"/>
        <v>11/2</v>
      </c>
      <c r="O1164">
        <v>35828.46</v>
      </c>
      <c r="P1164" t="str">
        <f t="shared" si="667"/>
        <v>e</v>
      </c>
      <c r="Q1164" t="str">
        <f t="shared" si="668"/>
        <v>9/2</v>
      </c>
      <c r="R1164">
        <v>12</v>
      </c>
      <c r="AA1164" s="10">
        <f t="shared" si="661"/>
        <v>4284.4189999999999</v>
      </c>
      <c r="AB1164" s="3">
        <f t="shared" si="662"/>
        <v>23333.82</v>
      </c>
      <c r="AC1164" s="3" cm="1">
        <f t="array" ref="AC1164">100000000/LvacE(AA1164)</f>
        <v>23333.822081135851</v>
      </c>
      <c r="AD1164" s="10">
        <f t="shared" si="663"/>
        <v>7.7231022550707405E-3</v>
      </c>
      <c r="AE1164" s="10" t="b">
        <f t="shared" si="664"/>
        <v>1</v>
      </c>
      <c r="AJ1164" t="s">
        <v>4760</v>
      </c>
      <c r="AK1164" t="s">
        <v>4773</v>
      </c>
      <c r="AL1164">
        <v>12494.63</v>
      </c>
      <c r="AM1164">
        <v>35828.46</v>
      </c>
      <c r="AN1164" s="10" cm="1">
        <f t="array" ref="AN1164">Lair(100000000/($AM1164-$AL1164))</f>
        <v>4284.417543734764</v>
      </c>
      <c r="AO1164" s="10">
        <f t="shared" si="669"/>
        <v>4285.6230631662265</v>
      </c>
      <c r="AP1164" s="12">
        <v>12700000</v>
      </c>
      <c r="AQ1164" s="3">
        <v>8.3000000000000004E-2</v>
      </c>
      <c r="AR1164" s="3">
        <f>LN(AU1164*100000000/($AM1164-$AL1164)/AP1164)</f>
        <v>-7.5505718188335269</v>
      </c>
      <c r="AS1164" s="13">
        <f t="shared" si="670"/>
        <v>17.805314192830632</v>
      </c>
      <c r="AT1164" s="3">
        <f t="shared" ref="AT1164" si="671">LN(AS1164/$C1164)</f>
        <v>-0.80938249121410311</v>
      </c>
      <c r="AU1164" s="16" cm="1">
        <f t="array" ref="AU1164">$C1164*EXP(poly_from_str(100000000/$E1164,AU$4342))</f>
        <v>1.5581816095768108</v>
      </c>
      <c r="AV1164" s="13">
        <f>LN(AS1164/AU1164)</f>
        <v>2.4359774564057717</v>
      </c>
    </row>
    <row r="1165" spans="1:48" x14ac:dyDescent="0.25">
      <c r="A1165" t="s">
        <v>1852</v>
      </c>
      <c r="B1165" s="2" t="str">
        <f t="shared" si="660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661"/>
        <v>4282.8649999999998</v>
      </c>
      <c r="AB1165" s="3">
        <f t="shared" si="662"/>
        <v>23342.29</v>
      </c>
      <c r="AC1165" s="3" cm="1">
        <f t="array" ref="AC1165">100000000/LvacE(AA1165)</f>
        <v>23342.288397612814</v>
      </c>
      <c r="AD1165" s="10">
        <f t="shared" si="663"/>
        <v>7.7250787028791262E-3</v>
      </c>
      <c r="AE1165" s="10" t="b">
        <f t="shared" si="664"/>
        <v>1</v>
      </c>
      <c r="AP1165"/>
      <c r="AQ1165"/>
      <c r="AU1165" s="16" cm="1">
        <f t="array" ref="AU1165">$C1165*EXP(poly_from_str(100000000/$E1165,AU$4342))</f>
        <v>0.3896549421426958</v>
      </c>
    </row>
    <row r="1166" spans="1:48" x14ac:dyDescent="0.25">
      <c r="A1166" t="s">
        <v>1853</v>
      </c>
      <c r="B1166" s="2" t="str">
        <f t="shared" si="660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661"/>
        <v>4282.3059999999996</v>
      </c>
      <c r="AB1166" s="3">
        <f t="shared" si="662"/>
        <v>23345.33</v>
      </c>
      <c r="AC1166" s="3" cm="1">
        <f t="array" ref="AC1166">100000000/LvacE(AA1166)</f>
        <v>23345.335377061321</v>
      </c>
      <c r="AD1166" s="10">
        <f t="shared" si="663"/>
        <v>7.725790190736174E-3</v>
      </c>
      <c r="AE1166" s="10" t="b">
        <f t="shared" si="664"/>
        <v>1</v>
      </c>
      <c r="AP1166"/>
      <c r="AQ1166"/>
      <c r="AU1166" s="16" cm="1">
        <f t="array" ref="AU1166">$C1166*EXP(poly_from_str(100000000/$E1166,AU$4342))</f>
        <v>0.27278833970463051</v>
      </c>
    </row>
    <row r="1167" spans="1:48" x14ac:dyDescent="0.25">
      <c r="A1167" t="s">
        <v>1854</v>
      </c>
      <c r="B1167" s="2" t="str">
        <f t="shared" si="660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661"/>
        <v>4282.0439999999999</v>
      </c>
      <c r="AB1167" s="3">
        <f t="shared" si="662"/>
        <v>23346.76</v>
      </c>
      <c r="AC1167" s="3" cm="1">
        <f t="array" ref="AC1167">100000000/LvacE(AA1167)</f>
        <v>23346.76375214427</v>
      </c>
      <c r="AD1167" s="10">
        <f t="shared" si="663"/>
        <v>7.7261237568021571E-3</v>
      </c>
      <c r="AE1167" s="10" t="b">
        <f t="shared" si="664"/>
        <v>1</v>
      </c>
      <c r="AP1167"/>
      <c r="AQ1167"/>
      <c r="AU1167" s="16" cm="1">
        <f t="array" ref="AU1167">$C1167*EXP(poly_from_str(100000000/$E1167,AU$4342))</f>
        <v>0.23383099318709133</v>
      </c>
    </row>
    <row r="1168" spans="1:48" x14ac:dyDescent="0.25">
      <c r="A1168" t="s">
        <v>1855</v>
      </c>
      <c r="B1168" s="2" t="str">
        <f t="shared" si="660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661"/>
        <v>4281.4260000000004</v>
      </c>
      <c r="AB1168" s="3">
        <f t="shared" si="662"/>
        <v>23350.13</v>
      </c>
      <c r="AC1168" s="3" cm="1">
        <f t="array" ref="AC1168">100000000/LvacE(AA1168)</f>
        <v>23350.133665245437</v>
      </c>
      <c r="AD1168" s="10">
        <f t="shared" si="663"/>
        <v>7.7269108078996855E-3</v>
      </c>
      <c r="AE1168" s="10" t="b">
        <f t="shared" si="664"/>
        <v>1</v>
      </c>
      <c r="AP1168"/>
      <c r="AQ1168"/>
      <c r="AU1168" s="16" cm="1">
        <f t="array" ref="AU1168">$C1168*EXP(poly_from_str(100000000/$E1168,AU$4342))</f>
        <v>0.35079177900894509</v>
      </c>
    </row>
    <row r="1169" spans="1:47" x14ac:dyDescent="0.25">
      <c r="A1169" t="s">
        <v>1856</v>
      </c>
      <c r="B1169" s="2" t="str">
        <f t="shared" si="660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661"/>
        <v>4281.16</v>
      </c>
      <c r="AB1169" s="3">
        <f t="shared" si="662"/>
        <v>23351.58</v>
      </c>
      <c r="AC1169" s="3" cm="1">
        <f t="array" ref="AC1169">100000000/LvacE(AA1169)</f>
        <v>23351.584445136879</v>
      </c>
      <c r="AD1169" s="10">
        <f t="shared" si="663"/>
        <v>7.7272496759215829E-3</v>
      </c>
      <c r="AE1169" s="10" t="b">
        <f t="shared" si="664"/>
        <v>1</v>
      </c>
      <c r="AP1169"/>
      <c r="AQ1169"/>
      <c r="AU1169" s="16" cm="1">
        <f t="array" ref="AU1169">$C1169*EXP(poly_from_str(100000000/$E1169,AU$4342))</f>
        <v>0.15591638620197085</v>
      </c>
    </row>
    <row r="1170" spans="1:47" x14ac:dyDescent="0.25">
      <c r="A1170" t="s">
        <v>1857</v>
      </c>
      <c r="B1170" s="2" t="str">
        <f t="shared" si="660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661"/>
        <v>4279.72</v>
      </c>
      <c r="AB1170" s="3">
        <f t="shared" si="662"/>
        <v>23359.439999999999</v>
      </c>
      <c r="AC1170" s="3" cm="1">
        <f t="array" ref="AC1170">100000000/LvacE(AA1170)</f>
        <v>23359.441421805848</v>
      </c>
      <c r="AD1170" s="10">
        <f t="shared" si="663"/>
        <v>7.7290852464420388E-3</v>
      </c>
      <c r="AE1170" s="10" t="b">
        <f t="shared" si="664"/>
        <v>1</v>
      </c>
      <c r="AP1170"/>
      <c r="AQ1170"/>
      <c r="AU1170" s="16" cm="1">
        <f t="array" ref="AU1170">$C1170*EXP(poly_from_str(100000000/$E1170,AU$4342))</f>
        <v>0.31193517972845908</v>
      </c>
    </row>
    <row r="1171" spans="1:47" x14ac:dyDescent="0.25">
      <c r="A1171" t="s">
        <v>1858</v>
      </c>
      <c r="B1171" s="2" t="str">
        <f t="shared" si="660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661"/>
        <v>4279.2569999999996</v>
      </c>
      <c r="AB1171" s="3">
        <f t="shared" si="662"/>
        <v>23361.97</v>
      </c>
      <c r="AC1171" s="3" cm="1">
        <f t="array" ref="AC1171">100000000/LvacE(AA1171)</f>
        <v>23361.968781446656</v>
      </c>
      <c r="AD1171" s="10">
        <f t="shared" si="663"/>
        <v>7.7296758270707575E-3</v>
      </c>
      <c r="AE1171" s="10" t="b">
        <f t="shared" si="664"/>
        <v>1</v>
      </c>
      <c r="AJ1171" t="s">
        <v>4731</v>
      </c>
      <c r="AK1171" t="s">
        <v>4819</v>
      </c>
      <c r="AL1171">
        <v>39870.17</v>
      </c>
      <c r="AM1171">
        <v>63232.14</v>
      </c>
      <c r="AN1171" s="10" cm="1">
        <f t="array" ref="AN1171">Lair(100000000/($AM1171-$AL1171))</f>
        <v>4279.2567745369952</v>
      </c>
      <c r="AO1171" s="10">
        <f>100000000/($AM1171-$AL1171)</f>
        <v>4280.4609371555562</v>
      </c>
      <c r="AU1171" s="16" cm="1">
        <f t="array" ref="AU1171">$C1171*EXP(poly_from_str(100000000/$E1171,AU$4342))</f>
        <v>0.19498134580939938</v>
      </c>
    </row>
    <row r="1172" spans="1:47" x14ac:dyDescent="0.25">
      <c r="A1172" t="s">
        <v>1859</v>
      </c>
      <c r="B1172" s="2" t="str">
        <f t="shared" si="660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661"/>
        <v>4278.9780000000001</v>
      </c>
      <c r="AB1172" s="3">
        <f t="shared" si="662"/>
        <v>23363.49</v>
      </c>
      <c r="AC1172" s="3" cm="1">
        <f t="array" ref="AC1172">100000000/LvacE(AA1172)</f>
        <v>23363.492011706756</v>
      </c>
      <c r="AD1172" s="10">
        <f t="shared" si="663"/>
        <v>7.7300317986802869E-3</v>
      </c>
      <c r="AE1172" s="10" t="b">
        <f t="shared" si="664"/>
        <v>1</v>
      </c>
      <c r="AP1172"/>
      <c r="AQ1172"/>
      <c r="AU1172" s="16" cm="1">
        <f t="array" ref="AU1172">$C1172*EXP(poly_from_str(100000000/$E1172,AU$4342))</f>
        <v>0.23399372631560716</v>
      </c>
    </row>
    <row r="1173" spans="1:47" x14ac:dyDescent="0.25">
      <c r="A1173" t="s">
        <v>1860</v>
      </c>
      <c r="B1173" s="2" t="str">
        <f t="shared" si="660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661"/>
        <v>4278.6959999999999</v>
      </c>
      <c r="AB1173" s="3">
        <f t="shared" si="662"/>
        <v>23365.03</v>
      </c>
      <c r="AC1173" s="3" cm="1">
        <f t="array" ref="AC1173">100000000/LvacE(AA1173)</f>
        <v>23365.031822646266</v>
      </c>
      <c r="AD1173" s="10">
        <f t="shared" si="663"/>
        <v>7.7303916687054032E-3</v>
      </c>
      <c r="AE1173" s="10" t="b">
        <f t="shared" si="664"/>
        <v>1</v>
      </c>
      <c r="AP1173"/>
      <c r="AQ1173"/>
      <c r="AU1173" s="16" cm="1">
        <f t="array" ref="AU1173">$C1173*EXP(poly_from_str(100000000/$E1173,AU$4342))</f>
        <v>0.19500859939874443</v>
      </c>
    </row>
    <row r="1174" spans="1:47" x14ac:dyDescent="0.25">
      <c r="A1174" t="s">
        <v>1861</v>
      </c>
      <c r="B1174" s="2" t="str">
        <f t="shared" si="660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661"/>
        <v>4278.643</v>
      </c>
      <c r="AB1174" s="3">
        <f t="shared" si="662"/>
        <v>23365.32</v>
      </c>
      <c r="AC1174" s="3" cm="1">
        <f t="array" ref="AC1174">100000000/LvacE(AA1174)</f>
        <v>23365.321242395654</v>
      </c>
      <c r="AD1174" s="10">
        <f t="shared" si="663"/>
        <v>7.7304593117953121E-3</v>
      </c>
      <c r="AE1174" s="10" t="b">
        <f t="shared" si="664"/>
        <v>1</v>
      </c>
      <c r="AP1174"/>
      <c r="AQ1174"/>
      <c r="AU1174" s="16" cm="1">
        <f t="array" ref="AU1174">$C1174*EXP(poly_from_str(100000000/$E1174,AU$4342))</f>
        <v>0</v>
      </c>
    </row>
    <row r="1175" spans="1:47" x14ac:dyDescent="0.25">
      <c r="A1175" t="s">
        <v>1862</v>
      </c>
      <c r="B1175" s="2" t="str">
        <f t="shared" si="660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661"/>
        <v>4278.5959999999995</v>
      </c>
      <c r="AB1175" s="3">
        <f t="shared" si="662"/>
        <v>23365.58</v>
      </c>
      <c r="AC1175" s="3" cm="1">
        <f t="array" ref="AC1175">100000000/LvacE(AA1175)</f>
        <v>23365.577903643516</v>
      </c>
      <c r="AD1175" s="10">
        <f t="shared" si="663"/>
        <v>7.7305192992798942E-3</v>
      </c>
      <c r="AE1175" s="10" t="b">
        <f t="shared" si="664"/>
        <v>1</v>
      </c>
      <c r="AP1175"/>
      <c r="AQ1175"/>
      <c r="AU1175" s="16" cm="1">
        <f t="array" ref="AU1175">$C1175*EXP(poly_from_str(100000000/$E1175,AU$4342))</f>
        <v>0</v>
      </c>
    </row>
    <row r="1176" spans="1:47" x14ac:dyDescent="0.25">
      <c r="A1176" t="s">
        <v>1863</v>
      </c>
      <c r="B1176" s="2" t="str">
        <f t="shared" si="660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661"/>
        <v>4277.8469999999998</v>
      </c>
      <c r="AB1176" s="3">
        <f t="shared" si="662"/>
        <v>23369.67</v>
      </c>
      <c r="AC1176" s="3" cm="1">
        <f t="array" ref="AC1176">100000000/LvacE(AA1176)</f>
        <v>23369.668862036935</v>
      </c>
      <c r="AD1176" s="10">
        <f t="shared" si="663"/>
        <v>7.7314755368806942E-3</v>
      </c>
      <c r="AE1176" s="10" t="b">
        <f t="shared" si="664"/>
        <v>1</v>
      </c>
      <c r="AP1176"/>
      <c r="AQ1176"/>
      <c r="AU1176" s="16" cm="1">
        <f t="array" ref="AU1176">$C1176*EXP(poly_from_str(100000000/$E1176,AU$4342))</f>
        <v>0.39010325430439635</v>
      </c>
    </row>
    <row r="1177" spans="1:47" x14ac:dyDescent="0.25">
      <c r="A1177" t="s">
        <v>1864</v>
      </c>
      <c r="B1177" s="2" t="str">
        <f t="shared" si="660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661"/>
        <v>4276.8249999999998</v>
      </c>
      <c r="AB1177" s="3">
        <f t="shared" si="662"/>
        <v>23375.25</v>
      </c>
      <c r="AC1177" s="3" cm="1">
        <f t="array" ref="AC1177">100000000/LvacE(AA1177)</f>
        <v>23375.253228831858</v>
      </c>
      <c r="AD1177" s="10">
        <f t="shared" si="663"/>
        <v>7.7327811202038731E-3</v>
      </c>
      <c r="AE1177" s="10" t="b">
        <f t="shared" si="664"/>
        <v>1</v>
      </c>
      <c r="AP1177"/>
      <c r="AQ1177"/>
      <c r="AU1177" s="16" cm="1">
        <f t="array" ref="AU1177">$C1177*EXP(poly_from_str(100000000/$E1177,AU$4342))</f>
        <v>0.35119095023735813</v>
      </c>
    </row>
    <row r="1178" spans="1:47" x14ac:dyDescent="0.25">
      <c r="A1178" t="s">
        <v>1865</v>
      </c>
      <c r="B1178" s="2" t="str">
        <f t="shared" si="660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661"/>
        <v>4276.0389999999998</v>
      </c>
      <c r="AB1178" s="3">
        <f t="shared" si="662"/>
        <v>23379.55</v>
      </c>
      <c r="AC1178" s="3" cm="1">
        <f t="array" ref="AC1178">100000000/LvacE(AA1178)</f>
        <v>23379.549870847426</v>
      </c>
      <c r="AD1178" s="10">
        <f t="shared" si="663"/>
        <v>7.7337858554198669E-3</v>
      </c>
      <c r="AE1178" s="10" t="b">
        <f t="shared" si="664"/>
        <v>1</v>
      </c>
      <c r="AP1178"/>
      <c r="AQ1178"/>
      <c r="AU1178" s="16" cm="1">
        <f t="array" ref="AU1178">$C1178*EXP(poly_from_str(100000000/$E1178,AU$4342))</f>
        <v>0.23418007698819795</v>
      </c>
    </row>
    <row r="1179" spans="1:47" x14ac:dyDescent="0.25">
      <c r="A1179" t="s">
        <v>1866</v>
      </c>
      <c r="B1179" s="2" t="str">
        <f t="shared" si="660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661"/>
        <v>4275.9279999999999</v>
      </c>
      <c r="AB1179" s="3">
        <f t="shared" si="662"/>
        <v>23380.16</v>
      </c>
      <c r="AC1179" s="3" cm="1">
        <f t="array" ref="AC1179">100000000/LvacE(AA1179)</f>
        <v>23380.156775822088</v>
      </c>
      <c r="AD1179" s="10">
        <f t="shared" si="663"/>
        <v>7.7339277901571409E-3</v>
      </c>
      <c r="AE1179" s="10" t="b">
        <f t="shared" si="664"/>
        <v>1</v>
      </c>
      <c r="AP1179"/>
      <c r="AQ1179"/>
      <c r="AU1179" s="16" cm="1">
        <f t="array" ref="AU1179">$C1179*EXP(poly_from_str(100000000/$E1179,AU$4342))</f>
        <v>0.39031289042828343</v>
      </c>
    </row>
    <row r="1180" spans="1:47" x14ac:dyDescent="0.25">
      <c r="A1180" t="s">
        <v>1867</v>
      </c>
      <c r="B1180" s="2" t="str">
        <f t="shared" si="660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661"/>
        <v>4275.0720000000001</v>
      </c>
      <c r="AB1180" s="3">
        <f t="shared" si="662"/>
        <v>23384.84</v>
      </c>
      <c r="AC1180" s="3" cm="1">
        <f t="array" ref="AC1180">100000000/LvacE(AA1180)</f>
        <v>23384.838110646724</v>
      </c>
      <c r="AD1180" s="10">
        <f t="shared" si="663"/>
        <v>7.7350227213303924E-3</v>
      </c>
      <c r="AE1180" s="10" t="b">
        <f t="shared" si="664"/>
        <v>1</v>
      </c>
      <c r="AJ1180" t="s">
        <v>4978</v>
      </c>
      <c r="AK1180" t="s">
        <v>4754</v>
      </c>
      <c r="AL1180">
        <v>17642.060000000001</v>
      </c>
      <c r="AM1180">
        <v>41026.870000000003</v>
      </c>
      <c r="AN1180" s="10" cm="1">
        <f t="array" ref="AN1180">Lair(100000000/($AM1180-$AL1180))</f>
        <v>4275.0771368379201</v>
      </c>
      <c r="AO1180" s="10">
        <f>100000000/($AM1180-$AL1180)</f>
        <v>4276.2802006943821</v>
      </c>
      <c r="AU1180" s="16" cm="1">
        <f t="array" ref="AU1180">$C1180*EXP(poly_from_str(100000000/$E1180,AU$4342))</f>
        <v>7.0274366369990728</v>
      </c>
    </row>
    <row r="1181" spans="1:47" x14ac:dyDescent="0.25">
      <c r="A1181" t="s">
        <v>1868</v>
      </c>
      <c r="B1181" s="2" t="str">
        <f t="shared" si="660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661"/>
        <v>4274.97</v>
      </c>
      <c r="AB1181" s="3">
        <f t="shared" si="662"/>
        <v>23385.4</v>
      </c>
      <c r="AC1181" s="3" cm="1">
        <f t="array" ref="AC1181">100000000/LvacE(AA1181)</f>
        <v>23385.396058255945</v>
      </c>
      <c r="AD1181" s="10">
        <f t="shared" si="663"/>
        <v>7.7351532359590768E-3</v>
      </c>
      <c r="AE1181" s="10" t="b">
        <f t="shared" si="664"/>
        <v>1</v>
      </c>
      <c r="AP1181"/>
      <c r="AQ1181"/>
      <c r="AU1181" s="16" cm="1">
        <f t="array" ref="AU1181">$C1181*EXP(poly_from_str(100000000/$E1181,AU$4342))</f>
        <v>0.31234033640084186</v>
      </c>
    </row>
    <row r="1182" spans="1:47" x14ac:dyDescent="0.25">
      <c r="A1182" t="s">
        <v>1869</v>
      </c>
      <c r="B1182" s="2" t="str">
        <f t="shared" si="660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661"/>
        <v>4274.8270000000002</v>
      </c>
      <c r="AB1182" s="3">
        <f t="shared" si="662"/>
        <v>23386.18</v>
      </c>
      <c r="AC1182" s="3" cm="1">
        <f t="array" ref="AC1182">100000000/LvacE(AA1182)</f>
        <v>23386.178323753269</v>
      </c>
      <c r="AD1182" s="10">
        <f t="shared" si="663"/>
        <v>7.7353362280804892E-3</v>
      </c>
      <c r="AE1182" s="10" t="b">
        <f t="shared" si="664"/>
        <v>1</v>
      </c>
      <c r="AP1182"/>
      <c r="AQ1182"/>
      <c r="AU1182" s="16" cm="1">
        <f t="array" ref="AU1182">$C1182*EXP(poly_from_str(100000000/$E1182,AU$4342))</f>
        <v>1.1713278456372389</v>
      </c>
    </row>
    <row r="1183" spans="1:47" x14ac:dyDescent="0.25">
      <c r="A1183" t="s">
        <v>1870</v>
      </c>
      <c r="B1183" s="2" t="str">
        <f t="shared" si="660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661"/>
        <v>4274.393</v>
      </c>
      <c r="AB1183" s="3">
        <f t="shared" si="662"/>
        <v>23388.55</v>
      </c>
      <c r="AC1183" s="3" cm="1">
        <f t="array" ref="AC1183">100000000/LvacE(AA1183)</f>
        <v>23388.552792662293</v>
      </c>
      <c r="AD1183" s="10">
        <f t="shared" si="663"/>
        <v>7.7358917152286055E-3</v>
      </c>
      <c r="AE1183" s="10" t="b">
        <f t="shared" si="664"/>
        <v>1</v>
      </c>
      <c r="AP1183"/>
      <c r="AQ1183"/>
      <c r="AU1183" s="16" cm="1">
        <f t="array" ref="AU1183">$C1183*EXP(poly_from_str(100000000/$E1183,AU$4342))</f>
        <v>7.8099113179927571E-2</v>
      </c>
    </row>
    <row r="1184" spans="1:47" x14ac:dyDescent="0.25">
      <c r="A1184" t="s">
        <v>1871</v>
      </c>
      <c r="B1184" s="2" t="str">
        <f t="shared" si="660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661"/>
        <v>4273.9430000000002</v>
      </c>
      <c r="AB1184" s="3">
        <f t="shared" si="662"/>
        <v>23391.02</v>
      </c>
      <c r="AC1184" s="3" cm="1">
        <f t="array" ref="AC1184">100000000/LvacE(AA1184)</f>
        <v>23391.015308809056</v>
      </c>
      <c r="AD1184" s="10">
        <f t="shared" si="663"/>
        <v>7.7364678598672298E-3</v>
      </c>
      <c r="AE1184" s="10" t="b">
        <f t="shared" si="664"/>
        <v>1</v>
      </c>
      <c r="AP1184"/>
      <c r="AQ1184"/>
      <c r="AU1184" s="16" cm="1">
        <f t="array" ref="AU1184">$C1184*EXP(poly_from_str(100000000/$E1184,AU$4342))</f>
        <v>0.15622075170526251</v>
      </c>
    </row>
    <row r="1185" spans="1:47" x14ac:dyDescent="0.25">
      <c r="A1185" t="s">
        <v>1872</v>
      </c>
      <c r="B1185" s="2" t="str">
        <f t="shared" si="660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661"/>
        <v>4273.8559999999998</v>
      </c>
      <c r="AB1185" s="3">
        <f t="shared" si="662"/>
        <v>23391.49</v>
      </c>
      <c r="AC1185" s="3" cm="1">
        <f t="array" ref="AC1185">100000000/LvacE(AA1185)</f>
        <v>23391.491455081468</v>
      </c>
      <c r="AD1185" s="10">
        <f t="shared" si="663"/>
        <v>7.7365792688243902E-3</v>
      </c>
      <c r="AE1185" s="10" t="b">
        <f t="shared" si="664"/>
        <v>1</v>
      </c>
      <c r="AP1185"/>
      <c r="AQ1185"/>
      <c r="AU1185" s="16" cm="1">
        <f t="array" ref="AU1185">$C1185*EXP(poly_from_str(100000000/$E1185,AU$4342))</f>
        <v>0.19528136255331421</v>
      </c>
    </row>
    <row r="1186" spans="1:47" x14ac:dyDescent="0.25">
      <c r="A1186" t="s">
        <v>1873</v>
      </c>
      <c r="B1186" s="2" t="str">
        <f t="shared" si="660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661"/>
        <v>4272.8739999999998</v>
      </c>
      <c r="AB1186" s="3">
        <f t="shared" si="662"/>
        <v>23396.87</v>
      </c>
      <c r="AC1186" s="3" cm="1">
        <f t="array" ref="AC1186">100000000/LvacE(AA1186)</f>
        <v>23396.867232270462</v>
      </c>
      <c r="AD1186" s="10">
        <f t="shared" si="663"/>
        <v>7.7378372533651197E-3</v>
      </c>
      <c r="AE1186" s="10" t="b">
        <f t="shared" si="664"/>
        <v>1</v>
      </c>
      <c r="AP1186"/>
      <c r="AQ1186"/>
      <c r="AU1186" s="16" cm="1">
        <f t="array" ref="AU1186">$C1186*EXP(poly_from_str(100000000/$E1186,AU$4342))</f>
        <v>1.1720695232761551</v>
      </c>
    </row>
    <row r="1187" spans="1:47" x14ac:dyDescent="0.25">
      <c r="A1187" t="s">
        <v>1874</v>
      </c>
      <c r="B1187" s="2" t="str">
        <f t="shared" si="660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661"/>
        <v>4271.9579999999996</v>
      </c>
      <c r="AB1187" s="3">
        <f t="shared" si="662"/>
        <v>23401.88</v>
      </c>
      <c r="AC1187" s="3" cm="1">
        <f t="array" ref="AC1187">100000000/LvacE(AA1187)</f>
        <v>23401.883932506244</v>
      </c>
      <c r="AD1187" s="10">
        <f t="shared" si="663"/>
        <v>7.7390114711458121E-3</v>
      </c>
      <c r="AE1187" s="10" t="b">
        <f t="shared" si="664"/>
        <v>1</v>
      </c>
      <c r="AP1187"/>
      <c r="AQ1187"/>
      <c r="AU1187" s="16" cm="1">
        <f t="array" ref="AU1187">$C1187*EXP(poly_from_str(100000000/$E1187,AU$4342))</f>
        <v>7.8162622639630752E-2</v>
      </c>
    </row>
    <row r="1188" spans="1:47" x14ac:dyDescent="0.25">
      <c r="A1188" t="s">
        <v>1875</v>
      </c>
      <c r="B1188" s="2" t="str">
        <f t="shared" si="660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661"/>
        <v>4270.0619999999999</v>
      </c>
      <c r="AB1188" s="3">
        <f t="shared" si="662"/>
        <v>23412.27</v>
      </c>
      <c r="AC1188" s="3" cm="1">
        <f t="array" ref="AC1188">100000000/LvacE(AA1188)</f>
        <v>23412.27468278593</v>
      </c>
      <c r="AD1188" s="10">
        <f t="shared" si="663"/>
        <v>7.7414443493778236E-3</v>
      </c>
      <c r="AE1188" s="10" t="b">
        <f t="shared" si="664"/>
        <v>1</v>
      </c>
      <c r="AP1188"/>
      <c r="AQ1188"/>
      <c r="AU1188" s="16" cm="1">
        <f t="array" ref="AU1188">$C1188*EXP(poly_from_str(100000000/$E1188,AU$4342))</f>
        <v>0.23465026756367227</v>
      </c>
    </row>
    <row r="1189" spans="1:47" x14ac:dyDescent="0.25">
      <c r="A1189" t="s">
        <v>1876</v>
      </c>
      <c r="B1189" s="2" t="str">
        <f t="shared" si="660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661"/>
        <v>4269.8010000000004</v>
      </c>
      <c r="AB1189" s="3">
        <f t="shared" si="662"/>
        <v>23413.71</v>
      </c>
      <c r="AC1189" s="3" cm="1">
        <f t="array" ref="AC1189">100000000/LvacE(AA1189)</f>
        <v>23413.705777623269</v>
      </c>
      <c r="AD1189" s="10">
        <f t="shared" si="663"/>
        <v>7.7417795088838177E-3</v>
      </c>
      <c r="AE1189" s="10" t="b">
        <f t="shared" si="664"/>
        <v>1</v>
      </c>
      <c r="AP1189"/>
      <c r="AQ1189"/>
      <c r="AU1189" s="16" cm="1">
        <f t="array" ref="AU1189">$C1189*EXP(poly_from_str(100000000/$E1189,AU$4342))</f>
        <v>0.78224577563841624</v>
      </c>
    </row>
    <row r="1190" spans="1:47" x14ac:dyDescent="0.25">
      <c r="A1190" t="s">
        <v>1877</v>
      </c>
      <c r="B1190" s="2" t="str">
        <f t="shared" si="660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661"/>
        <v>4268.8180000000002</v>
      </c>
      <c r="AB1190" s="3">
        <f t="shared" si="662"/>
        <v>23419.1</v>
      </c>
      <c r="AC1190" s="3" cm="1">
        <f t="array" ref="AC1190">100000000/LvacE(AA1190)</f>
        <v>23419.097257188099</v>
      </c>
      <c r="AD1190" s="10">
        <f t="shared" si="663"/>
        <v>7.7430423664335297E-3</v>
      </c>
      <c r="AE1190" s="10" t="b">
        <f t="shared" si="664"/>
        <v>1</v>
      </c>
      <c r="AP1190"/>
      <c r="AQ1190"/>
      <c r="AU1190" s="16" cm="1">
        <f t="array" ref="AU1190">$C1190*EXP(poly_from_str(100000000/$E1190,AU$4342))</f>
        <v>0.3912727144610062</v>
      </c>
    </row>
    <row r="1191" spans="1:47" x14ac:dyDescent="0.25">
      <c r="A1191" t="s">
        <v>1878</v>
      </c>
      <c r="B1191" s="2" t="str">
        <f t="shared" si="660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661"/>
        <v>4267.8829999999998</v>
      </c>
      <c r="AB1191" s="3">
        <f t="shared" si="662"/>
        <v>23424.23</v>
      </c>
      <c r="AC1191" s="3" cm="1">
        <f t="array" ref="AC1191">100000000/LvacE(AA1191)</f>
        <v>23424.227774768555</v>
      </c>
      <c r="AD1191" s="10">
        <f t="shared" si="663"/>
        <v>7.7442443683166289E-3</v>
      </c>
      <c r="AE1191" s="10" t="b">
        <f t="shared" si="664"/>
        <v>1</v>
      </c>
      <c r="AP1191"/>
      <c r="AQ1191"/>
      <c r="AU1191" s="16" cm="1">
        <f t="array" ref="AU1191">$C1191*EXP(poly_from_str(100000000/$E1191,AU$4342))</f>
        <v>0.78284070297241803</v>
      </c>
    </row>
    <row r="1192" spans="1:47" x14ac:dyDescent="0.25">
      <c r="A1192" t="s">
        <v>1879</v>
      </c>
      <c r="B1192" s="2" t="str">
        <f t="shared" si="660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661"/>
        <v>4267.5320000000002</v>
      </c>
      <c r="AB1192" s="3">
        <f t="shared" si="662"/>
        <v>23426.15</v>
      </c>
      <c r="AC1192" s="3" cm="1">
        <f t="array" ref="AC1192">100000000/LvacE(AA1192)</f>
        <v>23426.154356929346</v>
      </c>
      <c r="AD1192" s="10">
        <f t="shared" si="663"/>
        <v>7.7446958050846892E-3</v>
      </c>
      <c r="AE1192" s="10" t="b">
        <f t="shared" si="664"/>
        <v>1</v>
      </c>
      <c r="AP1192"/>
      <c r="AQ1192"/>
      <c r="AU1192" s="16" cm="1">
        <f t="array" ref="AU1192">$C1192*EXP(poly_from_str(100000000/$E1192,AU$4342))</f>
        <v>0.1957384345875775</v>
      </c>
    </row>
    <row r="1193" spans="1:47" x14ac:dyDescent="0.25">
      <c r="A1193" t="s">
        <v>1880</v>
      </c>
      <c r="B1193" s="2" t="str">
        <f t="shared" si="660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661"/>
        <v>4267.1419999999998</v>
      </c>
      <c r="AB1193" s="3">
        <f t="shared" si="662"/>
        <v>23428.29</v>
      </c>
      <c r="AC1193" s="3" cm="1">
        <f t="array" ref="AC1193">100000000/LvacE(AA1193)</f>
        <v>23428.295375492286</v>
      </c>
      <c r="AD1193" s="10">
        <f t="shared" si="663"/>
        <v>7.745197532152936E-3</v>
      </c>
      <c r="AE1193" s="10" t="b">
        <f t="shared" si="664"/>
        <v>1</v>
      </c>
      <c r="AJ1193" t="s">
        <v>4765</v>
      </c>
      <c r="AK1193" t="s">
        <v>4923</v>
      </c>
      <c r="AL1193">
        <v>44903.42</v>
      </c>
      <c r="AM1193">
        <v>68331.75</v>
      </c>
      <c r="AN1193" s="10" cm="1">
        <f t="array" ref="AN1193">Lair(100000000/($AM1193-$AL1193))</f>
        <v>4267.1356911885614</v>
      </c>
      <c r="AO1193" s="10">
        <f>100000000/($AM1193-$AL1193)</f>
        <v>4268.3366676156602</v>
      </c>
      <c r="AP1193" s="12">
        <v>1070000</v>
      </c>
      <c r="AQ1193" s="3">
        <v>3.7999999999999999E-2</v>
      </c>
      <c r="AR1193" s="3"/>
      <c r="AS1193" s="13">
        <f>EXP(AR$4341*$AM1193+AR$4342)*$AP1193/(100000000/($AM1193-$AL1193))</f>
        <v>0.13137870516879102</v>
      </c>
      <c r="AT1193" s="3"/>
      <c r="AU1193" s="16" cm="1">
        <f t="array" ref="AU1193">$C1193*EXP(poly_from_str(100000000/$E1193,AU$4342))</f>
        <v>0.78308134375518368</v>
      </c>
    </row>
    <row r="1194" spans="1:47" x14ac:dyDescent="0.25">
      <c r="A1194" t="s">
        <v>1881</v>
      </c>
      <c r="B1194" s="2" t="str">
        <f t="shared" si="660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661"/>
        <v>4266.49</v>
      </c>
      <c r="AB1194" s="3">
        <f t="shared" si="662"/>
        <v>23431.88</v>
      </c>
      <c r="AC1194" s="3" cm="1">
        <f t="array" ref="AC1194">100000000/LvacE(AA1194)</f>
        <v>23431.875593499135</v>
      </c>
      <c r="AD1194" s="10">
        <f t="shared" si="663"/>
        <v>7.7460366241921506E-3</v>
      </c>
      <c r="AE1194" s="10" t="b">
        <f t="shared" si="664"/>
        <v>1</v>
      </c>
      <c r="AP1194"/>
      <c r="AQ1194"/>
      <c r="AU1194" s="16" cm="1">
        <f t="array" ref="AU1194">$C1194*EXP(poly_from_str(100000000/$E1194,AU$4342))</f>
        <v>0.35248465728793799</v>
      </c>
    </row>
    <row r="1195" spans="1:47" x14ac:dyDescent="0.25">
      <c r="A1195" t="s">
        <v>1882</v>
      </c>
      <c r="B1195" s="2" t="str">
        <f t="shared" si="660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661"/>
        <v>4266.1220000000003</v>
      </c>
      <c r="AB1195" s="3">
        <f t="shared" si="662"/>
        <v>23433.9</v>
      </c>
      <c r="AC1195" s="3" cm="1">
        <f t="array" ref="AC1195">100000000/LvacE(AA1195)</f>
        <v>23433.896813172421</v>
      </c>
      <c r="AD1195" s="10">
        <f t="shared" si="663"/>
        <v>7.7465103920108733E-3</v>
      </c>
      <c r="AE1195" s="10" t="b">
        <f t="shared" si="664"/>
        <v>1</v>
      </c>
      <c r="AP1195"/>
      <c r="AQ1195"/>
      <c r="AU1195" s="16" cm="1">
        <f t="array" ref="AU1195">$C1195*EXP(poly_from_str(100000000/$E1195,AU$4342))</f>
        <v>0.23502718467368755</v>
      </c>
    </row>
    <row r="1196" spans="1:47" x14ac:dyDescent="0.25">
      <c r="A1196" t="s">
        <v>1883</v>
      </c>
      <c r="B1196" s="2" t="str">
        <f t="shared" si="660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661"/>
        <v>4265.3599999999997</v>
      </c>
      <c r="AB1196" s="3">
        <f t="shared" si="662"/>
        <v>23438.080000000002</v>
      </c>
      <c r="AC1196" s="3" cm="1">
        <f t="array" ref="AC1196">100000000/LvacE(AA1196)</f>
        <v>23438.083164824657</v>
      </c>
      <c r="AD1196" s="10">
        <f t="shared" si="663"/>
        <v>7.747491790238651E-3</v>
      </c>
      <c r="AE1196" s="10" t="b">
        <f t="shared" si="664"/>
        <v>1</v>
      </c>
      <c r="AP1196"/>
      <c r="AQ1196"/>
      <c r="AU1196" s="16" cm="1">
        <f t="array" ref="AU1196">$C1196*EXP(poly_from_str(100000000/$E1196,AU$4342))</f>
        <v>0.78368682620416785</v>
      </c>
    </row>
    <row r="1197" spans="1:47" x14ac:dyDescent="0.25">
      <c r="A1197" t="s">
        <v>1884</v>
      </c>
      <c r="B1197" s="2" t="str">
        <f t="shared" si="660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661"/>
        <v>4262.4660000000003</v>
      </c>
      <c r="AB1197" s="3">
        <f t="shared" si="662"/>
        <v>23454</v>
      </c>
      <c r="AC1197" s="3" cm="1">
        <f t="array" ref="AC1197">100000000/LvacE(AA1197)</f>
        <v>23453.996147632944</v>
      </c>
      <c r="AD1197" s="10">
        <f t="shared" si="663"/>
        <v>7.7512238393963664E-3</v>
      </c>
      <c r="AE1197" s="10" t="b">
        <f t="shared" si="664"/>
        <v>1</v>
      </c>
      <c r="AP1197"/>
      <c r="AQ1197"/>
      <c r="AU1197" s="16" cm="1">
        <f t="array" ref="AU1197">$C1197*EXP(poly_from_str(100000000/$E1197,AU$4342))</f>
        <v>0.15694946240814814</v>
      </c>
    </row>
    <row r="1198" spans="1:47" x14ac:dyDescent="0.25">
      <c r="A1198" t="s">
        <v>1885</v>
      </c>
      <c r="B1198" s="2" t="str">
        <f t="shared" si="660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661"/>
        <v>4260.8419999999996</v>
      </c>
      <c r="AB1198" s="3">
        <f t="shared" si="662"/>
        <v>23462.94</v>
      </c>
      <c r="AC1198" s="3" cm="1">
        <f t="array" ref="AC1198">100000000/LvacE(AA1198)</f>
        <v>23462.935361747168</v>
      </c>
      <c r="AD1198" s="10">
        <f t="shared" si="663"/>
        <v>7.7533214516927844E-3</v>
      </c>
      <c r="AE1198" s="10" t="b">
        <f t="shared" si="664"/>
        <v>1</v>
      </c>
      <c r="AP1198"/>
      <c r="AQ1198"/>
      <c r="AU1198" s="16" cm="1">
        <f t="array" ref="AU1198">$C1198*EXP(poly_from_str(100000000/$E1198,AU$4342))</f>
        <v>0.35342275128254708</v>
      </c>
    </row>
    <row r="1199" spans="1:47" x14ac:dyDescent="0.25">
      <c r="A1199" t="s">
        <v>1886</v>
      </c>
      <c r="B1199" s="2" t="str">
        <f t="shared" si="660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661"/>
        <v>4260.5320000000002</v>
      </c>
      <c r="AB1199" s="3">
        <f t="shared" si="662"/>
        <v>23464.639999999999</v>
      </c>
      <c r="AC1199" s="3" cm="1">
        <f t="array" ref="AC1199">100000000/LvacE(AA1199)</f>
        <v>23464.642513384799</v>
      </c>
      <c r="AD1199" s="10">
        <f t="shared" si="663"/>
        <v>7.7537221306382392E-3</v>
      </c>
      <c r="AE1199" s="10" t="b">
        <f t="shared" si="664"/>
        <v>1</v>
      </c>
      <c r="AP1199"/>
      <c r="AQ1199"/>
      <c r="AU1199" s="16" cm="1">
        <f t="array" ref="AU1199">$C1199*EXP(poly_from_str(100000000/$E1199,AU$4342))</f>
        <v>0.19637706853584458</v>
      </c>
    </row>
    <row r="1200" spans="1:47" x14ac:dyDescent="0.25">
      <c r="A1200" t="s">
        <v>1887</v>
      </c>
      <c r="B1200" s="2" t="str">
        <f t="shared" si="660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661"/>
        <v>4259.4110000000001</v>
      </c>
      <c r="AB1200" s="3">
        <f t="shared" si="662"/>
        <v>23470.82</v>
      </c>
      <c r="AC1200" s="3" cm="1">
        <f t="array" ref="AC1200">100000000/LvacE(AA1200)</f>
        <v>23470.817867909151</v>
      </c>
      <c r="AD1200" s="10">
        <f t="shared" si="663"/>
        <v>7.7551717676351446E-3</v>
      </c>
      <c r="AE1200" s="10" t="b">
        <f t="shared" si="664"/>
        <v>1</v>
      </c>
      <c r="AP1200"/>
      <c r="AQ1200"/>
      <c r="AU1200" s="16" cm="1">
        <f t="array" ref="AU1200">$C1200*EXP(poly_from_str(100000000/$E1200,AU$4342))</f>
        <v>0.2750892895312721</v>
      </c>
    </row>
    <row r="1201" spans="1:48" x14ac:dyDescent="0.25">
      <c r="A1201" t="s">
        <v>1888</v>
      </c>
      <c r="B1201" s="2" t="str">
        <f t="shared" si="660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661"/>
        <v>4259.3220000000001</v>
      </c>
      <c r="AB1201" s="3">
        <f t="shared" si="662"/>
        <v>23471.31</v>
      </c>
      <c r="AC1201" s="3" cm="1">
        <f t="array" ref="AC1201">100000000/LvacE(AA1201)</f>
        <v>23471.308289569926</v>
      </c>
      <c r="AD1201" s="10">
        <f t="shared" si="663"/>
        <v>7.7552869082884463E-3</v>
      </c>
      <c r="AE1201" s="10" t="b">
        <f t="shared" si="664"/>
        <v>1</v>
      </c>
      <c r="AP1201"/>
      <c r="AQ1201"/>
      <c r="AU1201" s="16" cm="1">
        <f t="array" ref="AU1201">$C1201*EXP(poly_from_str(100000000/$E1201,AU$4342))</f>
        <v>0.27510229636201816</v>
      </c>
    </row>
    <row r="1202" spans="1:48" x14ac:dyDescent="0.25">
      <c r="A1202" t="s">
        <v>1889</v>
      </c>
      <c r="B1202" s="2" t="str">
        <f t="shared" si="660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661"/>
        <v>4258.5690000000004</v>
      </c>
      <c r="AB1202" s="3">
        <f t="shared" si="662"/>
        <v>23475.46</v>
      </c>
      <c r="AC1202" s="3" cm="1">
        <f t="array" ref="AC1202">100000000/LvacE(AA1202)</f>
        <v>23475.45840781178</v>
      </c>
      <c r="AD1202" s="10">
        <f t="shared" si="663"/>
        <v>7.7562613647696888E-3</v>
      </c>
      <c r="AE1202" s="10" t="b">
        <f t="shared" si="664"/>
        <v>1</v>
      </c>
      <c r="AP1202"/>
      <c r="AQ1202"/>
      <c r="AU1202" s="16" cm="1">
        <f t="array" ref="AU1202">$C1202*EXP(poly_from_str(100000000/$E1202,AU$4342))</f>
        <v>0.35384617770949933</v>
      </c>
    </row>
    <row r="1203" spans="1:48" x14ac:dyDescent="0.25">
      <c r="A1203" t="s">
        <v>1890</v>
      </c>
      <c r="B1203" s="2" t="str">
        <f t="shared" si="660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661"/>
        <v>4257.6270000000004</v>
      </c>
      <c r="AB1203" s="3">
        <f t="shared" si="662"/>
        <v>23480.65</v>
      </c>
      <c r="AC1203" s="3" cm="1">
        <f t="array" ref="AC1203">100000000/LvacE(AA1203)</f>
        <v>23480.652256031193</v>
      </c>
      <c r="AD1203" s="10">
        <f t="shared" si="663"/>
        <v>7.7574811339780579E-3</v>
      </c>
      <c r="AE1203" s="10" t="b">
        <f t="shared" si="664"/>
        <v>1</v>
      </c>
      <c r="AP1203"/>
      <c r="AQ1203"/>
      <c r="AU1203" s="16" cm="1">
        <f t="array" ref="AU1203">$C1203*EXP(poly_from_str(100000000/$E1203,AU$4342))</f>
        <v>0.78673177193514676</v>
      </c>
    </row>
    <row r="1204" spans="1:48" x14ac:dyDescent="0.25">
      <c r="A1204" t="s">
        <v>1891</v>
      </c>
      <c r="B1204" s="2" t="str">
        <f t="shared" si="660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661"/>
        <v>4256.92</v>
      </c>
      <c r="AB1204" s="3">
        <f t="shared" si="662"/>
        <v>23484.55</v>
      </c>
      <c r="AC1204" s="3" cm="1">
        <f t="array" ref="AC1204">100000000/LvacE(AA1204)</f>
        <v>23484.551908990779</v>
      </c>
      <c r="AD1204" s="10">
        <f t="shared" si="663"/>
        <v>7.7583971403022353E-3</v>
      </c>
      <c r="AE1204" s="10" t="b">
        <f t="shared" si="664"/>
        <v>1</v>
      </c>
      <c r="AP1204"/>
      <c r="AQ1204"/>
      <c r="AU1204" s="16" cm="1">
        <f t="array" ref="AU1204">$C1204*EXP(poly_from_str(100000000/$E1204,AU$4342))</f>
        <v>0.98380506932770007</v>
      </c>
    </row>
    <row r="1205" spans="1:48" x14ac:dyDescent="0.25">
      <c r="A1205" t="s">
        <v>1892</v>
      </c>
      <c r="B1205" s="2" t="str">
        <f t="shared" si="660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661"/>
        <v>4252.2529999999997</v>
      </c>
      <c r="AB1205" s="3">
        <f t="shared" si="662"/>
        <v>23510.33</v>
      </c>
      <c r="AC1205" s="3" cm="1">
        <f t="array" ref="AC1205">100000000/LvacE(AA1205)</f>
        <v>23510.326563073584</v>
      </c>
      <c r="AD1205" s="10">
        <f t="shared" si="663"/>
        <v>7.7644552855949053E-3</v>
      </c>
      <c r="AE1205" s="10" t="b">
        <f t="shared" si="664"/>
        <v>1</v>
      </c>
      <c r="AP1205"/>
      <c r="AQ1205"/>
      <c r="AU1205" s="16" cm="1">
        <f t="array" ref="AU1205">$C1205*EXP(poly_from_str(100000000/$E1205,AU$4342))</f>
        <v>0.35516165523586518</v>
      </c>
    </row>
    <row r="1206" spans="1:48" x14ac:dyDescent="0.25">
      <c r="A1206" t="s">
        <v>1893</v>
      </c>
      <c r="B1206" s="2" t="str">
        <f t="shared" si="660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661"/>
        <v>4250.4920000000002</v>
      </c>
      <c r="AB1206" s="3">
        <f t="shared" si="662"/>
        <v>23520.07</v>
      </c>
      <c r="AC1206" s="3" cm="1">
        <f t="array" ref="AC1206">100000000/LvacE(AA1206)</f>
        <v>23520.066825683498</v>
      </c>
      <c r="AD1206" s="10">
        <f t="shared" si="663"/>
        <v>7.7667463937920005E-3</v>
      </c>
      <c r="AE1206" s="10" t="b">
        <f t="shared" si="664"/>
        <v>1</v>
      </c>
      <c r="AP1206"/>
      <c r="AQ1206"/>
      <c r="AU1206" s="16" cm="1">
        <f t="array" ref="AU1206">$C1206*EXP(poly_from_str(100000000/$E1206,AU$4342))</f>
        <v>7.9014385580252172E-2</v>
      </c>
    </row>
    <row r="1207" spans="1:48" x14ac:dyDescent="0.25">
      <c r="A1207" t="s">
        <v>1894</v>
      </c>
      <c r="B1207" s="2" t="str">
        <f t="shared" si="660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661"/>
        <v>4250.299</v>
      </c>
      <c r="AB1207" s="3">
        <f t="shared" si="662"/>
        <v>23521.13</v>
      </c>
      <c r="AC1207" s="3" cm="1">
        <f t="array" ref="AC1207">100000000/LvacE(AA1207)</f>
        <v>23521.134818241706</v>
      </c>
      <c r="AD1207" s="10">
        <f t="shared" si="663"/>
        <v>7.7669976651338771E-3</v>
      </c>
      <c r="AE1207" s="10" t="b">
        <f t="shared" si="664"/>
        <v>1</v>
      </c>
      <c r="AP1207"/>
      <c r="AQ1207"/>
      <c r="AU1207" s="16" cm="1">
        <f t="array" ref="AU1207">$C1207*EXP(poly_from_str(100000000/$E1207,AU$4342))</f>
        <v>1.5804868345769783</v>
      </c>
    </row>
    <row r="1208" spans="1:48" x14ac:dyDescent="0.25">
      <c r="A1208" t="s">
        <v>1895</v>
      </c>
      <c r="B1208" s="2" t="str">
        <f t="shared" si="660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661"/>
        <v>4250.1589999999997</v>
      </c>
      <c r="AB1208" s="3">
        <f t="shared" si="662"/>
        <v>23521.91</v>
      </c>
      <c r="AC1208" s="3" cm="1">
        <f t="array" ref="AC1208">100000000/LvacE(AA1208)</f>
        <v>23521.909588566097</v>
      </c>
      <c r="AD1208" s="10">
        <f t="shared" si="663"/>
        <v>7.7671799559223664E-3</v>
      </c>
      <c r="AE1208" s="10" t="b">
        <f t="shared" si="664"/>
        <v>1</v>
      </c>
      <c r="AP1208"/>
      <c r="AQ1208"/>
      <c r="AU1208" s="16" cm="1">
        <f t="array" ref="AU1208">$C1208*EXP(poly_from_str(100000000/$E1208,AU$4342))</f>
        <v>0.39515846998353871</v>
      </c>
    </row>
    <row r="1209" spans="1:48" x14ac:dyDescent="0.25">
      <c r="A1209" t="s">
        <v>1896</v>
      </c>
      <c r="B1209" s="2" t="str">
        <f t="shared" si="660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661"/>
        <v>4249.9560000000001</v>
      </c>
      <c r="AB1209" s="3">
        <f t="shared" si="662"/>
        <v>23523.03</v>
      </c>
      <c r="AC1209" s="3" cm="1">
        <f t="array" ref="AC1209">100000000/LvacE(AA1209)</f>
        <v>23523.033096201019</v>
      </c>
      <c r="AD1209" s="10">
        <f t="shared" si="663"/>
        <v>7.7674443095647368E-3</v>
      </c>
      <c r="AE1209" s="10" t="b">
        <f t="shared" si="664"/>
        <v>1</v>
      </c>
      <c r="AP1209"/>
      <c r="AQ1209"/>
      <c r="AU1209" s="16" cm="1">
        <f t="array" ref="AU1209">$C1209*EXP(poly_from_str(100000000/$E1209,AU$4342))</f>
        <v>0.27664801398208477</v>
      </c>
    </row>
    <row r="1210" spans="1:48" x14ac:dyDescent="0.25">
      <c r="A1210" t="s">
        <v>1897</v>
      </c>
      <c r="B1210" s="2" t="str">
        <f t="shared" si="660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661"/>
        <v>4249.4549999999999</v>
      </c>
      <c r="AB1210" s="3">
        <f t="shared" si="662"/>
        <v>23525.81</v>
      </c>
      <c r="AC1210" s="3" cm="1">
        <f t="array" ref="AC1210">100000000/LvacE(AA1210)</f>
        <v>23525.806350256236</v>
      </c>
      <c r="AD1210" s="10">
        <f t="shared" si="663"/>
        <v>7.7680968912785565E-3</v>
      </c>
      <c r="AE1210" s="10" t="b">
        <f t="shared" si="664"/>
        <v>1</v>
      </c>
      <c r="AJ1210" t="s">
        <v>4805</v>
      </c>
      <c r="AK1210" t="s">
        <v>4726</v>
      </c>
      <c r="AL1210">
        <v>36640.379999999997</v>
      </c>
      <c r="AM1210">
        <v>60166.2</v>
      </c>
      <c r="AN1210" s="10" cm="1">
        <f t="array" ref="AN1210">Lair(100000000/($AM1210-$AL1210))</f>
        <v>4249.4525319802851</v>
      </c>
      <c r="AO1210" s="10">
        <f>100000000/($AM1210-$AL1210)</f>
        <v>4250.6488615487151</v>
      </c>
      <c r="AP1210" s="12">
        <v>2030000</v>
      </c>
      <c r="AQ1210" s="3">
        <v>0.126</v>
      </c>
      <c r="AR1210" s="3">
        <f>LN(AU1210*100000000/($AM1210-$AL1210)/AP1210)</f>
        <v>-5.998106317384055</v>
      </c>
      <c r="AS1210" s="13">
        <f>EXP(AR$4341*$AM1210+AR$4342)*$AP1210/(100000000/($AM1210-$AL1210))</f>
        <v>0.46192928385061377</v>
      </c>
      <c r="AT1210" s="3">
        <f>LN(AS1210/$C1210)</f>
        <v>-4.1735408465366479</v>
      </c>
      <c r="AU1210" s="16" cm="1">
        <f t="array" ref="AU1210">$C1210*EXP(poly_from_str(100000000/$E1210,AU$4342))</f>
        <v>1.1860317964786595</v>
      </c>
      <c r="AV1210" s="13">
        <f>LN(AS1210/AU1210)</f>
        <v>-0.94295657493774732</v>
      </c>
    </row>
    <row r="1211" spans="1:48" x14ac:dyDescent="0.25">
      <c r="A1211" t="s">
        <v>1898</v>
      </c>
      <c r="B1211" s="2" t="str">
        <f t="shared" si="660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661"/>
        <v>4249.2889999999998</v>
      </c>
      <c r="AB1211" s="3">
        <f t="shared" si="662"/>
        <v>23526.73</v>
      </c>
      <c r="AC1211" s="3" cm="1">
        <f t="array" ref="AC1211">100000000/LvacE(AA1211)</f>
        <v>23526.725377067694</v>
      </c>
      <c r="AD1211" s="10">
        <f t="shared" si="663"/>
        <v>7.7683131668695275E-3</v>
      </c>
      <c r="AE1211" s="10" t="b">
        <f t="shared" si="664"/>
        <v>1</v>
      </c>
      <c r="AP1211"/>
      <c r="AQ1211"/>
      <c r="AU1211" s="16" cm="1">
        <f t="array" ref="AU1211">$C1211*EXP(poly_from_str(100000000/$E1211,AU$4342))</f>
        <v>1.1861642527853922</v>
      </c>
    </row>
    <row r="1212" spans="1:48" x14ac:dyDescent="0.25">
      <c r="A1212" t="s">
        <v>1899</v>
      </c>
      <c r="B1212" s="2" t="str">
        <f t="shared" si="660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661"/>
        <v>4248.8220000000001</v>
      </c>
      <c r="AB1212" s="3">
        <f t="shared" si="662"/>
        <v>23529.31</v>
      </c>
      <c r="AC1212" s="3" cm="1">
        <f t="array" ref="AC1212">100000000/LvacE(AA1212)</f>
        <v>23529.311217188992</v>
      </c>
      <c r="AD1212" s="10">
        <f t="shared" si="663"/>
        <v>7.7689217408012136E-3</v>
      </c>
      <c r="AE1212" s="10" t="b">
        <f t="shared" si="664"/>
        <v>1</v>
      </c>
      <c r="AJ1212" t="s">
        <v>4695</v>
      </c>
      <c r="AK1212" t="s">
        <v>4807</v>
      </c>
      <c r="AL1212">
        <v>11761.69</v>
      </c>
      <c r="AM1212">
        <v>35291</v>
      </c>
      <c r="AN1212" s="10" cm="1">
        <f t="array" ref="AN1212">Lair(100000000/($AM1212-$AL1212))</f>
        <v>4248.8222173669992</v>
      </c>
      <c r="AO1212" s="10">
        <f>100000000/($AM1212-$AL1212)</f>
        <v>4250.0183813294998</v>
      </c>
      <c r="AP1212" s="12">
        <v>274000</v>
      </c>
      <c r="AQ1212" s="3">
        <v>5.3999999999999999E-2</v>
      </c>
      <c r="AR1212" s="3">
        <f>LN(AU1212*100000000/($AM1212-$AL1212)/AP1212)</f>
        <v>-5.7869243084168724</v>
      </c>
      <c r="AS1212" s="13">
        <f>EXP(AR$4341*$AM1212+AR$4342)*$AP1212/(100000000/($AM1212-$AL1212))</f>
        <v>0.40330792277911526</v>
      </c>
      <c r="AT1212" s="3">
        <f>LN(AS1212/$C1212)</f>
        <v>-2.5174928448523248</v>
      </c>
      <c r="AU1212" s="16" cm="1">
        <f t="array" ref="AU1212">$C1212*EXP(poly_from_str(100000000/$E1212,AU$4342))</f>
        <v>0.19775636020894796</v>
      </c>
      <c r="AV1212" s="13">
        <f>LN(AS1212/AU1212)</f>
        <v>0.71266457755625634</v>
      </c>
    </row>
    <row r="1213" spans="1:48" x14ac:dyDescent="0.25">
      <c r="A1213" t="s">
        <v>1900</v>
      </c>
      <c r="B1213" s="2" t="str">
        <f t="shared" si="660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661"/>
        <v>4248.4570000000003</v>
      </c>
      <c r="AB1213" s="3">
        <f t="shared" si="662"/>
        <v>23531.33</v>
      </c>
      <c r="AC1213" s="3" cm="1">
        <f t="array" ref="AC1213">100000000/LvacE(AA1213)</f>
        <v>23531.332665742993</v>
      </c>
      <c r="AD1213" s="10">
        <f t="shared" si="663"/>
        <v>7.7693975325327513E-3</v>
      </c>
      <c r="AE1213" s="10" t="b">
        <f t="shared" si="664"/>
        <v>1</v>
      </c>
      <c r="AP1213"/>
      <c r="AQ1213"/>
      <c r="AU1213" s="16" cm="1">
        <f t="array" ref="AU1213">$C1213*EXP(poly_from_str(100000000/$E1213,AU$4342))</f>
        <v>0.19780557274987423</v>
      </c>
    </row>
    <row r="1214" spans="1:48" x14ac:dyDescent="0.25">
      <c r="A1214" t="s">
        <v>1901</v>
      </c>
      <c r="B1214" s="2" t="str">
        <f t="shared" si="660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661"/>
        <v>4248.1859999999997</v>
      </c>
      <c r="AB1214" s="3">
        <f t="shared" si="662"/>
        <v>23532.83</v>
      </c>
      <c r="AC1214" s="3" cm="1">
        <f t="array" ref="AC1214">100000000/LvacE(AA1214)</f>
        <v>23532.833746754492</v>
      </c>
      <c r="AD1214" s="10">
        <f t="shared" si="663"/>
        <v>7.7697508709310865E-3</v>
      </c>
      <c r="AE1214" s="10" t="b">
        <f t="shared" si="664"/>
        <v>1</v>
      </c>
      <c r="AP1214"/>
      <c r="AQ1214"/>
      <c r="AU1214" s="16" cm="1">
        <f t="array" ref="AU1214">$C1214*EXP(poly_from_str(100000000/$E1214,AU$4342))</f>
        <v>0.39568471153827645</v>
      </c>
    </row>
    <row r="1215" spans="1:48" x14ac:dyDescent="0.25">
      <c r="A1215" t="s">
        <v>1902</v>
      </c>
      <c r="B1215" s="2" t="str">
        <f t="shared" si="660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672">$G1215&amp;""</f>
        <v>e</v>
      </c>
      <c r="N1215" t="str">
        <f t="shared" ref="N1215:N1216" si="673">$H1215&amp;""</f>
        <v>3/2</v>
      </c>
      <c r="O1215">
        <v>75560.75</v>
      </c>
      <c r="P1215" t="str">
        <f t="shared" ref="P1215:P1216" si="674">$J1215&amp;""</f>
        <v>o</v>
      </c>
      <c r="Q1215" t="str">
        <f t="shared" ref="Q1215:Q1216" si="675">$K1215&amp;""</f>
        <v>5/2</v>
      </c>
      <c r="R1215">
        <v>12</v>
      </c>
      <c r="AA1215" s="10">
        <f t="shared" si="661"/>
        <v>4248.0209999999997</v>
      </c>
      <c r="AB1215" s="3">
        <f t="shared" si="662"/>
        <v>23533.75</v>
      </c>
      <c r="AC1215" s="3" cm="1">
        <f t="array" ref="AC1215">100000000/LvacE(AA1215)</f>
        <v>23533.747782868333</v>
      </c>
      <c r="AD1215" s="10">
        <f t="shared" si="663"/>
        <v>7.7699660362870546E-3</v>
      </c>
      <c r="AE1215" s="10" t="b">
        <f t="shared" si="664"/>
        <v>1</v>
      </c>
      <c r="AJ1215" t="s">
        <v>4777</v>
      </c>
      <c r="AK1215" t="s">
        <v>4943</v>
      </c>
      <c r="AL1215">
        <v>52026.9</v>
      </c>
      <c r="AM1215">
        <v>75560.75</v>
      </c>
      <c r="AN1215" s="10" cm="1">
        <f t="array" ref="AN1215">Lair(100000000/($AM1215-$AL1215))</f>
        <v>4248.0025463247475</v>
      </c>
      <c r="AO1215" s="10">
        <f t="shared" ref="AO1215:AO1216" si="676">100000000/($AM1215-$AL1215)</f>
        <v>4249.198494933893</v>
      </c>
      <c r="AP1215" s="12">
        <v>4080000</v>
      </c>
      <c r="AQ1215" s="3">
        <v>4.9000000000000002E-2</v>
      </c>
      <c r="AR1215" s="3"/>
      <c r="AS1215" s="13">
        <f t="shared" ref="AS1215:AS1216" si="677">EXP(AR$4341*$AM1215+AR$4342)*$AP1215/(100000000/($AM1215-$AL1215))</f>
        <v>0.29251126564790508</v>
      </c>
      <c r="AT1215" s="3"/>
      <c r="AU1215" s="16" cm="1">
        <f t="array" ref="AU1215">$C1215*EXP(poly_from_str(100000000/$E1215,AU$4342))</f>
        <v>0.31658402686765214</v>
      </c>
    </row>
    <row r="1216" spans="1:48" x14ac:dyDescent="0.25">
      <c r="A1216" t="s">
        <v>1903</v>
      </c>
      <c r="B1216" s="2" t="str">
        <f t="shared" si="660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672"/>
        <v>e</v>
      </c>
      <c r="N1216" t="str">
        <f t="shared" si="673"/>
        <v>13/2</v>
      </c>
      <c r="O1216">
        <v>62240.83</v>
      </c>
      <c r="P1216" t="str">
        <f t="shared" si="674"/>
        <v>o</v>
      </c>
      <c r="Q1216" t="str">
        <f t="shared" si="675"/>
        <v>11/2</v>
      </c>
      <c r="R1216">
        <v>12</v>
      </c>
      <c r="AA1216" s="10">
        <f t="shared" si="661"/>
        <v>4247.0389999999998</v>
      </c>
      <c r="AB1216" s="3">
        <f t="shared" si="662"/>
        <v>23539.19</v>
      </c>
      <c r="AC1216" s="3" cm="1">
        <f t="array" ref="AC1216">100000000/LvacE(AA1216)</f>
        <v>23539.189151760991</v>
      </c>
      <c r="AD1216" s="10">
        <f t="shared" si="663"/>
        <v>7.771247114961858E-3</v>
      </c>
      <c r="AE1216" s="10" t="b">
        <f t="shared" si="664"/>
        <v>1</v>
      </c>
      <c r="AJ1216" t="s">
        <v>4751</v>
      </c>
      <c r="AK1216" t="s">
        <v>4892</v>
      </c>
      <c r="AL1216">
        <v>38701.589999999997</v>
      </c>
      <c r="AM1216">
        <v>62240.83</v>
      </c>
      <c r="AN1216" s="10" cm="1">
        <f t="array" ref="AN1216">Lair(100000000/($AM1216-$AL1216))</f>
        <v>4247.0298231529978</v>
      </c>
      <c r="AO1216" s="10">
        <f t="shared" si="676"/>
        <v>4248.2255162018819</v>
      </c>
      <c r="AP1216" s="12">
        <v>6040000</v>
      </c>
      <c r="AQ1216" s="3">
        <v>0.17699999999999999</v>
      </c>
      <c r="AR1216" s="3">
        <f>LN(AU1216*100000000/($AM1216-$AL1216)/AP1216)</f>
        <v>-7.0873837826330757</v>
      </c>
      <c r="AS1216" s="13">
        <f t="shared" si="677"/>
        <v>1.1769198969563273</v>
      </c>
      <c r="AT1216" s="3">
        <f t="shared" ref="AT1216" si="678">LN(AS1216/$C1216)</f>
        <v>-3.2382966126614847</v>
      </c>
      <c r="AU1216" s="16" cm="1">
        <f t="array" ref="AU1216">$C1216*EXP(poly_from_str(100000000/$E1216,AU$4342))</f>
        <v>1.1880034656465515</v>
      </c>
      <c r="AV1216" s="13">
        <f>LN(AS1216/AU1216)</f>
        <v>-9.3733691464295641E-3</v>
      </c>
    </row>
    <row r="1217" spans="1:48" x14ac:dyDescent="0.25">
      <c r="A1217" t="s">
        <v>1904</v>
      </c>
      <c r="B1217" s="2" t="str">
        <f t="shared" si="660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661"/>
        <v>4246.8779999999997</v>
      </c>
      <c r="AB1217" s="3">
        <f t="shared" si="662"/>
        <v>23540.080000000002</v>
      </c>
      <c r="AC1217" s="3" cm="1">
        <f t="array" ref="AC1217">100000000/LvacE(AA1217)</f>
        <v>23540.081510382679</v>
      </c>
      <c r="AD1217" s="10">
        <f t="shared" si="663"/>
        <v>7.7714572340414163E-3</v>
      </c>
      <c r="AE1217" s="10" t="b">
        <f t="shared" si="664"/>
        <v>1</v>
      </c>
      <c r="AP1217"/>
      <c r="AQ1217"/>
      <c r="AU1217" s="16" cm="1">
        <f t="array" ref="AU1217">$C1217*EXP(poly_from_str(100000000/$E1217,AU$4342))</f>
        <v>0.31683681680302261</v>
      </c>
    </row>
    <row r="1218" spans="1:48" x14ac:dyDescent="0.25">
      <c r="A1218" t="s">
        <v>1905</v>
      </c>
      <c r="B1218" s="2" t="str">
        <f t="shared" si="660"/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661"/>
        <v>4246.0609999999997</v>
      </c>
      <c r="AB1218" s="3">
        <f t="shared" si="662"/>
        <v>23544.61</v>
      </c>
      <c r="AC1218" s="3" cm="1">
        <f t="array" ref="AC1218">100000000/LvacE(AA1218)</f>
        <v>23544.610857670585</v>
      </c>
      <c r="AD1218" s="10">
        <f t="shared" si="663"/>
        <v>7.7725238588977627E-3</v>
      </c>
      <c r="AE1218" s="10" t="b">
        <f t="shared" si="664"/>
        <v>1</v>
      </c>
      <c r="AP1218"/>
      <c r="AQ1218"/>
      <c r="AU1218" s="16" cm="1">
        <f t="array" ref="AU1218">$C1218*EXP(poly_from_str(100000000/$E1218,AU$4342))</f>
        <v>0.39627660177296342</v>
      </c>
    </row>
    <row r="1219" spans="1:48" x14ac:dyDescent="0.25">
      <c r="A1219" t="s">
        <v>1906</v>
      </c>
      <c r="B1219" s="2" t="str">
        <f t="shared" ref="B1219:B1282" si="679">IF(OR(A1219=A1218,A1219=A1220),IF(B1218="",1,B1218+1),"")</f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680">ROUND($A1219,3)+0</f>
        <v>4245.7129999999997</v>
      </c>
      <c r="AB1219" s="3">
        <f t="shared" ref="AB1219:AB1282" si="681">ROUND($E1219,2)+0</f>
        <v>23546.54</v>
      </c>
      <c r="AC1219" s="3" cm="1">
        <f t="array" ref="AC1219">100000000/LvacE(AA1219)</f>
        <v>23546.540656137073</v>
      </c>
      <c r="AD1219" s="10">
        <f t="shared" ref="AD1219:AD1282" si="682">0.0005/$AA1219*AC1219+0.005</f>
        <v>7.7729783732599297E-3</v>
      </c>
      <c r="AE1219" s="10" t="b">
        <f t="shared" ref="AE1219:AE1282" si="683">ABS(AB1219-AC1219)&lt;AD1219</f>
        <v>1</v>
      </c>
      <c r="AP1219"/>
      <c r="AQ1219"/>
      <c r="AU1219" s="16" cm="1">
        <f t="array" ref="AU1219">$C1219*EXP(poly_from_str(100000000/$E1219,AU$4342))</f>
        <v>0.39637596665478825</v>
      </c>
    </row>
    <row r="1220" spans="1:48" x14ac:dyDescent="0.25">
      <c r="A1220" t="s">
        <v>1907</v>
      </c>
      <c r="B1220" s="2" t="str">
        <f t="shared" si="679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680"/>
        <v>4245.5</v>
      </c>
      <c r="AB1220" s="3">
        <f t="shared" si="681"/>
        <v>23547.72</v>
      </c>
      <c r="AC1220" s="3" cm="1">
        <f t="array" ref="AC1220">100000000/LvacE(AA1220)</f>
        <v>23547.721981963055</v>
      </c>
      <c r="AD1220" s="10">
        <f t="shared" si="682"/>
        <v>7.7732566225371634E-3</v>
      </c>
      <c r="AE1220" s="10" t="b">
        <f t="shared" si="683"/>
        <v>1</v>
      </c>
      <c r="AP1220"/>
      <c r="AQ1220"/>
      <c r="AU1220" s="16" cm="1">
        <f t="array" ref="AU1220">$C1220*EXP(poly_from_str(100000000/$E1220,AU$4342))</f>
        <v>0.59465557439864514</v>
      </c>
    </row>
    <row r="1221" spans="1:48" x14ac:dyDescent="0.25">
      <c r="A1221" t="s">
        <v>1908</v>
      </c>
      <c r="B1221" s="2" t="str">
        <f t="shared" si="679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680"/>
        <v>4245.0110000000004</v>
      </c>
      <c r="AB1221" s="3">
        <f t="shared" si="681"/>
        <v>23550.43</v>
      </c>
      <c r="AC1221" s="3" cm="1">
        <f t="array" ref="AC1221">100000000/LvacE(AA1221)</f>
        <v>23550.434488326278</v>
      </c>
      <c r="AD1221" s="10">
        <f t="shared" si="682"/>
        <v>7.7738955786364602E-3</v>
      </c>
      <c r="AE1221" s="10" t="b">
        <f t="shared" si="683"/>
        <v>1</v>
      </c>
      <c r="AP1221"/>
      <c r="AQ1221"/>
      <c r="AU1221" s="16" cm="1">
        <f t="array" ref="AU1221">$C1221*EXP(poly_from_str(100000000/$E1221,AU$4342))</f>
        <v>0.19828914242322845</v>
      </c>
    </row>
    <row r="1222" spans="1:48" x14ac:dyDescent="0.25">
      <c r="A1222" t="s">
        <v>1909</v>
      </c>
      <c r="B1222" s="2" t="str">
        <f t="shared" si="679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680"/>
        <v>4244.5079999999998</v>
      </c>
      <c r="AB1222" s="3">
        <f t="shared" si="681"/>
        <v>23553.23</v>
      </c>
      <c r="AC1222" s="3" cm="1">
        <f t="array" ref="AC1222">100000000/LvacE(AA1222)</f>
        <v>23553.225305438653</v>
      </c>
      <c r="AD1222" s="10">
        <f t="shared" si="682"/>
        <v>7.7745530583802243E-3</v>
      </c>
      <c r="AE1222" s="10" t="b">
        <f t="shared" si="683"/>
        <v>1</v>
      </c>
      <c r="AP1222"/>
      <c r="AQ1222"/>
      <c r="AU1222" s="16" cm="1">
        <f t="array" ref="AU1222">$C1222*EXP(poly_from_str(100000000/$E1222,AU$4342))</f>
        <v>1.190176807768609</v>
      </c>
    </row>
    <row r="1223" spans="1:48" x14ac:dyDescent="0.25">
      <c r="A1223" t="s">
        <v>1910</v>
      </c>
      <c r="B1223" s="2" t="str">
        <f t="shared" si="679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680"/>
        <v>4243.6949999999997</v>
      </c>
      <c r="AB1223" s="3">
        <f t="shared" si="681"/>
        <v>23557.74</v>
      </c>
      <c r="AC1223" s="3" cm="1">
        <f t="array" ref="AC1223">100000000/LvacE(AA1223)</f>
        <v>23557.737508030488</v>
      </c>
      <c r="AD1223" s="10">
        <f t="shared" si="682"/>
        <v>7.7756162386823854E-3</v>
      </c>
      <c r="AE1223" s="10" t="b">
        <f t="shared" si="683"/>
        <v>1</v>
      </c>
      <c r="AP1223"/>
      <c r="AQ1223"/>
      <c r="AU1223" s="16" cm="1">
        <f t="array" ref="AU1223">$C1223*EXP(poly_from_str(100000000/$E1223,AU$4342))</f>
        <v>0.15878634492344679</v>
      </c>
    </row>
    <row r="1224" spans="1:48" x14ac:dyDescent="0.25">
      <c r="A1224" t="s">
        <v>1911</v>
      </c>
      <c r="B1224" s="2" t="str">
        <f t="shared" si="679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680"/>
        <v>4242.25</v>
      </c>
      <c r="AB1224" s="3">
        <f t="shared" si="681"/>
        <v>23565.759999999998</v>
      </c>
      <c r="AC1224" s="3" cm="1">
        <f t="array" ref="AC1224">100000000/LvacE(AA1224)</f>
        <v>23565.761620055779</v>
      </c>
      <c r="AD1224" s="10">
        <f t="shared" si="682"/>
        <v>7.7775074099894845E-3</v>
      </c>
      <c r="AE1224" s="10" t="b">
        <f t="shared" si="683"/>
        <v>1</v>
      </c>
      <c r="AP1224"/>
      <c r="AQ1224"/>
      <c r="AU1224" s="16" cm="1">
        <f t="array" ref="AU1224">$C1224*EXP(poly_from_str(100000000/$E1224,AU$4342))</f>
        <v>0.79480432653152788</v>
      </c>
    </row>
    <row r="1225" spans="1:48" x14ac:dyDescent="0.25">
      <c r="A1225" t="s">
        <v>1912</v>
      </c>
      <c r="B1225" s="2" t="str">
        <f t="shared" si="679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680"/>
        <v>4241.5</v>
      </c>
      <c r="AB1225" s="3">
        <f t="shared" si="681"/>
        <v>23569.93</v>
      </c>
      <c r="AC1225" s="3" cm="1">
        <f t="array" ref="AC1225">100000000/LvacE(AA1225)</f>
        <v>23569.928539306049</v>
      </c>
      <c r="AD1225" s="10">
        <f t="shared" si="682"/>
        <v>7.7784897488277788E-3</v>
      </c>
      <c r="AE1225" s="10" t="b">
        <f t="shared" si="683"/>
        <v>1</v>
      </c>
      <c r="AP1225"/>
      <c r="AQ1225"/>
      <c r="AU1225" s="16" cm="1">
        <f t="array" ref="AU1225">$C1225*EXP(poly_from_str(100000000/$E1225,AU$4342))</f>
        <v>7.9526718786490355E-2</v>
      </c>
    </row>
    <row r="1226" spans="1:48" x14ac:dyDescent="0.25">
      <c r="A1226" t="s">
        <v>1913</v>
      </c>
      <c r="B1226" s="2" t="str">
        <f t="shared" si="679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680"/>
        <v>4241.3140000000003</v>
      </c>
      <c r="AB1226" s="3">
        <f t="shared" si="681"/>
        <v>23570.959999999999</v>
      </c>
      <c r="AC1226" s="3" cm="1">
        <f t="array" ref="AC1226">100000000/LvacE(AA1226)</f>
        <v>23570.962163329546</v>
      </c>
      <c r="AD1226" s="10">
        <f t="shared" si="682"/>
        <v>7.7787334495075756E-3</v>
      </c>
      <c r="AE1226" s="10" t="b">
        <f t="shared" si="683"/>
        <v>1</v>
      </c>
      <c r="AP1226"/>
      <c r="AQ1226"/>
      <c r="AU1226" s="16" cm="1">
        <f t="array" ref="AU1226">$C1226*EXP(poly_from_str(100000000/$E1226,AU$4342))</f>
        <v>0.99422809920991972</v>
      </c>
    </row>
    <row r="1227" spans="1:48" x14ac:dyDescent="0.25">
      <c r="A1227" t="s">
        <v>1914</v>
      </c>
      <c r="B1227" s="2" t="str">
        <f t="shared" si="679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680"/>
        <v>4240.6490000000003</v>
      </c>
      <c r="AB1227" s="3">
        <f t="shared" si="681"/>
        <v>23574.66</v>
      </c>
      <c r="AC1227" s="3" cm="1">
        <f t="array" ref="AC1227">100000000/LvacE(AA1227)</f>
        <v>23574.658388644941</v>
      </c>
      <c r="AD1227" s="10">
        <f t="shared" si="682"/>
        <v>7.7796050072341449E-3</v>
      </c>
      <c r="AE1227" s="10" t="b">
        <f t="shared" si="683"/>
        <v>1</v>
      </c>
      <c r="AP1227"/>
      <c r="AQ1227"/>
      <c r="AU1227" s="16" cm="1">
        <f t="array" ref="AU1227">$C1227*EXP(poly_from_str(100000000/$E1227,AU$4342))</f>
        <v>0.31831991227260037</v>
      </c>
    </row>
    <row r="1228" spans="1:48" x14ac:dyDescent="0.25">
      <c r="A1228" t="s">
        <v>1915</v>
      </c>
      <c r="B1228" s="2" t="str">
        <f t="shared" si="679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680"/>
        <v>4239.5519999999997</v>
      </c>
      <c r="AB1228" s="3">
        <f t="shared" si="681"/>
        <v>23580.76</v>
      </c>
      <c r="AC1228" s="3" cm="1">
        <f t="array" ref="AC1228">100000000/LvacE(AA1228)</f>
        <v>23580.758304912692</v>
      </c>
      <c r="AD1228" s="10">
        <f t="shared" si="682"/>
        <v>7.7810436462287403E-3</v>
      </c>
      <c r="AE1228" s="10" t="b">
        <f t="shared" si="683"/>
        <v>1</v>
      </c>
      <c r="AJ1228" t="s">
        <v>4982</v>
      </c>
      <c r="AK1228" t="s">
        <v>4702</v>
      </c>
      <c r="AL1228">
        <v>15443.48</v>
      </c>
      <c r="AM1228">
        <v>39024.269999999997</v>
      </c>
      <c r="AN1228" s="10" cm="1">
        <f t="array" ref="AN1228">Lair(100000000/($AM1228-$AL1228))</f>
        <v>4239.5462989985199</v>
      </c>
      <c r="AO1228" s="10">
        <f>100000000/($AM1228-$AL1228)</f>
        <v>4240.7400260975146</v>
      </c>
      <c r="AP1228" s="12">
        <v>47600</v>
      </c>
      <c r="AQ1228" s="3">
        <v>1.2E-2</v>
      </c>
      <c r="AR1228" s="3"/>
      <c r="AS1228" s="13">
        <f>EXP(AR$4341*$AM1228+AR$4342)*$AP1228/(100000000/($AM1228-$AL1228))</f>
        <v>5.3059859651524197E-2</v>
      </c>
      <c r="AT1228" s="3"/>
      <c r="AU1228" s="16" cm="1">
        <f t="array" ref="AU1228">$C1228*EXP(poly_from_str(100000000/$E1228,AU$4342))</f>
        <v>7.9649850916333323E-2</v>
      </c>
    </row>
    <row r="1229" spans="1:48" x14ac:dyDescent="0.25">
      <c r="A1229" t="s">
        <v>1916</v>
      </c>
      <c r="B1229" s="2" t="str">
        <f t="shared" si="679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680"/>
        <v>4237.1769999999997</v>
      </c>
      <c r="AB1229" s="3">
        <f t="shared" si="681"/>
        <v>23593.98</v>
      </c>
      <c r="AC1229" s="3" cm="1">
        <f t="array" ref="AC1229">100000000/LvacE(AA1229)</f>
        <v>23593.975416913516</v>
      </c>
      <c r="AD1229" s="10">
        <f t="shared" si="682"/>
        <v>7.7841621221999367E-3</v>
      </c>
      <c r="AE1229" s="10" t="b">
        <f t="shared" si="683"/>
        <v>1</v>
      </c>
      <c r="AP1229"/>
      <c r="AQ1229"/>
      <c r="AU1229" s="16" cm="1">
        <f t="array" ref="AU1229">$C1229*EXP(poly_from_str(100000000/$E1229,AU$4342))</f>
        <v>0.11970879957839563</v>
      </c>
    </row>
    <row r="1230" spans="1:48" x14ac:dyDescent="0.25">
      <c r="A1230" t="s">
        <v>1917</v>
      </c>
      <c r="B1230" s="2" t="str">
        <f t="shared" si="679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680"/>
        <v>4234.8239999999996</v>
      </c>
      <c r="AB1230" s="3">
        <f t="shared" si="681"/>
        <v>23607.08</v>
      </c>
      <c r="AC1230" s="3" cm="1">
        <f t="array" ref="AC1230">100000000/LvacE(AA1230)</f>
        <v>23607.0847159242</v>
      </c>
      <c r="AD1230" s="10">
        <f t="shared" si="682"/>
        <v>7.7872568866999194E-3</v>
      </c>
      <c r="AE1230" s="10" t="b">
        <f t="shared" si="683"/>
        <v>1</v>
      </c>
      <c r="AP1230"/>
      <c r="AQ1230"/>
      <c r="AU1230" s="16" cm="1">
        <f t="array" ref="AU1230">$C1230*EXP(poly_from_str(100000000/$E1230,AU$4342))</f>
        <v>0.99958310449106902</v>
      </c>
    </row>
    <row r="1231" spans="1:48" x14ac:dyDescent="0.25">
      <c r="A1231" t="s">
        <v>1918</v>
      </c>
      <c r="B1231" s="2" t="str">
        <f t="shared" si="679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680"/>
        <v>4232.576</v>
      </c>
      <c r="AB1231" s="3">
        <f t="shared" si="681"/>
        <v>23619.62</v>
      </c>
      <c r="AC1231" s="3" cm="1">
        <f t="array" ref="AC1231">100000000/LvacE(AA1231)</f>
        <v>23619.622641164311</v>
      </c>
      <c r="AD1231" s="10">
        <f t="shared" si="682"/>
        <v>7.7902183730622094E-3</v>
      </c>
      <c r="AE1231" s="10" t="b">
        <f t="shared" si="683"/>
        <v>1</v>
      </c>
      <c r="AP1231"/>
      <c r="AQ1231"/>
      <c r="AU1231" s="16" cm="1">
        <f t="array" ref="AU1231">$C1231*EXP(poly_from_str(100000000/$E1231,AU$4342))</f>
        <v>0.28044210031251748</v>
      </c>
    </row>
    <row r="1232" spans="1:48" x14ac:dyDescent="0.25">
      <c r="A1232" t="s">
        <v>1919</v>
      </c>
      <c r="B1232" s="2" t="str">
        <f t="shared" si="679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680"/>
        <v>4231.8209999999999</v>
      </c>
      <c r="AB1232" s="3">
        <f t="shared" si="681"/>
        <v>23623.84</v>
      </c>
      <c r="AC1232" s="3" cm="1">
        <f t="array" ref="AC1232">100000000/LvacE(AA1232)</f>
        <v>23623.836542740377</v>
      </c>
      <c r="AD1232" s="10">
        <f t="shared" si="682"/>
        <v>7.7912140592360096E-3</v>
      </c>
      <c r="AE1232" s="10" t="b">
        <f t="shared" si="683"/>
        <v>1</v>
      </c>
      <c r="AJ1232" t="s">
        <v>4972</v>
      </c>
      <c r="AK1232" t="s">
        <v>4864</v>
      </c>
      <c r="AL1232">
        <v>45807.1</v>
      </c>
      <c r="AM1232">
        <v>69431</v>
      </c>
      <c r="AN1232" s="10" cm="1">
        <f t="array" ref="AN1232">Lair(100000000/($AM1232-$AL1232))</f>
        <v>4231.8096299626759</v>
      </c>
      <c r="AO1232" s="10">
        <f>100000000/($AM1232-$AL1232)</f>
        <v>4233.0013249294143</v>
      </c>
      <c r="AP1232" s="12">
        <v>293000</v>
      </c>
      <c r="AQ1232" s="3">
        <v>5.1999999999999998E-2</v>
      </c>
      <c r="AR1232" s="3">
        <f>LN(AU1232*100000000/($AM1232-$AL1232)/AP1232)</f>
        <v>-7.4538733378855948</v>
      </c>
      <c r="AS1232" s="13">
        <f>EXP(AR$4341*$AM1232+AR$4342)*$AP1232/(100000000/($AM1232-$AL1232))</f>
        <v>3.3403493828889984E-2</v>
      </c>
      <c r="AT1232" s="3">
        <f>LN(AS1232/$C1232)</f>
        <v>-3.3990947788148835</v>
      </c>
      <c r="AU1232" s="16" cm="1">
        <f t="array" ref="AU1232">$C1232*EXP(poly_from_str(100000000/$E1232,AU$4342))</f>
        <v>4.0090655433574977E-2</v>
      </c>
      <c r="AV1232" s="13">
        <f>LN(AS1232/AU1232)</f>
        <v>-0.18248277540752081</v>
      </c>
    </row>
    <row r="1233" spans="1:48" x14ac:dyDescent="0.25">
      <c r="A1233" t="s">
        <v>1920</v>
      </c>
      <c r="B1233" s="2" t="str">
        <f t="shared" si="679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680"/>
        <v>4231.4539999999997</v>
      </c>
      <c r="AB1233" s="3">
        <f t="shared" si="681"/>
        <v>23625.89</v>
      </c>
      <c r="AC1233" s="3" cm="1">
        <f t="array" ref="AC1233">100000000/LvacE(AA1233)</f>
        <v>23625.88543271631</v>
      </c>
      <c r="AD1233" s="10">
        <f t="shared" si="682"/>
        <v>7.7916982475428435E-3</v>
      </c>
      <c r="AE1233" s="10" t="b">
        <f t="shared" si="683"/>
        <v>1</v>
      </c>
      <c r="AP1233"/>
      <c r="AQ1233"/>
      <c r="AU1233" s="16" cm="1">
        <f t="array" ref="AU1233">$C1233*EXP(poly_from_str(100000000/$E1233,AU$4342))</f>
        <v>7.2187431273930747</v>
      </c>
    </row>
    <row r="1234" spans="1:48" x14ac:dyDescent="0.25">
      <c r="A1234" t="s">
        <v>1921</v>
      </c>
      <c r="B1234" s="2" t="str">
        <f t="shared" si="679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680"/>
        <v>4231.1689999999999</v>
      </c>
      <c r="AB1234" s="3">
        <f t="shared" si="681"/>
        <v>23627.48</v>
      </c>
      <c r="AC1234" s="3" cm="1">
        <f t="array" ref="AC1234">100000000/LvacE(AA1234)</f>
        <v>23627.476777733678</v>
      </c>
      <c r="AD1234" s="10">
        <f t="shared" si="682"/>
        <v>7.7920743389987123E-3</v>
      </c>
      <c r="AE1234" s="10" t="b">
        <f t="shared" si="683"/>
        <v>1</v>
      </c>
      <c r="AP1234"/>
      <c r="AQ1234"/>
      <c r="AU1234" s="16" cm="1">
        <f t="array" ref="AU1234">$C1234*EXP(poly_from_str(100000000/$E1234,AU$4342))</f>
        <v>0.16045852016401813</v>
      </c>
    </row>
    <row r="1235" spans="1:48" x14ac:dyDescent="0.25">
      <c r="A1235" t="s">
        <v>1922</v>
      </c>
      <c r="B1235" s="2" t="str">
        <f t="shared" si="679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684">$G1235&amp;""</f>
        <v>o</v>
      </c>
      <c r="N1235" t="str">
        <f t="shared" ref="N1235:N1240" si="685">$H1235&amp;""</f>
        <v>11/2</v>
      </c>
      <c r="O1235">
        <v>25033.91</v>
      </c>
      <c r="P1235" t="str">
        <f t="shared" ref="P1235:P1240" si="686">$J1235&amp;""</f>
        <v>e</v>
      </c>
      <c r="Q1235" t="str">
        <f t="shared" ref="Q1235:Q1240" si="687">$K1235&amp;""</f>
        <v>9/2</v>
      </c>
      <c r="R1235">
        <v>12</v>
      </c>
      <c r="S1235" t="s">
        <v>6</v>
      </c>
      <c r="AA1235" s="10">
        <f t="shared" si="680"/>
        <v>4229.7240000000002</v>
      </c>
      <c r="AB1235" s="3">
        <f t="shared" si="681"/>
        <v>23635.55</v>
      </c>
      <c r="AC1235" s="3" cm="1">
        <f t="array" ref="AC1235">100000000/LvacE(AA1235)</f>
        <v>23635.548476111027</v>
      </c>
      <c r="AD1235" s="10">
        <f t="shared" si="682"/>
        <v>7.793982358672933E-3</v>
      </c>
      <c r="AE1235" s="10" t="b">
        <f t="shared" si="683"/>
        <v>1</v>
      </c>
      <c r="AJ1235" t="s">
        <v>4826</v>
      </c>
      <c r="AK1235" t="s">
        <v>4746</v>
      </c>
      <c r="AL1235">
        <v>1398.34</v>
      </c>
      <c r="AM1235">
        <v>25033.91</v>
      </c>
      <c r="AN1235" s="10" cm="1">
        <f t="array" ref="AN1235">Lair(100000000/($AM1235-$AL1235))</f>
        <v>4229.7201455584964</v>
      </c>
      <c r="AO1235" s="10">
        <f t="shared" ref="AO1235:AO1240" si="688">100000000/($AM1235-$AL1235)</f>
        <v>4230.9112917522189</v>
      </c>
      <c r="AP1235" s="12">
        <v>105000</v>
      </c>
      <c r="AQ1235" s="3">
        <v>3.4000000000000002E-2</v>
      </c>
      <c r="AR1235" s="3"/>
      <c r="AS1235" s="13">
        <f>EXP(AR$4341*$AM1235+AR$4342)*$AP1235/(100000000/($AM1235-$AL1235))</f>
        <v>0.33522430112096885</v>
      </c>
      <c r="AT1235" s="3"/>
      <c r="AU1235" s="16" cm="1">
        <f t="array" ref="AU1235">$C1235*EXP(poly_from_str(100000000/$E1235,AU$4342))</f>
        <v>0.24101176131939539</v>
      </c>
    </row>
    <row r="1236" spans="1:48" x14ac:dyDescent="0.25">
      <c r="A1236" t="s">
        <v>1923</v>
      </c>
      <c r="B1236" s="2" t="str">
        <f t="shared" si="679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684"/>
        <v>o</v>
      </c>
      <c r="N1236" t="str">
        <f t="shared" si="685"/>
        <v>13/2</v>
      </c>
      <c r="O1236">
        <v>39725.99</v>
      </c>
      <c r="P1236" t="str">
        <f t="shared" si="686"/>
        <v>e</v>
      </c>
      <c r="Q1236" t="str">
        <f t="shared" si="687"/>
        <v>15/2</v>
      </c>
      <c r="R1236">
        <v>12</v>
      </c>
      <c r="AA1236" s="10">
        <f t="shared" si="680"/>
        <v>4229.4880000000003</v>
      </c>
      <c r="AB1236" s="3">
        <f t="shared" si="681"/>
        <v>23636.87</v>
      </c>
      <c r="AC1236" s="3" cm="1">
        <f t="array" ref="AC1236">100000000/LvacE(AA1236)</f>
        <v>23636.867284346456</v>
      </c>
      <c r="AD1236" s="10">
        <f t="shared" si="682"/>
        <v>7.7942941656704611E-3</v>
      </c>
      <c r="AE1236" s="10" t="b">
        <f t="shared" si="683"/>
        <v>1</v>
      </c>
      <c r="AJ1236" t="s">
        <v>4988</v>
      </c>
      <c r="AK1236" t="s">
        <v>4745</v>
      </c>
      <c r="AL1236">
        <v>16089.14</v>
      </c>
      <c r="AM1236">
        <v>39725.99</v>
      </c>
      <c r="AN1236" s="10" cm="1">
        <f t="array" ref="AN1236">Lair(100000000/($AM1236-$AL1236))</f>
        <v>4229.4910903104146</v>
      </c>
      <c r="AO1236" s="10">
        <f t="shared" si="688"/>
        <v>4230.6821763475255</v>
      </c>
      <c r="AU1236" s="16" cm="1">
        <f t="array" ref="AU1236">$C1236*EXP(poly_from_str(100000000/$E1236,AU$4342))</f>
        <v>1.2053270938597815</v>
      </c>
    </row>
    <row r="1237" spans="1:48" x14ac:dyDescent="0.25">
      <c r="A1237" t="s">
        <v>1924</v>
      </c>
      <c r="B1237" s="2" t="str">
        <f t="shared" si="679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684"/>
        <v>e</v>
      </c>
      <c r="N1237" t="str">
        <f t="shared" si="685"/>
        <v>5/2</v>
      </c>
      <c r="O1237">
        <v>58158.080000000002</v>
      </c>
      <c r="P1237" t="str">
        <f t="shared" si="686"/>
        <v>o</v>
      </c>
      <c r="Q1237" t="str">
        <f t="shared" si="687"/>
        <v>7/2</v>
      </c>
      <c r="R1237">
        <v>12</v>
      </c>
      <c r="AA1237" s="10">
        <f t="shared" si="680"/>
        <v>4229.33</v>
      </c>
      <c r="AB1237" s="3">
        <f t="shared" si="681"/>
        <v>23637.75</v>
      </c>
      <c r="AC1237" s="3" cm="1">
        <f t="array" ref="AC1237">100000000/LvacE(AA1237)</f>
        <v>23637.750297534152</v>
      </c>
      <c r="AD1237" s="10">
        <f t="shared" si="682"/>
        <v>7.7945029469838195E-3</v>
      </c>
      <c r="AE1237" s="10" t="b">
        <f t="shared" si="683"/>
        <v>1</v>
      </c>
      <c r="AJ1237" t="s">
        <v>4722</v>
      </c>
      <c r="AK1237" t="s">
        <v>4902</v>
      </c>
      <c r="AL1237">
        <v>34520.269999999997</v>
      </c>
      <c r="AM1237">
        <v>58158.080000000002</v>
      </c>
      <c r="AN1237" s="10" cm="1">
        <f t="array" ref="AN1237">Lair(100000000/($AM1237-$AL1237))</f>
        <v>4229.3193151537098</v>
      </c>
      <c r="AO1237" s="10">
        <f t="shared" si="688"/>
        <v>4230.5103560778252</v>
      </c>
      <c r="AP1237" s="12">
        <v>3170000</v>
      </c>
      <c r="AQ1237" s="3">
        <v>0.16</v>
      </c>
      <c r="AR1237" s="3">
        <f>LN(AU1237*100000000/($AM1237-$AL1237)/AP1237)</f>
        <v>-6.8377295513852294</v>
      </c>
      <c r="AS1237" s="13">
        <f>EXP(AR$4341*$AM1237+AR$4342)*$AP1237/(100000000/($AM1237-$AL1237))</f>
        <v>0.84265659606422616</v>
      </c>
      <c r="AT1237" s="3">
        <f>LN(AS1237/$C1237)</f>
        <v>-3.1669280368820512</v>
      </c>
      <c r="AU1237" s="16" cm="1">
        <f t="array" ref="AU1237">$C1237*EXP(poly_from_str(100000000/$E1237,AU$4342))</f>
        <v>0.80367098045532259</v>
      </c>
      <c r="AV1237" s="13">
        <f>LN(AS1237/AU1237)</f>
        <v>4.7369558521257696E-2</v>
      </c>
    </row>
    <row r="1238" spans="1:48" x14ac:dyDescent="0.25">
      <c r="A1238" t="s">
        <v>1925</v>
      </c>
      <c r="B1238" s="2" t="str">
        <f t="shared" si="679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684"/>
        <v>o</v>
      </c>
      <c r="N1238" t="str">
        <f t="shared" si="685"/>
        <v>13/2</v>
      </c>
      <c r="O1238">
        <v>39732.99</v>
      </c>
      <c r="P1238" t="str">
        <f t="shared" si="686"/>
        <v>e</v>
      </c>
      <c r="Q1238" t="str">
        <f t="shared" si="687"/>
        <v>11/2</v>
      </c>
      <c r="R1238">
        <v>12</v>
      </c>
      <c r="AA1238" s="10">
        <f t="shared" si="680"/>
        <v>4228.2340000000004</v>
      </c>
      <c r="AB1238" s="3">
        <f t="shared" si="681"/>
        <v>23643.88</v>
      </c>
      <c r="AC1238" s="3" cm="1">
        <f t="array" ref="AC1238">100000000/LvacE(AA1238)</f>
        <v>23643.877319481322</v>
      </c>
      <c r="AD1238" s="10">
        <f t="shared" si="682"/>
        <v>7.7959518465015561E-3</v>
      </c>
      <c r="AE1238" s="10" t="b">
        <f t="shared" si="683"/>
        <v>1</v>
      </c>
      <c r="AJ1238" t="s">
        <v>4988</v>
      </c>
      <c r="AK1238" t="s">
        <v>4725</v>
      </c>
      <c r="AL1238">
        <v>16089.14</v>
      </c>
      <c r="AM1238">
        <v>39732.99</v>
      </c>
      <c r="AN1238" s="10" cm="1">
        <f t="array" ref="AN1238">Lair(100000000/($AM1238-$AL1238))</f>
        <v>4228.2388830899354</v>
      </c>
      <c r="AO1238" s="10">
        <f t="shared" si="688"/>
        <v>4229.429640265862</v>
      </c>
      <c r="AU1238" s="16" cm="1">
        <f t="array" ref="AU1238">$C1238*EXP(poly_from_str(100000000/$E1238,AU$4342))</f>
        <v>1.2067675030833689</v>
      </c>
    </row>
    <row r="1239" spans="1:48" x14ac:dyDescent="0.25">
      <c r="A1239" t="s">
        <v>1926</v>
      </c>
      <c r="B1239" s="2" t="str">
        <f t="shared" si="679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684"/>
        <v>e</v>
      </c>
      <c r="N1239" t="str">
        <f t="shared" si="685"/>
        <v>7/2</v>
      </c>
      <c r="O1239">
        <v>68331.73</v>
      </c>
      <c r="P1239" t="str">
        <f t="shared" si="686"/>
        <v>o</v>
      </c>
      <c r="Q1239" t="str">
        <f t="shared" si="687"/>
        <v>7/2</v>
      </c>
      <c r="R1239">
        <v>12</v>
      </c>
      <c r="AA1239" s="10">
        <f t="shared" si="680"/>
        <v>4226.817</v>
      </c>
      <c r="AB1239" s="3">
        <f t="shared" si="681"/>
        <v>23651.8</v>
      </c>
      <c r="AC1239" s="3" cm="1">
        <f t="array" ref="AC1239">100000000/LvacE(AA1239)</f>
        <v>23651.803552791014</v>
      </c>
      <c r="AD1239" s="10">
        <f t="shared" si="682"/>
        <v>7.797826775182249E-3</v>
      </c>
      <c r="AE1239" s="10" t="b">
        <f t="shared" si="683"/>
        <v>1</v>
      </c>
      <c r="AJ1239" t="s">
        <v>4806</v>
      </c>
      <c r="AK1239" t="s">
        <v>4923</v>
      </c>
      <c r="AL1239">
        <v>44679.98</v>
      </c>
      <c r="AM1239">
        <v>68331.75</v>
      </c>
      <c r="AN1239" s="10" cm="1">
        <f t="array" ref="AN1239">Lair(100000000/($AM1239-$AL1239))</f>
        <v>4226.8229937874785</v>
      </c>
      <c r="AO1239" s="10">
        <f t="shared" si="688"/>
        <v>4228.0133791255375</v>
      </c>
      <c r="AU1239" s="16" cm="1">
        <f t="array" ref="AU1239">$C1239*EXP(poly_from_str(100000000/$E1239,AU$4342))</f>
        <v>0.28196619758990976</v>
      </c>
    </row>
    <row r="1240" spans="1:48" x14ac:dyDescent="0.25">
      <c r="A1240" t="s">
        <v>1927</v>
      </c>
      <c r="B1240" s="2" t="str">
        <f t="shared" si="679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684"/>
        <v>o</v>
      </c>
      <c r="N1240" t="str">
        <f t="shared" si="685"/>
        <v>7/2</v>
      </c>
      <c r="O1240">
        <v>34520.269999999997</v>
      </c>
      <c r="P1240" t="str">
        <f t="shared" si="686"/>
        <v>e</v>
      </c>
      <c r="Q1240" t="str">
        <f t="shared" si="687"/>
        <v>5/2</v>
      </c>
      <c r="R1240">
        <v>12</v>
      </c>
      <c r="AA1240" s="10">
        <f t="shared" si="680"/>
        <v>4225.1419999999998</v>
      </c>
      <c r="AB1240" s="3">
        <f t="shared" si="681"/>
        <v>23661.18</v>
      </c>
      <c r="AC1240" s="3" cm="1">
        <f t="array" ref="AC1240">100000000/LvacE(AA1240)</f>
        <v>23661.179809900907</v>
      </c>
      <c r="AD1240" s="10">
        <f t="shared" si="682"/>
        <v>7.800045514434889E-3</v>
      </c>
      <c r="AE1240" s="10" t="b">
        <f t="shared" si="683"/>
        <v>1</v>
      </c>
      <c r="AJ1240" t="s">
        <v>4817</v>
      </c>
      <c r="AK1240" t="s">
        <v>4722</v>
      </c>
      <c r="AL1240">
        <v>10859.06</v>
      </c>
      <c r="AM1240">
        <v>34520.269999999997</v>
      </c>
      <c r="AN1240" s="10" cm="1">
        <f t="array" ref="AN1240">Lair(100000000/($AM1240-$AL1240))</f>
        <v>4225.1366063344267</v>
      </c>
      <c r="AO1240" s="10">
        <f t="shared" si="688"/>
        <v>4226.3265488113248</v>
      </c>
      <c r="AU1240" s="16" cm="1">
        <f t="array" ref="AU1240">$C1240*EXP(poly_from_str(100000000/$E1240,AU$4342))</f>
        <v>1.2104348886499985</v>
      </c>
    </row>
    <row r="1241" spans="1:48" x14ac:dyDescent="0.25">
      <c r="A1241" t="s">
        <v>1928</v>
      </c>
      <c r="B1241" s="2" t="str">
        <f t="shared" si="679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680"/>
        <v>4224.3530000000001</v>
      </c>
      <c r="AB1241" s="3">
        <f t="shared" si="681"/>
        <v>23665.599999999999</v>
      </c>
      <c r="AC1241" s="3" cm="1">
        <f t="array" ref="AC1241">100000000/LvacE(AA1241)</f>
        <v>23665.599022909395</v>
      </c>
      <c r="AD1241" s="10">
        <f t="shared" si="682"/>
        <v>7.801091554482947E-3</v>
      </c>
      <c r="AE1241" s="10" t="b">
        <f t="shared" si="683"/>
        <v>1</v>
      </c>
      <c r="AP1241"/>
      <c r="AQ1241"/>
      <c r="AU1241" s="16" cm="1">
        <f t="array" ref="AU1241">$C1241*EXP(poly_from_str(100000000/$E1241,AU$4342))</f>
        <v>0.2422795127440775</v>
      </c>
    </row>
    <row r="1242" spans="1:48" x14ac:dyDescent="0.25">
      <c r="A1242" t="s">
        <v>1929</v>
      </c>
      <c r="B1242" s="2" t="str">
        <f t="shared" si="679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680"/>
        <v>4219.4480000000003</v>
      </c>
      <c r="AB1242" s="3">
        <f t="shared" si="681"/>
        <v>23693.11</v>
      </c>
      <c r="AC1242" s="3" cm="1">
        <f t="array" ref="AC1242">100000000/LvacE(AA1242)</f>
        <v>23693.109149967728</v>
      </c>
      <c r="AD1242" s="10">
        <f t="shared" si="682"/>
        <v>7.8076076716631811E-3</v>
      </c>
      <c r="AE1242" s="10" t="b">
        <f t="shared" si="683"/>
        <v>1</v>
      </c>
      <c r="AP1242"/>
      <c r="AQ1242"/>
      <c r="AU1242" s="16" cm="1">
        <f t="array" ref="AU1242">$C1242*EXP(poly_from_str(100000000/$E1242,AU$4342))</f>
        <v>4.8704966335458133</v>
      </c>
    </row>
    <row r="1243" spans="1:48" x14ac:dyDescent="0.25">
      <c r="A1243" t="s">
        <v>1930</v>
      </c>
      <c r="B1243" s="2" t="str">
        <f t="shared" si="679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680"/>
        <v>4219.134</v>
      </c>
      <c r="AB1243" s="3">
        <f t="shared" si="681"/>
        <v>23694.87</v>
      </c>
      <c r="AC1243" s="3" cm="1">
        <f t="array" ref="AC1243">100000000/LvacE(AA1243)</f>
        <v>23694.87242516769</v>
      </c>
      <c r="AD1243" s="10">
        <f t="shared" si="682"/>
        <v>7.8080255835874957E-3</v>
      </c>
      <c r="AE1243" s="10" t="b">
        <f t="shared" si="683"/>
        <v>1</v>
      </c>
      <c r="AP1243"/>
      <c r="AQ1243"/>
      <c r="AU1243" s="16" cm="1">
        <f t="array" ref="AU1243">$C1243*EXP(poly_from_str(100000000/$E1243,AU$4342))</f>
        <v>0.16240483866836333</v>
      </c>
    </row>
    <row r="1244" spans="1:48" x14ac:dyDescent="0.25">
      <c r="A1244" t="s">
        <v>1931</v>
      </c>
      <c r="B1244" s="2" t="str">
        <f t="shared" si="679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680"/>
        <v>4218.92</v>
      </c>
      <c r="AB1244" s="3">
        <f t="shared" si="681"/>
        <v>23696.07</v>
      </c>
      <c r="AC1244" s="3" cm="1">
        <f t="array" ref="AC1244">100000000/LvacE(AA1244)</f>
        <v>23696.074298147778</v>
      </c>
      <c r="AD1244" s="10">
        <f t="shared" si="682"/>
        <v>7.8083104560109909E-3</v>
      </c>
      <c r="AE1244" s="10" t="b">
        <f t="shared" si="683"/>
        <v>1</v>
      </c>
      <c r="AP1244"/>
      <c r="AQ1244"/>
      <c r="AU1244" s="16" cm="1">
        <f t="array" ref="AU1244">$C1244*EXP(poly_from_str(100000000/$E1244,AU$4342))</f>
        <v>0.12183182385054223</v>
      </c>
    </row>
    <row r="1245" spans="1:48" x14ac:dyDescent="0.25">
      <c r="A1245" t="s">
        <v>1932</v>
      </c>
      <c r="B1245" s="2" t="str">
        <f t="shared" si="679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680"/>
        <v>4218.6350000000002</v>
      </c>
      <c r="AB1245" s="3">
        <f t="shared" si="681"/>
        <v>23697.67</v>
      </c>
      <c r="AC1245" s="3" cm="1">
        <f t="array" ref="AC1245">100000000/LvacE(AA1245)</f>
        <v>23697.675112701923</v>
      </c>
      <c r="AD1245" s="10">
        <f t="shared" si="682"/>
        <v>7.80868990949702E-3</v>
      </c>
      <c r="AE1245" s="10" t="b">
        <f t="shared" si="683"/>
        <v>1</v>
      </c>
      <c r="AP1245"/>
      <c r="AQ1245"/>
      <c r="AU1245" s="16" cm="1">
        <f t="array" ref="AU1245">$C1245*EXP(poly_from_str(100000000/$E1245,AU$4342))</f>
        <v>0.16249271567885704</v>
      </c>
    </row>
    <row r="1246" spans="1:48" x14ac:dyDescent="0.25">
      <c r="A1246" t="s">
        <v>1933</v>
      </c>
      <c r="B1246" s="2" t="str">
        <f t="shared" si="679"/>
        <v/>
      </c>
      <c r="C1246">
        <v>5</v>
      </c>
      <c r="D1246" t="s">
        <v>1156</v>
      </c>
      <c r="E1246">
        <v>23720.93</v>
      </c>
      <c r="R1246">
        <v>12</v>
      </c>
      <c r="S1246" t="s">
        <v>22</v>
      </c>
      <c r="AA1246" s="10">
        <f t="shared" si="680"/>
        <v>4214.4989999999998</v>
      </c>
      <c r="AB1246" s="3">
        <f t="shared" si="681"/>
        <v>23720.93</v>
      </c>
      <c r="AC1246" s="3" cm="1">
        <f t="array" ref="AC1246">100000000/LvacE(AA1246)</f>
        <v>23720.93095187295</v>
      </c>
      <c r="AD1246" s="10">
        <f t="shared" si="682"/>
        <v>7.814205312644866E-3</v>
      </c>
      <c r="AE1246" s="10" t="b">
        <f t="shared" si="683"/>
        <v>1</v>
      </c>
      <c r="AP1246"/>
      <c r="AQ1246"/>
      <c r="AU1246" s="16" cm="1">
        <f t="array" ref="AU1246">$C1246*EXP(poly_from_str(100000000/$E1246,AU$4342))</f>
        <v>0.20405541471555486</v>
      </c>
    </row>
    <row r="1247" spans="1:48" x14ac:dyDescent="0.25">
      <c r="A1247" t="s">
        <v>1934</v>
      </c>
      <c r="B1247" s="2" t="str">
        <f t="shared" si="679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680"/>
        <v>4212.527</v>
      </c>
      <c r="AB1247" s="3">
        <f t="shared" si="681"/>
        <v>23732.04</v>
      </c>
      <c r="AC1247" s="3" cm="1">
        <f t="array" ref="AC1247">100000000/LvacE(AA1247)</f>
        <v>23732.03516095295</v>
      </c>
      <c r="AD1247" s="10">
        <f t="shared" si="682"/>
        <v>7.8168407182853603E-3</v>
      </c>
      <c r="AE1247" s="10" t="b">
        <f t="shared" si="683"/>
        <v>1</v>
      </c>
      <c r="AP1247"/>
      <c r="AQ1247"/>
      <c r="AU1247" s="16" cm="1">
        <f t="array" ref="AU1247">$C1247*EXP(poly_from_str(100000000/$E1247,AU$4342))</f>
        <v>8.1808476143327938E-2</v>
      </c>
    </row>
    <row r="1248" spans="1:48" x14ac:dyDescent="0.25">
      <c r="A1248" t="s">
        <v>1935</v>
      </c>
      <c r="B1248" s="2" t="str">
        <f t="shared" si="679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680"/>
        <v>4212.3209999999999</v>
      </c>
      <c r="AB1248" s="3">
        <f t="shared" si="681"/>
        <v>23733.200000000001</v>
      </c>
      <c r="AC1248" s="3" cm="1">
        <f t="array" ref="AC1248">100000000/LvacE(AA1248)</f>
        <v>23733.195733863395</v>
      </c>
      <c r="AD1248" s="10">
        <f t="shared" si="682"/>
        <v>7.8171162328159929E-3</v>
      </c>
      <c r="AE1248" s="10" t="b">
        <f t="shared" si="683"/>
        <v>1</v>
      </c>
      <c r="AP1248"/>
      <c r="AQ1248"/>
      <c r="AU1248" s="16" cm="1">
        <f t="array" ref="AU1248">$C1248*EXP(poly_from_str(100000000/$E1248,AU$4342))</f>
        <v>0.12274227407229718</v>
      </c>
    </row>
    <row r="1249" spans="1:48" x14ac:dyDescent="0.25">
      <c r="A1249" t="s">
        <v>1936</v>
      </c>
      <c r="B1249" s="2" t="str">
        <f t="shared" si="679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680"/>
        <v>4211.3879999999999</v>
      </c>
      <c r="AB1249" s="3">
        <f t="shared" si="681"/>
        <v>23738.45</v>
      </c>
      <c r="AC1249" s="3" cm="1">
        <f t="array" ref="AC1249">100000000/LvacE(AA1249)</f>
        <v>23738.453536636858</v>
      </c>
      <c r="AD1249" s="10">
        <f t="shared" si="682"/>
        <v>7.8183645791645006E-3</v>
      </c>
      <c r="AE1249" s="10" t="b">
        <f t="shared" si="683"/>
        <v>1</v>
      </c>
      <c r="AP1249"/>
      <c r="AQ1249"/>
      <c r="AU1249" s="16" cm="1">
        <f t="array" ref="AU1249">$C1249*EXP(poly_from_str(100000000/$E1249,AU$4342))</f>
        <v>0.16383594446262159</v>
      </c>
    </row>
    <row r="1250" spans="1:48" x14ac:dyDescent="0.25">
      <c r="A1250" t="s">
        <v>1937</v>
      </c>
      <c r="B1250" s="2" t="str">
        <f t="shared" si="679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680"/>
        <v>4209.9459999999999</v>
      </c>
      <c r="AB1250" s="3">
        <f t="shared" si="681"/>
        <v>23746.58</v>
      </c>
      <c r="AC1250" s="3" cm="1">
        <f t="array" ref="AC1250">100000000/LvacE(AA1250)</f>
        <v>23746.584328318</v>
      </c>
      <c r="AD1250" s="10">
        <f t="shared" si="682"/>
        <v>7.8202955962283129E-3</v>
      </c>
      <c r="AE1250" s="10" t="b">
        <f t="shared" si="683"/>
        <v>1</v>
      </c>
      <c r="AP1250"/>
      <c r="AQ1250"/>
      <c r="AU1250" s="16" cm="1">
        <f t="array" ref="AU1250">$C1250*EXP(poly_from_str(100000000/$E1250,AU$4342))</f>
        <v>4.1029479265411978E-2</v>
      </c>
    </row>
    <row r="1251" spans="1:48" x14ac:dyDescent="0.25">
      <c r="A1251" t="s">
        <v>1938</v>
      </c>
      <c r="B1251" s="2" t="str">
        <f t="shared" si="679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680"/>
        <v>4209.875</v>
      </c>
      <c r="AB1251" s="3">
        <f t="shared" si="681"/>
        <v>23746.98</v>
      </c>
      <c r="AC1251" s="3" cm="1">
        <f t="array" ref="AC1251">100000000/LvacE(AA1251)</f>
        <v>23746.98480936906</v>
      </c>
      <c r="AD1251" s="10">
        <f t="shared" si="682"/>
        <v>7.8203907253028958E-3</v>
      </c>
      <c r="AE1251" s="10" t="b">
        <f t="shared" si="683"/>
        <v>1</v>
      </c>
      <c r="AP1251"/>
      <c r="AQ1251"/>
      <c r="AU1251" s="16" cm="1">
        <f t="array" ref="AU1251">$C1251*EXP(poly_from_str(100000000/$E1251,AU$4342))</f>
        <v>4.1032978007917643E-2</v>
      </c>
    </row>
    <row r="1252" spans="1:48" x14ac:dyDescent="0.25">
      <c r="A1252" t="s">
        <v>1939</v>
      </c>
      <c r="B1252" s="2" t="str">
        <f t="shared" si="679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680"/>
        <v>4209.4930000000004</v>
      </c>
      <c r="AB1252" s="3">
        <f t="shared" si="681"/>
        <v>23749.14</v>
      </c>
      <c r="AC1252" s="3" cm="1">
        <f t="array" ref="AC1252">100000000/LvacE(AA1252)</f>
        <v>23749.13974210394</v>
      </c>
      <c r="AD1252" s="10">
        <f t="shared" si="682"/>
        <v>7.8209026291413165E-3</v>
      </c>
      <c r="AE1252" s="10" t="b">
        <f t="shared" si="683"/>
        <v>1</v>
      </c>
      <c r="AJ1252" t="s">
        <v>4772</v>
      </c>
      <c r="AK1252" t="s">
        <v>4849</v>
      </c>
      <c r="AL1252">
        <v>36670.57</v>
      </c>
      <c r="AM1252">
        <v>60419.73</v>
      </c>
      <c r="AN1252" s="10" cm="1">
        <f t="array" ref="AN1252">Lair(100000000/($AM1252-$AL1252))</f>
        <v>4209.4894066002607</v>
      </c>
      <c r="AO1252" s="10">
        <f>100000000/($AM1252-$AL1252)</f>
        <v>4210.675240724303</v>
      </c>
      <c r="AP1252" s="12">
        <v>1300000</v>
      </c>
      <c r="AQ1252" s="3">
        <v>0.14599999999999999</v>
      </c>
      <c r="AR1252" s="3">
        <f>LN(AU1252*100000000/($AM1252-$AL1252)/AP1252)</f>
        <v>-6.2173639759379418</v>
      </c>
      <c r="AS1252" s="13">
        <f>EXP(AR$4341*$AM1252+AR$4342)*$AP1252/(100000000/($AM1252-$AL1252))</f>
        <v>0.2929969796267049</v>
      </c>
      <c r="AT1252" s="3">
        <f>LN(AS1252/$C1252)</f>
        <v>-3.9356431795616924</v>
      </c>
      <c r="AU1252" s="16" cm="1">
        <f t="array" ref="AU1252">$C1252*EXP(poly_from_str(100000000/$E1252,AU$4342))</f>
        <v>0.61577880850021216</v>
      </c>
      <c r="AV1252" s="13">
        <f>LN(AS1252/AU1252)</f>
        <v>-0.7427255214171975</v>
      </c>
    </row>
    <row r="1253" spans="1:48" x14ac:dyDescent="0.25">
      <c r="A1253" t="s">
        <v>1940</v>
      </c>
      <c r="B1253" s="2" t="str">
        <f t="shared" si="679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680"/>
        <v>4209.2449999999999</v>
      </c>
      <c r="AB1253" s="3">
        <f t="shared" si="681"/>
        <v>23750.54</v>
      </c>
      <c r="AC1253" s="3" cm="1">
        <f t="array" ref="AC1253">100000000/LvacE(AA1253)</f>
        <v>23750.538965410771</v>
      </c>
      <c r="AD1253" s="10">
        <f t="shared" si="682"/>
        <v>7.8212350392304047E-3</v>
      </c>
      <c r="AE1253" s="10" t="b">
        <f t="shared" si="683"/>
        <v>1</v>
      </c>
      <c r="AP1253"/>
      <c r="AQ1253"/>
      <c r="AU1253" s="16" cm="1">
        <f t="array" ref="AU1253">$C1253*EXP(poly_from_str(100000000/$E1253,AU$4342))</f>
        <v>0.20532121317144036</v>
      </c>
    </row>
    <row r="1254" spans="1:48" x14ac:dyDescent="0.25">
      <c r="A1254" t="s">
        <v>1941</v>
      </c>
      <c r="B1254" s="2" t="str">
        <f t="shared" si="679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680"/>
        <v>4208.5309999999999</v>
      </c>
      <c r="AB1254" s="3">
        <f t="shared" si="681"/>
        <v>23754.57</v>
      </c>
      <c r="AC1254" s="3" cm="1">
        <f t="array" ref="AC1254">100000000/LvacE(AA1254)</f>
        <v>23754.568295246019</v>
      </c>
      <c r="AD1254" s="10">
        <f t="shared" si="682"/>
        <v>7.8221923867551439E-3</v>
      </c>
      <c r="AE1254" s="10" t="b">
        <f t="shared" si="683"/>
        <v>1</v>
      </c>
      <c r="AP1254"/>
      <c r="AQ1254"/>
      <c r="AU1254" s="16" cm="1">
        <f t="array" ref="AU1254">$C1254*EXP(poly_from_str(100000000/$E1254,AU$4342))</f>
        <v>0.20549953961997047</v>
      </c>
    </row>
    <row r="1255" spans="1:48" x14ac:dyDescent="0.25">
      <c r="A1255" t="s">
        <v>1942</v>
      </c>
      <c r="B1255" s="2" t="str">
        <f t="shared" si="679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680"/>
        <v>4206.1909999999998</v>
      </c>
      <c r="AB1255" s="3">
        <f t="shared" si="681"/>
        <v>23767.78</v>
      </c>
      <c r="AC1255" s="3" cm="1">
        <f t="array" ref="AC1255">100000000/LvacE(AA1255)</f>
        <v>23767.783249691078</v>
      </c>
      <c r="AD1255" s="10">
        <f t="shared" si="682"/>
        <v>7.8253333300474324E-3</v>
      </c>
      <c r="AE1255" s="10" t="b">
        <f t="shared" si="683"/>
        <v>1</v>
      </c>
      <c r="AP1255"/>
      <c r="AQ1255"/>
      <c r="AU1255" s="16" cm="1">
        <f t="array" ref="AU1255">$C1255*EXP(poly_from_str(100000000/$E1255,AU$4342))</f>
        <v>4.1218849460177717E-2</v>
      </c>
    </row>
    <row r="1256" spans="1:48" x14ac:dyDescent="0.25">
      <c r="A1256" t="s">
        <v>1943</v>
      </c>
      <c r="B1256" s="2" t="str">
        <f t="shared" si="679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680"/>
        <v>4205.2389999999996</v>
      </c>
      <c r="AB1256" s="3">
        <f t="shared" si="681"/>
        <v>23773.16</v>
      </c>
      <c r="AC1256" s="3" cm="1">
        <f t="array" ref="AC1256">100000000/LvacE(AA1256)</f>
        <v>23773.163798778533</v>
      </c>
      <c r="AD1256" s="10">
        <f t="shared" si="682"/>
        <v>7.8266126846510426E-3</v>
      </c>
      <c r="AE1256" s="10" t="b">
        <f t="shared" si="683"/>
        <v>1</v>
      </c>
      <c r="AP1256"/>
      <c r="AQ1256"/>
      <c r="AU1256" s="16" cm="1">
        <f t="array" ref="AU1256">$C1256*EXP(poly_from_str(100000000/$E1256,AU$4342))</f>
        <v>0.4126818404502694</v>
      </c>
    </row>
    <row r="1257" spans="1:48" x14ac:dyDescent="0.25">
      <c r="A1257" t="s">
        <v>1944</v>
      </c>
      <c r="B1257" s="2" t="str">
        <f t="shared" si="679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680"/>
        <v>4204.9309999999996</v>
      </c>
      <c r="AB1257" s="3">
        <f t="shared" si="681"/>
        <v>23774.9</v>
      </c>
      <c r="AC1257" s="3" cm="1">
        <f t="array" ref="AC1257">100000000/LvacE(AA1257)</f>
        <v>23774.905086260973</v>
      </c>
      <c r="AD1257" s="10">
        <f t="shared" si="682"/>
        <v>7.82702677954299E-3</v>
      </c>
      <c r="AE1257" s="10" t="b">
        <f t="shared" si="683"/>
        <v>1</v>
      </c>
      <c r="AP1257"/>
      <c r="AQ1257"/>
      <c r="AU1257" s="16" cm="1">
        <f t="array" ref="AU1257">$C1257*EXP(poly_from_str(100000000/$E1257,AU$4342))</f>
        <v>0.33027400469568524</v>
      </c>
    </row>
    <row r="1258" spans="1:48" x14ac:dyDescent="0.25">
      <c r="A1258" t="s">
        <v>1945</v>
      </c>
      <c r="B1258" s="2" t="str">
        <f t="shared" si="679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680"/>
        <v>4204.4610000000002</v>
      </c>
      <c r="AB1258" s="3">
        <f t="shared" si="681"/>
        <v>23777.56</v>
      </c>
      <c r="AC1258" s="3" cm="1">
        <f t="array" ref="AC1258">100000000/LvacE(AA1258)</f>
        <v>23777.5627374006</v>
      </c>
      <c r="AD1258" s="10">
        <f t="shared" si="682"/>
        <v>7.8276588529897877E-3</v>
      </c>
      <c r="AE1258" s="10" t="b">
        <f t="shared" si="683"/>
        <v>1</v>
      </c>
      <c r="AJ1258" t="s">
        <v>4793</v>
      </c>
      <c r="AK1258" t="s">
        <v>4849</v>
      </c>
      <c r="AL1258">
        <v>36642.129999999997</v>
      </c>
      <c r="AM1258">
        <v>60419.73</v>
      </c>
      <c r="AN1258" s="10" cm="1">
        <f t="array" ref="AN1258">Lair(100000000/($AM1258-$AL1258))</f>
        <v>4204.4544082484535</v>
      </c>
      <c r="AO1258" s="10">
        <f>100000000/($AM1258-$AL1258)</f>
        <v>4205.6389206648264</v>
      </c>
      <c r="AP1258" s="12">
        <v>5810000</v>
      </c>
      <c r="AQ1258" s="3">
        <v>0.32900000000000001</v>
      </c>
      <c r="AR1258" s="3">
        <f>LN(AU1258*100000000/($AM1258-$AL1258)/AP1258)</f>
        <v>-7.1987107007535354</v>
      </c>
      <c r="AS1258" s="13">
        <f>EXP(AR$4341*$AM1258+AR$4342)*$AP1258/(100000000/($AM1258-$AL1258))</f>
        <v>1.311039229303429</v>
      </c>
      <c r="AT1258" s="3">
        <f>LN(AS1258/$C1258)</f>
        <v>-2.9480556973433063</v>
      </c>
      <c r="AU1258" s="16" cm="1">
        <f t="array" ref="AU1258">$C1258*EXP(poly_from_str(100000000/$E1258,AU$4342))</f>
        <v>1.0327229183780866</v>
      </c>
      <c r="AV1258" s="13">
        <f>LN(AS1258/AU1258)</f>
        <v>0.23862120339839568</v>
      </c>
    </row>
    <row r="1259" spans="1:48" x14ac:dyDescent="0.25">
      <c r="A1259" t="s">
        <v>1946</v>
      </c>
      <c r="B1259" s="2" t="str">
        <f t="shared" si="679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680"/>
        <v>4204.0219999999999</v>
      </c>
      <c r="AB1259" s="3">
        <f t="shared" si="681"/>
        <v>23780.05</v>
      </c>
      <c r="AC1259" s="3" cm="1">
        <f t="array" ref="AC1259">100000000/LvacE(AA1259)</f>
        <v>23780.045633379395</v>
      </c>
      <c r="AD1259" s="10">
        <f t="shared" si="682"/>
        <v>7.8282494279739018E-3</v>
      </c>
      <c r="AE1259" s="10" t="b">
        <f t="shared" si="683"/>
        <v>1</v>
      </c>
      <c r="AP1259"/>
      <c r="AQ1259"/>
      <c r="AU1259" s="16" cm="1">
        <f t="array" ref="AU1259">$C1259*EXP(poly_from_str(100000000/$E1259,AU$4342))</f>
        <v>1.0333030290197893</v>
      </c>
    </row>
    <row r="1260" spans="1:48" x14ac:dyDescent="0.25">
      <c r="A1260" t="s">
        <v>1947</v>
      </c>
      <c r="B1260" s="2" t="str">
        <f t="shared" si="679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680"/>
        <v>4203.7849999999999</v>
      </c>
      <c r="AB1260" s="3">
        <f t="shared" si="681"/>
        <v>23781.39</v>
      </c>
      <c r="AC1260" s="3" cm="1">
        <f t="array" ref="AC1260">100000000/LvacE(AA1260)</f>
        <v>23781.38627340355</v>
      </c>
      <c r="AD1260" s="10">
        <f t="shared" si="682"/>
        <v>7.8285683346559776E-3</v>
      </c>
      <c r="AE1260" s="10" t="b">
        <f t="shared" si="683"/>
        <v>1</v>
      </c>
      <c r="AP1260"/>
      <c r="AQ1260"/>
      <c r="AU1260" s="16" cm="1">
        <f t="array" ref="AU1260">$C1260*EXP(poly_from_str(100000000/$E1260,AU$4342))</f>
        <v>0.62016981886320899</v>
      </c>
    </row>
    <row r="1261" spans="1:48" x14ac:dyDescent="0.25">
      <c r="A1261" t="s">
        <v>1948</v>
      </c>
      <c r="B1261" s="2" t="str">
        <f t="shared" si="679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680"/>
        <v>4203.0919999999996</v>
      </c>
      <c r="AB1261" s="3">
        <f t="shared" si="681"/>
        <v>23785.31</v>
      </c>
      <c r="AC1261" s="3" cm="1">
        <f t="array" ref="AC1261">100000000/LvacE(AA1261)</f>
        <v>23785.307240071219</v>
      </c>
      <c r="AD1261" s="10">
        <f t="shared" si="682"/>
        <v>7.8295011434523949E-3</v>
      </c>
      <c r="AE1261" s="10" t="b">
        <f t="shared" si="683"/>
        <v>1</v>
      </c>
      <c r="AP1261"/>
      <c r="AQ1261"/>
      <c r="AU1261" s="16" cm="1">
        <f t="array" ref="AU1261">$C1261*EXP(poly_from_str(100000000/$E1261,AU$4342))</f>
        <v>0.33105203226468422</v>
      </c>
    </row>
    <row r="1262" spans="1:48" x14ac:dyDescent="0.25">
      <c r="A1262" t="s">
        <v>1949</v>
      </c>
      <c r="B1262" s="2" t="str">
        <f t="shared" si="679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680"/>
        <v>4202.7780000000002</v>
      </c>
      <c r="AB1262" s="3">
        <f t="shared" si="681"/>
        <v>23787.08</v>
      </c>
      <c r="AC1262" s="3" cm="1">
        <f t="array" ref="AC1262">100000000/LvacE(AA1262)</f>
        <v>23787.084265353016</v>
      </c>
      <c r="AD1262" s="10">
        <f t="shared" si="682"/>
        <v>7.8299239533176652E-3</v>
      </c>
      <c r="AE1262" s="10" t="b">
        <f t="shared" si="683"/>
        <v>1</v>
      </c>
      <c r="AP1262"/>
      <c r="AQ1262"/>
      <c r="AU1262" s="16" cm="1">
        <f t="array" ref="AU1262">$C1262*EXP(poly_from_str(100000000/$E1262,AU$4342))</f>
        <v>0.12419469843848235</v>
      </c>
    </row>
    <row r="1263" spans="1:48" x14ac:dyDescent="0.25">
      <c r="A1263" t="s">
        <v>1950</v>
      </c>
      <c r="B1263" s="2" t="str">
        <f t="shared" si="679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680"/>
        <v>4202.5619999999999</v>
      </c>
      <c r="AB1263" s="3">
        <f t="shared" si="681"/>
        <v>23788.31</v>
      </c>
      <c r="AC1263" s="3" cm="1">
        <f t="array" ref="AC1263">100000000/LvacE(AA1263)</f>
        <v>23788.306831806749</v>
      </c>
      <c r="AD1263" s="10">
        <f t="shared" si="682"/>
        <v>7.8302148584371567E-3</v>
      </c>
      <c r="AE1263" s="10" t="b">
        <f t="shared" si="683"/>
        <v>1</v>
      </c>
      <c r="AP1263"/>
      <c r="AQ1263"/>
      <c r="AU1263" s="16" cm="1">
        <f t="array" ref="AU1263">$C1263*EXP(poly_from_str(100000000/$E1263,AU$4342))</f>
        <v>0.62114836389271977</v>
      </c>
    </row>
    <row r="1264" spans="1:48" x14ac:dyDescent="0.25">
      <c r="A1264" t="s">
        <v>1951</v>
      </c>
      <c r="B1264" s="2" t="str">
        <f t="shared" si="679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680"/>
        <v>4202.2790000000005</v>
      </c>
      <c r="AB1264" s="3">
        <f t="shared" si="681"/>
        <v>23789.91</v>
      </c>
      <c r="AC1264" s="3" cm="1">
        <f t="array" ref="AC1264">100000000/LvacE(AA1264)</f>
        <v>23789.90881046094</v>
      </c>
      <c r="AD1264" s="10">
        <f t="shared" si="682"/>
        <v>7.8305960659038748E-3</v>
      </c>
      <c r="AE1264" s="10" t="b">
        <f t="shared" si="683"/>
        <v>1</v>
      </c>
      <c r="AP1264"/>
      <c r="AQ1264"/>
      <c r="AU1264" s="16" cm="1">
        <f t="array" ref="AU1264">$C1264*EXP(poly_from_str(100000000/$E1264,AU$4342))</f>
        <v>0.82850192975397041</v>
      </c>
    </row>
    <row r="1265" spans="1:48" x14ac:dyDescent="0.25">
      <c r="A1265" t="s">
        <v>1952</v>
      </c>
      <c r="B1265" s="2" t="str">
        <f t="shared" si="679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680"/>
        <v>4201.8220000000001</v>
      </c>
      <c r="AB1265" s="3">
        <f t="shared" si="681"/>
        <v>23792.5</v>
      </c>
      <c r="AC1265" s="3" cm="1">
        <f t="array" ref="AC1265">100000000/LvacE(AA1265)</f>
        <v>23792.496206838419</v>
      </c>
      <c r="AD1265" s="10">
        <f t="shared" si="682"/>
        <v>7.8312118179730619E-3</v>
      </c>
      <c r="AE1265" s="10" t="b">
        <f t="shared" si="683"/>
        <v>1</v>
      </c>
      <c r="AJ1265" t="s">
        <v>4816</v>
      </c>
      <c r="AK1265" t="s">
        <v>4892</v>
      </c>
      <c r="AL1265">
        <v>38448.379999999997</v>
      </c>
      <c r="AM1265">
        <v>62240.83</v>
      </c>
      <c r="AN1265" s="10" cm="1">
        <f t="array" ref="AN1265">Lair(100000000/($AM1265-$AL1265))</f>
        <v>4201.8301577299299</v>
      </c>
      <c r="AO1265" s="10">
        <f>100000000/($AM1265-$AL1265)</f>
        <v>4203.0139813260084</v>
      </c>
      <c r="AP1265" s="12">
        <v>607000</v>
      </c>
      <c r="AQ1265" s="3">
        <v>1.2E-2</v>
      </c>
      <c r="AR1265" s="3"/>
      <c r="AS1265" s="13">
        <f>EXP(AR$4341*$AM1265+AR$4342)*$AP1265/(100000000/($AM1265-$AL1265))</f>
        <v>0.11954884537126677</v>
      </c>
      <c r="AT1265" s="3"/>
      <c r="AU1265" s="16" cm="1">
        <f t="array" ref="AU1265">$C1265*EXP(poly_from_str(100000000/$E1265,AU$4342))</f>
        <v>4.1449807658803212E-2</v>
      </c>
    </row>
    <row r="1266" spans="1:48" x14ac:dyDescent="0.25">
      <c r="A1266" t="s">
        <v>1953</v>
      </c>
      <c r="B1266" s="2" t="str">
        <f t="shared" si="679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680"/>
        <v>4201.7470000000003</v>
      </c>
      <c r="AB1266" s="3">
        <f t="shared" si="681"/>
        <v>23792.92</v>
      </c>
      <c r="AC1266" s="3" cm="1">
        <f t="array" ref="AC1266">100000000/LvacE(AA1266)</f>
        <v>23792.920888014774</v>
      </c>
      <c r="AD1266" s="10">
        <f t="shared" si="682"/>
        <v>7.8313128905684679E-3</v>
      </c>
      <c r="AE1266" s="10" t="b">
        <f t="shared" si="683"/>
        <v>1</v>
      </c>
      <c r="AP1266"/>
      <c r="AQ1266"/>
      <c r="AU1266" s="16" cm="1">
        <f t="array" ref="AU1266">$C1266*EXP(poly_from_str(100000000/$E1266,AU$4342))</f>
        <v>4.1453826196952107E-2</v>
      </c>
    </row>
    <row r="1267" spans="1:48" x14ac:dyDescent="0.25">
      <c r="A1267" t="s">
        <v>1954</v>
      </c>
      <c r="B1267" s="2" t="str">
        <f t="shared" si="679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680"/>
        <v>4201.4179999999997</v>
      </c>
      <c r="AB1267" s="3">
        <f t="shared" si="681"/>
        <v>23794.78</v>
      </c>
      <c r="AC1267" s="3" cm="1">
        <f t="array" ref="AC1267">100000000/LvacE(AA1267)</f>
        <v>23794.784001905591</v>
      </c>
      <c r="AD1267" s="10">
        <f t="shared" si="682"/>
        <v>7.8317563263052611E-3</v>
      </c>
      <c r="AE1267" s="10" t="b">
        <f t="shared" si="683"/>
        <v>1</v>
      </c>
      <c r="AP1267"/>
      <c r="AQ1267"/>
      <c r="AU1267" s="16" cm="1">
        <f t="array" ref="AU1267">$C1267*EXP(poly_from_str(100000000/$E1267,AU$4342))</f>
        <v>0.12441498169145604</v>
      </c>
    </row>
    <row r="1268" spans="1:48" x14ac:dyDescent="0.25">
      <c r="A1268" t="s">
        <v>1955</v>
      </c>
      <c r="B1268" s="2" t="str">
        <f t="shared" si="679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680"/>
        <v>4199.3410000000003</v>
      </c>
      <c r="AB1268" s="3">
        <f t="shared" si="681"/>
        <v>23806.55</v>
      </c>
      <c r="AC1268" s="3" cm="1">
        <f t="array" ref="AC1268">100000000/LvacE(AA1268)</f>
        <v>23806.552708921914</v>
      </c>
      <c r="AD1268" s="10">
        <f t="shared" si="682"/>
        <v>7.834558173404102E-3</v>
      </c>
      <c r="AE1268" s="10" t="b">
        <f t="shared" si="683"/>
        <v>1</v>
      </c>
      <c r="AP1268"/>
      <c r="AQ1268"/>
      <c r="AU1268" s="16" cm="1">
        <f t="array" ref="AU1268">$C1268*EXP(poly_from_str(100000000/$E1268,AU$4342))</f>
        <v>8.3171906514239821E-2</v>
      </c>
    </row>
    <row r="1269" spans="1:48" x14ac:dyDescent="0.25">
      <c r="A1269" t="s">
        <v>1956</v>
      </c>
      <c r="B1269" s="2" t="str">
        <f t="shared" si="679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680"/>
        <v>4198.2939999999999</v>
      </c>
      <c r="AB1269" s="3">
        <f t="shared" si="681"/>
        <v>23812.49</v>
      </c>
      <c r="AC1269" s="3" cm="1">
        <f t="array" ref="AC1269">100000000/LvacE(AA1269)</f>
        <v>23812.489639487387</v>
      </c>
      <c r="AD1269" s="10">
        <f t="shared" si="682"/>
        <v>7.8359721400510993E-3</v>
      </c>
      <c r="AE1269" s="10" t="b">
        <f t="shared" si="683"/>
        <v>1</v>
      </c>
      <c r="AJ1269" t="s">
        <v>4806</v>
      </c>
      <c r="AK1269" t="s">
        <v>4831</v>
      </c>
      <c r="AL1269">
        <v>44679.98</v>
      </c>
      <c r="AM1269">
        <v>68492.429999999993</v>
      </c>
      <c r="AN1269" s="10" cm="1">
        <f t="array" ref="AN1269">Lair(100000000/($AM1269-$AL1269))</f>
        <v>4198.300986120129</v>
      </c>
      <c r="AO1269" s="10">
        <f>100000000/($AM1269-$AL1269)</f>
        <v>4199.4838834307284</v>
      </c>
      <c r="AP1269" s="12">
        <v>1900000</v>
      </c>
      <c r="AQ1269" s="3">
        <v>8.1000000000000003E-2</v>
      </c>
      <c r="AR1269" s="3">
        <f>LN(AU1269*100000000/($AM1269-$AL1269)/AP1269)</f>
        <v>-7.3473215051648761</v>
      </c>
      <c r="AS1269" s="13">
        <f>EXP(AR$4341*$AM1269+AR$4342)*$AP1269/(100000000/($AM1269-$AL1269))</f>
        <v>0.23427211759579739</v>
      </c>
      <c r="AT1269" s="3">
        <f>LN(AS1269/$C1269)</f>
        <v>-3.3971820926106795</v>
      </c>
      <c r="AU1269" s="16" cm="1">
        <f t="array" ref="AU1269">$C1269*EXP(poly_from_str(100000000/$E1269,AU$4342))</f>
        <v>0.29151203929781977</v>
      </c>
      <c r="AV1269" s="13">
        <f>LN(AS1269/AU1269)</f>
        <v>-0.2185979707041121</v>
      </c>
    </row>
    <row r="1270" spans="1:48" x14ac:dyDescent="0.25">
      <c r="A1270" t="s">
        <v>1957</v>
      </c>
      <c r="B1270" s="2" t="str">
        <f t="shared" si="679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680"/>
        <v>4197.5959999999995</v>
      </c>
      <c r="AB1270" s="3">
        <f t="shared" si="681"/>
        <v>23816.45</v>
      </c>
      <c r="AC1270" s="3" cm="1">
        <f t="array" ref="AC1270">100000000/LvacE(AA1270)</f>
        <v>23816.44923852383</v>
      </c>
      <c r="AD1270" s="10">
        <f t="shared" si="682"/>
        <v>7.8369153723373847E-3</v>
      </c>
      <c r="AE1270" s="10" t="b">
        <f t="shared" si="683"/>
        <v>1</v>
      </c>
      <c r="AP1270"/>
      <c r="AQ1270"/>
      <c r="AU1270" s="16" cm="1">
        <f t="array" ref="AU1270">$C1270*EXP(poly_from_str(100000000/$E1270,AU$4342))</f>
        <v>8.3368022845399528E-2</v>
      </c>
    </row>
    <row r="1271" spans="1:48" x14ac:dyDescent="0.25">
      <c r="A1271" t="s">
        <v>1958</v>
      </c>
      <c r="B1271" s="2" t="str">
        <f t="shared" si="679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680"/>
        <v>4197.01</v>
      </c>
      <c r="AB1271" s="3">
        <f t="shared" si="681"/>
        <v>23819.77</v>
      </c>
      <c r="AC1271" s="3" cm="1">
        <f t="array" ref="AC1271">100000000/LvacE(AA1271)</f>
        <v>23819.774503387907</v>
      </c>
      <c r="AD1271" s="10">
        <f t="shared" si="682"/>
        <v>7.8377076184459778E-3</v>
      </c>
      <c r="AE1271" s="10" t="b">
        <f t="shared" si="683"/>
        <v>1</v>
      </c>
      <c r="AP1271"/>
      <c r="AQ1271"/>
      <c r="AU1271" s="16" cm="1">
        <f t="array" ref="AU1271">$C1271*EXP(poly_from_str(100000000/$E1271,AU$4342))</f>
        <v>10.012149506044681</v>
      </c>
    </row>
    <row r="1272" spans="1:48" x14ac:dyDescent="0.25">
      <c r="A1272" t="s">
        <v>1959</v>
      </c>
      <c r="B1272" s="2" t="str">
        <f t="shared" si="679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680"/>
        <v>4190.6170000000002</v>
      </c>
      <c r="AB1272" s="3">
        <f t="shared" si="681"/>
        <v>23856.11</v>
      </c>
      <c r="AC1272" s="3" cm="1">
        <f t="array" ref="AC1272">100000000/LvacE(AA1272)</f>
        <v>23856.112081322844</v>
      </c>
      <c r="AD1272" s="10">
        <f t="shared" si="682"/>
        <v>7.8463722742167612E-3</v>
      </c>
      <c r="AE1272" s="10" t="b">
        <f t="shared" si="683"/>
        <v>1</v>
      </c>
      <c r="AP1272"/>
      <c r="AQ1272"/>
      <c r="AU1272" s="16" cm="1">
        <f t="array" ref="AU1272">$C1272*EXP(poly_from_str(100000000/$E1272,AU$4342))</f>
        <v>0.37885061420346339</v>
      </c>
    </row>
    <row r="1273" spans="1:48" x14ac:dyDescent="0.25">
      <c r="A1273" t="s">
        <v>1960</v>
      </c>
      <c r="B1273" s="2" t="str">
        <f t="shared" si="679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680"/>
        <v>4190.491</v>
      </c>
      <c r="AB1273" s="3">
        <f t="shared" si="681"/>
        <v>23856.83</v>
      </c>
      <c r="AC1273" s="3" cm="1">
        <f t="array" ref="AC1273">100000000/LvacE(AA1273)</f>
        <v>23856.829374810037</v>
      </c>
      <c r="AD1273" s="10">
        <f t="shared" si="682"/>
        <v>7.8465434450056132E-3</v>
      </c>
      <c r="AE1273" s="10" t="b">
        <f t="shared" si="683"/>
        <v>1</v>
      </c>
      <c r="AP1273"/>
      <c r="AQ1273"/>
      <c r="AU1273" s="16" cm="1">
        <f t="array" ref="AU1273">$C1273*EXP(poly_from_str(100000000/$E1273,AU$4342))</f>
        <v>0.63153340659084423</v>
      </c>
    </row>
    <row r="1274" spans="1:48" x14ac:dyDescent="0.25">
      <c r="A1274" t="s">
        <v>1961</v>
      </c>
      <c r="B1274" s="2" t="str">
        <f t="shared" si="679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689">$G1274&amp;""</f>
        <v>o</v>
      </c>
      <c r="N1274" t="str">
        <f t="shared" ref="N1274:N1275" si="690">$H1274&amp;""</f>
        <v>7/2</v>
      </c>
      <c r="O1274">
        <v>48745.48</v>
      </c>
      <c r="P1274" t="str">
        <f t="shared" ref="P1274:P1275" si="691">$J1274&amp;""</f>
        <v>e</v>
      </c>
      <c r="Q1274" t="str">
        <f t="shared" ref="Q1274:Q1275" si="692">$K1274&amp;""</f>
        <v>5/2</v>
      </c>
      <c r="R1274">
        <v>12</v>
      </c>
      <c r="AA1274" s="10">
        <f t="shared" si="680"/>
        <v>4190.1170000000002</v>
      </c>
      <c r="AB1274" s="3">
        <f t="shared" si="681"/>
        <v>23858.959999999999</v>
      </c>
      <c r="AC1274" s="3" cm="1">
        <f t="array" ref="AC1274">100000000/LvacE(AA1274)</f>
        <v>23858.958738105077</v>
      </c>
      <c r="AD1274" s="10">
        <f t="shared" si="682"/>
        <v>7.8470516143230688E-3</v>
      </c>
      <c r="AE1274" s="10" t="b">
        <f t="shared" si="683"/>
        <v>1</v>
      </c>
      <c r="AJ1274" t="s">
        <v>4989</v>
      </c>
      <c r="AK1274" t="s">
        <v>4762</v>
      </c>
      <c r="AL1274">
        <v>24886.51</v>
      </c>
      <c r="AM1274">
        <v>48745.48</v>
      </c>
      <c r="AN1274" s="10" cm="1">
        <f t="array" ref="AN1274">Lair(100000000/($AM1274-$AL1274))</f>
        <v>4190.1150193782623</v>
      </c>
      <c r="AO1274" s="10">
        <f t="shared" ref="AO1274:AO1275" si="693">100000000/($AM1274-$AL1274)</f>
        <v>4191.2957684258781</v>
      </c>
      <c r="AU1274" s="16" cm="1">
        <f t="array" ref="AU1274">$C1274*EXP(poly_from_str(100000000/$E1274,AU$4342))</f>
        <v>0.21062551878165828</v>
      </c>
    </row>
    <row r="1275" spans="1:48" x14ac:dyDescent="0.25">
      <c r="A1275" t="s">
        <v>1962</v>
      </c>
      <c r="B1275" s="2" t="str">
        <f t="shared" si="679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689"/>
        <v>e</v>
      </c>
      <c r="N1275" t="str">
        <f t="shared" si="690"/>
        <v>7/2</v>
      </c>
      <c r="O1275">
        <v>68544.19</v>
      </c>
      <c r="P1275" t="str">
        <f t="shared" si="691"/>
        <v>o</v>
      </c>
      <c r="Q1275" t="str">
        <f t="shared" si="692"/>
        <v>9/2</v>
      </c>
      <c r="R1275">
        <v>12</v>
      </c>
      <c r="AA1275" s="10">
        <f t="shared" si="680"/>
        <v>4189.1959999999999</v>
      </c>
      <c r="AB1275" s="3">
        <f t="shared" si="681"/>
        <v>23864.2</v>
      </c>
      <c r="AC1275" s="3" cm="1">
        <f t="array" ref="AC1275">100000000/LvacE(AA1275)</f>
        <v>23864.204058482672</v>
      </c>
      <c r="AD1275" s="10">
        <f t="shared" si="682"/>
        <v>7.8483035955446666E-3</v>
      </c>
      <c r="AE1275" s="10" t="b">
        <f t="shared" si="683"/>
        <v>1</v>
      </c>
      <c r="AJ1275" t="s">
        <v>4806</v>
      </c>
      <c r="AK1275" t="s">
        <v>4901</v>
      </c>
      <c r="AL1275">
        <v>44679.98</v>
      </c>
      <c r="AM1275">
        <v>68544.19</v>
      </c>
      <c r="AN1275" s="10" cm="1">
        <f t="array" ref="AN1275">Lair(100000000/($AM1275-$AL1275))</f>
        <v>4189.1949542153716</v>
      </c>
      <c r="AO1275" s="10">
        <f t="shared" si="693"/>
        <v>4190.3754618317562</v>
      </c>
      <c r="AP1275" s="12">
        <v>1000000</v>
      </c>
      <c r="AQ1275" s="3">
        <v>7.4999999999999997E-2</v>
      </c>
      <c r="AR1275" s="3">
        <f>LN(AU1275*100000000/($AM1275-$AL1275)/AP1275)</f>
        <v>-8.6407329955747745</v>
      </c>
      <c r="AS1275" s="13">
        <f>EXP(AR$4341*$AM1275+AR$4342)*$AP1275/(100000000/($AM1275-$AL1275))</f>
        <v>0.12309006495867694</v>
      </c>
      <c r="AT1275" s="3">
        <f>LN(AS1275/$C1275)</f>
        <v>-2.0948389561268934</v>
      </c>
      <c r="AU1275" s="16" cm="1">
        <f t="array" ref="AU1275">$C1275*EXP(poly_from_str(100000000/$E1275,AU$4342))</f>
        <v>4.2181731456644223E-2</v>
      </c>
      <c r="AV1275" s="13">
        <f>LN(AS1275/AU1275)</f>
        <v>1.0709290994142</v>
      </c>
    </row>
    <row r="1276" spans="1:48" x14ac:dyDescent="0.25">
      <c r="A1276" t="s">
        <v>1963</v>
      </c>
      <c r="B1276" s="2" t="str">
        <f t="shared" si="679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680"/>
        <v>4188.951</v>
      </c>
      <c r="AB1276" s="3">
        <f t="shared" si="681"/>
        <v>23865.599999999999</v>
      </c>
      <c r="AC1276" s="3" cm="1">
        <f t="array" ref="AC1276">100000000/LvacE(AA1276)</f>
        <v>23865.599781817706</v>
      </c>
      <c r="AD1276" s="10">
        <f t="shared" si="682"/>
        <v>7.8486367806424213E-3</v>
      </c>
      <c r="AE1276" s="10" t="b">
        <f t="shared" si="683"/>
        <v>1</v>
      </c>
      <c r="AP1276"/>
      <c r="AQ1276"/>
      <c r="AU1276" s="16" cm="1">
        <f t="array" ref="AU1276">$C1276*EXP(poly_from_str(100000000/$E1276,AU$4342))</f>
        <v>1.0549236260591568</v>
      </c>
    </row>
    <row r="1277" spans="1:48" x14ac:dyDescent="0.25">
      <c r="A1277" t="s">
        <v>1964</v>
      </c>
      <c r="B1277" s="2" t="str">
        <f t="shared" si="679"/>
        <v/>
      </c>
      <c r="C1277">
        <v>1</v>
      </c>
      <c r="D1277" t="s">
        <v>1156</v>
      </c>
      <c r="E1277">
        <v>23875.84</v>
      </c>
      <c r="R1277">
        <v>12</v>
      </c>
      <c r="S1277" t="s">
        <v>22</v>
      </c>
      <c r="AA1277" s="10">
        <f t="shared" si="680"/>
        <v>4187.1549999999997</v>
      </c>
      <c r="AB1277" s="3">
        <f t="shared" si="681"/>
        <v>23875.84</v>
      </c>
      <c r="AC1277" s="3" cm="1">
        <f t="array" ref="AC1277">100000000/LvacE(AA1277)</f>
        <v>23875.836275509704</v>
      </c>
      <c r="AD1277" s="10">
        <f t="shared" si="682"/>
        <v>7.8510810174820013E-3</v>
      </c>
      <c r="AE1277" s="10" t="b">
        <f t="shared" si="683"/>
        <v>1</v>
      </c>
      <c r="AP1277"/>
      <c r="AQ1277"/>
      <c r="AU1277" s="16" cm="1">
        <f t="array" ref="AU1277">$C1277*EXP(poly_from_str(100000000/$E1277,AU$4342))</f>
        <v>4.2309300249381551E-2</v>
      </c>
    </row>
    <row r="1278" spans="1:48" x14ac:dyDescent="0.25">
      <c r="A1278" t="s">
        <v>1965</v>
      </c>
      <c r="B1278" s="2" t="str">
        <f t="shared" si="679"/>
        <v/>
      </c>
      <c r="C1278">
        <v>5</v>
      </c>
      <c r="E1278" t="s">
        <v>1966</v>
      </c>
      <c r="R1278">
        <v>13</v>
      </c>
      <c r="S1278" t="s">
        <v>22</v>
      </c>
      <c r="AA1278" s="10">
        <f t="shared" si="680"/>
        <v>4184.8869999999997</v>
      </c>
      <c r="AB1278" s="3">
        <f t="shared" si="681"/>
        <v>23888.78</v>
      </c>
      <c r="AC1278" s="3" cm="1">
        <f t="array" ref="AC1278">100000000/LvacE(AA1278)</f>
        <v>23888.775536486308</v>
      </c>
      <c r="AD1278" s="10">
        <f t="shared" si="682"/>
        <v>7.8541721122322196E-3</v>
      </c>
      <c r="AE1278" s="10" t="b">
        <f t="shared" si="683"/>
        <v>1</v>
      </c>
      <c r="AP1278"/>
      <c r="AQ1278"/>
      <c r="AU1278" s="16" cm="1">
        <f t="array" ref="AU1278">$C1278*EXP(poly_from_str(100000000/$E1278,AU$4342))</f>
        <v>0.21226999416059908</v>
      </c>
    </row>
    <row r="1279" spans="1:48" x14ac:dyDescent="0.25">
      <c r="A1279" t="s">
        <v>1967</v>
      </c>
      <c r="B1279" s="2" t="str">
        <f t="shared" si="679"/>
        <v/>
      </c>
      <c r="C1279">
        <v>1</v>
      </c>
      <c r="E1279" t="s">
        <v>1968</v>
      </c>
      <c r="R1279">
        <v>13</v>
      </c>
      <c r="S1279" t="s">
        <v>22</v>
      </c>
      <c r="AA1279" s="10">
        <f t="shared" si="680"/>
        <v>4184.3760000000002</v>
      </c>
      <c r="AB1279" s="3">
        <f t="shared" si="681"/>
        <v>23891.69</v>
      </c>
      <c r="AC1279" s="3" cm="1">
        <f t="array" ref="AC1279">100000000/LvacE(AA1279)</f>
        <v>23891.692799921922</v>
      </c>
      <c r="AD1279" s="10">
        <f t="shared" si="682"/>
        <v>7.8548692564819611E-3</v>
      </c>
      <c r="AE1279" s="10" t="b">
        <f t="shared" si="683"/>
        <v>1</v>
      </c>
      <c r="AP1279"/>
      <c r="AQ1279"/>
      <c r="AU1279" s="16" cm="1">
        <f t="array" ref="AU1279">$C1279*EXP(poly_from_str(100000000/$E1279,AU$4342))</f>
        <v>4.2486957928722563E-2</v>
      </c>
    </row>
    <row r="1280" spans="1:48" x14ac:dyDescent="0.25">
      <c r="A1280" t="s">
        <v>1969</v>
      </c>
      <c r="B1280" s="2" t="str">
        <f t="shared" si="679"/>
        <v/>
      </c>
      <c r="C1280">
        <v>180</v>
      </c>
      <c r="E1280" t="s">
        <v>1970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AA1280" s="10">
        <f t="shared" si="680"/>
        <v>4184.1760000000004</v>
      </c>
      <c r="AB1280" s="3">
        <f t="shared" si="681"/>
        <v>23892.83</v>
      </c>
      <c r="AC1280" s="3" cm="1">
        <f t="array" ref="AC1280">100000000/LvacE(AA1280)</f>
        <v>23892.834780015379</v>
      </c>
      <c r="AD1280" s="10">
        <f t="shared" si="682"/>
        <v>7.8551421809234818E-3</v>
      </c>
      <c r="AE1280" s="10" t="b">
        <f t="shared" si="683"/>
        <v>1</v>
      </c>
      <c r="AJ1280" t="s">
        <v>4781</v>
      </c>
      <c r="AK1280" t="s">
        <v>4888</v>
      </c>
      <c r="AL1280">
        <v>38785.760000000002</v>
      </c>
      <c r="AM1280">
        <v>62678.7</v>
      </c>
      <c r="AN1280" s="10" cm="1">
        <f t="array" ref="AN1280">Lair(100000000/($AM1280-$AL1280))</f>
        <v>4184.1575705222331</v>
      </c>
      <c r="AO1280" s="10">
        <f>100000000/($AM1280-$AL1280)</f>
        <v>4185.336756380756</v>
      </c>
      <c r="AP1280" s="12">
        <v>17500000</v>
      </c>
      <c r="AQ1280" s="3">
        <v>0.23799999999999999</v>
      </c>
      <c r="AR1280" s="3">
        <f>LN(AU1280*100000000/($AM1280-$AL1280)/AP1280)</f>
        <v>-6.3036654216413295</v>
      </c>
      <c r="AS1280" s="13">
        <f>EXP(AR$4341*$AM1280+AR$4342)*$AP1280/(100000000/($AM1280-$AL1280))</f>
        <v>3.3492991506989438</v>
      </c>
      <c r="AT1280" s="3">
        <f>LN(AS1280/$C1280)</f>
        <v>-3.9842057356870217</v>
      </c>
      <c r="AU1280" s="16" cm="1">
        <f t="array" ref="AU1280">$C1280*EXP(poly_from_str(100000000/$E1280,AU$4342))</f>
        <v>7.6499841052537443</v>
      </c>
      <c r="AV1280" s="13">
        <f>LN(AS1280/AU1280)</f>
        <v>-0.82595245488848879</v>
      </c>
    </row>
    <row r="1281" spans="1:47" x14ac:dyDescent="0.25">
      <c r="A1281" t="s">
        <v>1971</v>
      </c>
      <c r="B1281" s="2" t="str">
        <f t="shared" si="679"/>
        <v/>
      </c>
      <c r="C1281">
        <v>1</v>
      </c>
      <c r="E1281" t="s">
        <v>1972</v>
      </c>
      <c r="R1281">
        <v>13</v>
      </c>
      <c r="S1281" t="s">
        <v>22</v>
      </c>
      <c r="AA1281" s="10">
        <f t="shared" si="680"/>
        <v>4183.7579999999998</v>
      </c>
      <c r="AB1281" s="3">
        <f t="shared" si="681"/>
        <v>23895.22</v>
      </c>
      <c r="AC1281" s="3" cm="1">
        <f t="array" ref="AC1281">100000000/LvacE(AA1281)</f>
        <v>23895.221870954534</v>
      </c>
      <c r="AD1281" s="10">
        <f t="shared" si="682"/>
        <v>7.8557127193965969E-3</v>
      </c>
      <c r="AE1281" s="10" t="b">
        <f t="shared" si="683"/>
        <v>1</v>
      </c>
      <c r="AP1281"/>
      <c r="AQ1281"/>
      <c r="AU1281" s="16" cm="1">
        <f t="array" ref="AU1281">$C1281*EXP(poly_from_str(100000000/$E1281,AU$4342))</f>
        <v>4.2527145853761314E-2</v>
      </c>
    </row>
    <row r="1282" spans="1:47" x14ac:dyDescent="0.25">
      <c r="A1282" t="s">
        <v>1973</v>
      </c>
      <c r="B1282" s="2" t="str">
        <f t="shared" si="679"/>
        <v/>
      </c>
      <c r="C1282">
        <v>20</v>
      </c>
      <c r="E1282" t="s">
        <v>1974</v>
      </c>
      <c r="R1282">
        <v>13</v>
      </c>
      <c r="S1282" t="s">
        <v>22</v>
      </c>
      <c r="AA1282" s="10">
        <f t="shared" si="680"/>
        <v>4183.3289999999997</v>
      </c>
      <c r="AB1282" s="3">
        <f t="shared" si="681"/>
        <v>23897.67</v>
      </c>
      <c r="AC1282" s="3" cm="1">
        <f t="array" ref="AC1282">100000000/LvacE(AA1282)</f>
        <v>23897.672276094643</v>
      </c>
      <c r="AD1282" s="10">
        <f t="shared" si="682"/>
        <v>7.856298449882216E-3</v>
      </c>
      <c r="AE1282" s="10" t="b">
        <f t="shared" si="683"/>
        <v>1</v>
      </c>
      <c r="AP1282"/>
      <c r="AQ1282"/>
      <c r="AU1282" s="16" cm="1">
        <f t="array" ref="AU1282">$C1282*EXP(poly_from_str(100000000/$E1282,AU$4342))</f>
        <v>0.85110343116983289</v>
      </c>
    </row>
    <row r="1283" spans="1:47" x14ac:dyDescent="0.25">
      <c r="A1283" t="s">
        <v>1975</v>
      </c>
      <c r="B1283" s="2" t="str">
        <f t="shared" ref="B1283:B1346" si="694">IF(OR(A1283=A1282,A1283=A1284),IF(B1282="",1,B1282+1),"")</f>
        <v/>
      </c>
      <c r="C1283">
        <v>8</v>
      </c>
      <c r="E1283" t="s">
        <v>1976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AA1283" s="10">
        <f t="shared" ref="AA1283:AA1346" si="695">ROUND($A1283,3)+0</f>
        <v>4183.2</v>
      </c>
      <c r="AB1283" s="3">
        <f t="shared" ref="AB1283:AB1346" si="696">ROUND($E1283,2)+0</f>
        <v>23898.41</v>
      </c>
      <c r="AC1283" s="3" cm="1">
        <f t="array" ref="AC1283">100000000/LvacE(AA1283)</f>
        <v>23898.409209490575</v>
      </c>
      <c r="AD1283" s="10">
        <f t="shared" ref="AD1283:AD1346" si="697">0.0005/$AA1283*AC1283+0.005</f>
        <v>7.8564746138710291E-3</v>
      </c>
      <c r="AE1283" s="10" t="b">
        <f t="shared" ref="AE1283:AE1346" si="698">ABS(AB1283-AC1283)&lt;AD1283</f>
        <v>1</v>
      </c>
      <c r="AJ1283" t="s">
        <v>4731</v>
      </c>
      <c r="AK1283" t="s">
        <v>4850</v>
      </c>
      <c r="AL1283">
        <v>39870.17</v>
      </c>
      <c r="AM1283">
        <v>63768.66</v>
      </c>
      <c r="AN1283" s="10" cm="1">
        <f t="array" ref="AN1283">Lair(100000000/($AM1283-$AL1283))</f>
        <v>4183.1858553200582</v>
      </c>
      <c r="AO1283" s="10">
        <f>100000000/($AM1283-$AL1283)</f>
        <v>4184.3647862270791</v>
      </c>
      <c r="AP1283" s="12">
        <v>670000</v>
      </c>
      <c r="AQ1283" s="3">
        <v>2.1999999999999999E-2</v>
      </c>
      <c r="AR1283" s="3"/>
      <c r="AS1283" s="13">
        <f>EXP(AR$4341*$AM1283+AR$4342)*$AP1283/(100000000/($AM1283-$AL1283))</f>
        <v>0.11818630549121914</v>
      </c>
      <c r="AT1283" s="3"/>
      <c r="AU1283" s="16" cm="1">
        <f t="array" ref="AU1283">$C1283*EXP(poly_from_str(100000000/$E1283,AU$4342))</f>
        <v>0.34050926353502597</v>
      </c>
    </row>
    <row r="1284" spans="1:47" x14ac:dyDescent="0.25">
      <c r="A1284" t="s">
        <v>1977</v>
      </c>
      <c r="B1284" s="2" t="str">
        <f t="shared" si="694"/>
        <v/>
      </c>
      <c r="C1284">
        <v>7</v>
      </c>
      <c r="E1284" t="s">
        <v>1978</v>
      </c>
      <c r="R1284">
        <v>13</v>
      </c>
      <c r="S1284" t="s">
        <v>22</v>
      </c>
      <c r="AA1284" s="10">
        <f t="shared" si="695"/>
        <v>4181.95</v>
      </c>
      <c r="AB1284" s="3">
        <f t="shared" si="696"/>
        <v>23905.55</v>
      </c>
      <c r="AC1284" s="3" cm="1">
        <f t="array" ref="AC1284">100000000/LvacE(AA1284)</f>
        <v>23905.552391587902</v>
      </c>
      <c r="AD1284" s="10">
        <f t="shared" si="697"/>
        <v>7.858182473677101E-3</v>
      </c>
      <c r="AE1284" s="10" t="b">
        <f t="shared" si="698"/>
        <v>1</v>
      </c>
      <c r="AP1284"/>
      <c r="AQ1284"/>
      <c r="AU1284" s="16" cm="1">
        <f t="array" ref="AU1284">$C1284*EXP(poly_from_str(100000000/$E1284,AU$4342))</f>
        <v>0.29852236614606587</v>
      </c>
    </row>
    <row r="1285" spans="1:47" x14ac:dyDescent="0.25">
      <c r="A1285" t="s">
        <v>1979</v>
      </c>
      <c r="B1285" s="2" t="str">
        <f t="shared" si="694"/>
        <v/>
      </c>
      <c r="C1285">
        <v>25</v>
      </c>
      <c r="E1285" t="s">
        <v>1980</v>
      </c>
      <c r="R1285">
        <v>13</v>
      </c>
      <c r="S1285" t="s">
        <v>22</v>
      </c>
      <c r="AA1285" s="10">
        <f t="shared" si="695"/>
        <v>4180.8459999999995</v>
      </c>
      <c r="AB1285" s="3">
        <f t="shared" si="696"/>
        <v>23911.86</v>
      </c>
      <c r="AC1285" s="3" cm="1">
        <f t="array" ref="AC1285">100000000/LvacE(AA1285)</f>
        <v>23911.864802069227</v>
      </c>
      <c r="AD1285" s="10">
        <f t="shared" si="697"/>
        <v>7.8596921295437851E-3</v>
      </c>
      <c r="AE1285" s="10" t="b">
        <f t="shared" si="698"/>
        <v>1</v>
      </c>
      <c r="AP1285"/>
      <c r="AQ1285"/>
      <c r="AU1285" s="16" cm="1">
        <f t="array" ref="AU1285">$C1285*EXP(poly_from_str(100000000/$E1285,AU$4342))</f>
        <v>1.0679910507561454</v>
      </c>
    </row>
    <row r="1286" spans="1:47" x14ac:dyDescent="0.25">
      <c r="A1286" t="s">
        <v>1981</v>
      </c>
      <c r="B1286" s="2" t="str">
        <f t="shared" si="694"/>
        <v/>
      </c>
      <c r="C1286">
        <v>9</v>
      </c>
      <c r="E1286" t="s">
        <v>1982</v>
      </c>
      <c r="R1286">
        <v>13</v>
      </c>
      <c r="S1286" t="s">
        <v>22</v>
      </c>
      <c r="AA1286" s="10">
        <f t="shared" si="695"/>
        <v>4180.3119999999999</v>
      </c>
      <c r="AB1286" s="3">
        <f t="shared" si="696"/>
        <v>23914.92</v>
      </c>
      <c r="AC1286" s="3" cm="1">
        <f t="array" ref="AC1286">100000000/LvacE(AA1286)</f>
        <v>23914.919283925752</v>
      </c>
      <c r="AD1286" s="10">
        <f t="shared" si="697"/>
        <v>7.8604227727410957E-3</v>
      </c>
      <c r="AE1286" s="10" t="b">
        <f t="shared" si="698"/>
        <v>1</v>
      </c>
      <c r="AP1286"/>
      <c r="AQ1286"/>
      <c r="AU1286" s="16" cm="1">
        <f t="array" ref="AU1286">$C1286*EXP(poly_from_str(100000000/$E1286,AU$4342))</f>
        <v>0.38480031496830086</v>
      </c>
    </row>
    <row r="1287" spans="1:47" x14ac:dyDescent="0.25">
      <c r="A1287" t="s">
        <v>1983</v>
      </c>
      <c r="B1287" s="2" t="str">
        <f t="shared" si="694"/>
        <v/>
      </c>
      <c r="C1287">
        <v>150</v>
      </c>
      <c r="E1287" t="s">
        <v>1984</v>
      </c>
      <c r="R1287">
        <v>13</v>
      </c>
      <c r="S1287" t="s">
        <v>22</v>
      </c>
      <c r="AA1287" s="10">
        <f t="shared" si="695"/>
        <v>4179.7690000000002</v>
      </c>
      <c r="AB1287" s="3">
        <f t="shared" si="696"/>
        <v>23918.03</v>
      </c>
      <c r="AC1287" s="3" cm="1">
        <f t="array" ref="AC1287">100000000/LvacE(AA1287)</f>
        <v>23918.026046100822</v>
      </c>
      <c r="AD1287" s="10">
        <f t="shared" si="697"/>
        <v>7.861166017320672E-3</v>
      </c>
      <c r="AE1287" s="10" t="b">
        <f t="shared" si="698"/>
        <v>1</v>
      </c>
      <c r="AP1287"/>
      <c r="AQ1287"/>
      <c r="AU1287" s="16" cm="1">
        <f t="array" ref="AU1287">$C1287*EXP(poly_from_str(100000000/$E1287,AU$4342))</f>
        <v>6.4188452531923259</v>
      </c>
    </row>
    <row r="1288" spans="1:47" x14ac:dyDescent="0.25">
      <c r="A1288" t="s">
        <v>1985</v>
      </c>
      <c r="B1288" s="2" t="str">
        <f t="shared" si="694"/>
        <v/>
      </c>
      <c r="C1288">
        <v>3</v>
      </c>
      <c r="D1288" t="s">
        <v>143</v>
      </c>
      <c r="E1288" t="s">
        <v>1986</v>
      </c>
      <c r="R1288">
        <v>13</v>
      </c>
      <c r="S1288" t="s">
        <v>22</v>
      </c>
      <c r="AA1288" s="10">
        <f t="shared" si="695"/>
        <v>4178.9129999999996</v>
      </c>
      <c r="AB1288" s="3">
        <f t="shared" si="696"/>
        <v>23922.92</v>
      </c>
      <c r="AC1288" s="3" cm="1">
        <f t="array" ref="AC1288">100000000/LvacE(AA1288)</f>
        <v>23922.925270213949</v>
      </c>
      <c r="AD1288" s="10">
        <f t="shared" si="697"/>
        <v>7.8623382767497134E-3</v>
      </c>
      <c r="AE1288" s="10" t="b">
        <f t="shared" si="698"/>
        <v>1</v>
      </c>
      <c r="AP1288"/>
      <c r="AQ1288"/>
      <c r="AU1288" s="16" cm="1">
        <f t="array" ref="AU1288">$C1288*EXP(poly_from_str(100000000/$E1288,AU$4342))</f>
        <v>0.1285511455390943</v>
      </c>
    </row>
    <row r="1289" spans="1:47" x14ac:dyDescent="0.25">
      <c r="A1289" t="s">
        <v>1987</v>
      </c>
      <c r="B1289" s="2" t="str">
        <f t="shared" si="694"/>
        <v/>
      </c>
      <c r="C1289">
        <v>25</v>
      </c>
      <c r="E1289" t="s">
        <v>1988</v>
      </c>
      <c r="R1289">
        <v>13</v>
      </c>
      <c r="S1289" t="s">
        <v>22</v>
      </c>
      <c r="AA1289" s="10">
        <f t="shared" si="695"/>
        <v>4178.08</v>
      </c>
      <c r="AB1289" s="3">
        <f t="shared" si="696"/>
        <v>23927.69</v>
      </c>
      <c r="AC1289" s="3" cm="1">
        <f t="array" ref="AC1289">100000000/LvacE(AA1289)</f>
        <v>23927.694783544783</v>
      </c>
      <c r="AD1289" s="10">
        <f t="shared" si="697"/>
        <v>7.8634797303480039E-3</v>
      </c>
      <c r="AE1289" s="10" t="b">
        <f t="shared" si="698"/>
        <v>1</v>
      </c>
      <c r="AP1289"/>
      <c r="AQ1289"/>
      <c r="AU1289" s="16" cm="1">
        <f t="array" ref="AU1289">$C1289*EXP(poly_from_str(100000000/$E1289,AU$4342))</f>
        <v>1.0726864552300122</v>
      </c>
    </row>
    <row r="1290" spans="1:47" x14ac:dyDescent="0.25">
      <c r="A1290" t="s">
        <v>1989</v>
      </c>
      <c r="B1290" s="2" t="str">
        <f t="shared" si="694"/>
        <v/>
      </c>
      <c r="C1290">
        <v>3</v>
      </c>
      <c r="D1290" t="s">
        <v>143</v>
      </c>
      <c r="E1290" t="s">
        <v>1990</v>
      </c>
      <c r="R1290">
        <v>13</v>
      </c>
      <c r="S1290" t="s">
        <v>22</v>
      </c>
      <c r="AA1290" s="10">
        <f t="shared" si="695"/>
        <v>4177.8440000000001</v>
      </c>
      <c r="AB1290" s="3">
        <f t="shared" si="696"/>
        <v>23929.05</v>
      </c>
      <c r="AC1290" s="3" cm="1">
        <f t="array" ref="AC1290">100000000/LvacE(AA1290)</f>
        <v>23929.046395969344</v>
      </c>
      <c r="AD1290" s="10">
        <f t="shared" si="697"/>
        <v>7.8638032434874723E-3</v>
      </c>
      <c r="AE1290" s="10" t="b">
        <f t="shared" si="698"/>
        <v>1</v>
      </c>
      <c r="AP1290"/>
      <c r="AQ1290"/>
      <c r="AU1290" s="16" cm="1">
        <f t="array" ref="AU1290">$C1290*EXP(poly_from_str(100000000/$E1290,AU$4342))</f>
        <v>0.12877142362124719</v>
      </c>
    </row>
    <row r="1291" spans="1:47" x14ac:dyDescent="0.25">
      <c r="A1291" t="s">
        <v>1991</v>
      </c>
      <c r="B1291" s="2" t="str">
        <f t="shared" si="694"/>
        <v/>
      </c>
      <c r="C1291">
        <v>3</v>
      </c>
      <c r="D1291" t="s">
        <v>143</v>
      </c>
      <c r="E1291" t="s">
        <v>1992</v>
      </c>
      <c r="R1291">
        <v>13</v>
      </c>
      <c r="S1291" t="s">
        <v>22</v>
      </c>
      <c r="AA1291" s="10">
        <f t="shared" si="695"/>
        <v>4177.1030000000001</v>
      </c>
      <c r="AB1291" s="3">
        <f t="shared" si="696"/>
        <v>23933.29</v>
      </c>
      <c r="AC1291" s="3" cm="1">
        <f t="array" ref="AC1291">100000000/LvacE(AA1291)</f>
        <v>23933.291222472348</v>
      </c>
      <c r="AD1291" s="10">
        <f t="shared" si="697"/>
        <v>7.8648193763084552E-3</v>
      </c>
      <c r="AE1291" s="10" t="b">
        <f t="shared" si="698"/>
        <v>1</v>
      </c>
      <c r="AP1291"/>
      <c r="AQ1291"/>
      <c r="AU1291" s="16" cm="1">
        <f t="array" ref="AU1291">$C1291*EXP(poly_from_str(100000000/$E1291,AU$4342))</f>
        <v>0.12892499367821014</v>
      </c>
    </row>
    <row r="1292" spans="1:47" x14ac:dyDescent="0.25">
      <c r="A1292" t="s">
        <v>1993</v>
      </c>
      <c r="B1292" s="2" t="str">
        <f t="shared" si="694"/>
        <v/>
      </c>
      <c r="C1292">
        <v>2</v>
      </c>
      <c r="E1292" t="s">
        <v>1994</v>
      </c>
      <c r="R1292">
        <v>13</v>
      </c>
      <c r="S1292" t="s">
        <v>22</v>
      </c>
      <c r="AA1292" s="10">
        <f t="shared" si="695"/>
        <v>4176.8490000000002</v>
      </c>
      <c r="AB1292" s="3">
        <f t="shared" si="696"/>
        <v>23934.75</v>
      </c>
      <c r="AC1292" s="3" cm="1">
        <f t="array" ref="AC1292">100000000/LvacE(AA1292)</f>
        <v>23934.746610821625</v>
      </c>
      <c r="AD1292" s="10">
        <f t="shared" si="697"/>
        <v>7.8651678108092524E-3</v>
      </c>
      <c r="AE1292" s="10" t="b">
        <f t="shared" si="698"/>
        <v>1</v>
      </c>
      <c r="AP1292"/>
      <c r="AQ1292"/>
      <c r="AU1292" s="16" cm="1">
        <f t="array" ref="AU1292">$C1292*EXP(poly_from_str(100000000/$E1292,AU$4342))</f>
        <v>8.5985401857902474E-2</v>
      </c>
    </row>
    <row r="1293" spans="1:47" x14ac:dyDescent="0.25">
      <c r="A1293" t="s">
        <v>1995</v>
      </c>
      <c r="B1293" s="2" t="str">
        <f t="shared" si="694"/>
        <v/>
      </c>
      <c r="C1293">
        <v>1</v>
      </c>
      <c r="E1293" t="s">
        <v>1996</v>
      </c>
      <c r="R1293">
        <v>13</v>
      </c>
      <c r="S1293" t="s">
        <v>22</v>
      </c>
      <c r="AA1293" s="10">
        <f t="shared" si="695"/>
        <v>4176.1559999999999</v>
      </c>
      <c r="AB1293" s="3">
        <f t="shared" si="696"/>
        <v>23938.720000000001</v>
      </c>
      <c r="AC1293" s="3" cm="1">
        <f t="array" ref="AC1293">100000000/LvacE(AA1293)</f>
        <v>23938.718314872705</v>
      </c>
      <c r="AD1293" s="10">
        <f t="shared" si="697"/>
        <v>7.8661187842207891E-3</v>
      </c>
      <c r="AE1293" s="10" t="b">
        <f t="shared" si="698"/>
        <v>1</v>
      </c>
      <c r="AP1293"/>
      <c r="AQ1293"/>
      <c r="AU1293" s="16" cm="1">
        <f t="array" ref="AU1293">$C1293*EXP(poly_from_str(100000000/$E1293,AU$4342))</f>
        <v>4.3041036388240174E-2</v>
      </c>
    </row>
    <row r="1294" spans="1:47" x14ac:dyDescent="0.25">
      <c r="A1294" t="s">
        <v>1997</v>
      </c>
      <c r="B1294" s="2" t="str">
        <f t="shared" si="694"/>
        <v/>
      </c>
      <c r="C1294">
        <v>1</v>
      </c>
      <c r="E1294" t="s">
        <v>1998</v>
      </c>
      <c r="R1294">
        <v>13</v>
      </c>
      <c r="S1294" t="s">
        <v>22</v>
      </c>
      <c r="AA1294" s="10">
        <f t="shared" si="695"/>
        <v>4174.7740000000003</v>
      </c>
      <c r="AB1294" s="3">
        <f t="shared" si="696"/>
        <v>23946.639999999999</v>
      </c>
      <c r="AC1294" s="3" cm="1">
        <f t="array" ref="AC1294">100000000/LvacE(AA1294)</f>
        <v>23946.642734892885</v>
      </c>
      <c r="AD1294" s="10">
        <f t="shared" si="697"/>
        <v>7.8680166560983755E-3</v>
      </c>
      <c r="AE1294" s="10" t="b">
        <f t="shared" si="698"/>
        <v>1</v>
      </c>
      <c r="AP1294"/>
      <c r="AQ1294"/>
      <c r="AU1294" s="16" cm="1">
        <f t="array" ref="AU1294">$C1294*EXP(poly_from_str(100000000/$E1294,AU$4342))</f>
        <v>4.3138328544072804E-2</v>
      </c>
    </row>
    <row r="1295" spans="1:47" x14ac:dyDescent="0.25">
      <c r="A1295" t="s">
        <v>1999</v>
      </c>
      <c r="B1295" s="2" t="str">
        <f t="shared" si="694"/>
        <v/>
      </c>
      <c r="C1295">
        <v>2</v>
      </c>
      <c r="E1295" t="s">
        <v>2000</v>
      </c>
      <c r="R1295">
        <v>13</v>
      </c>
      <c r="S1295" t="s">
        <v>22</v>
      </c>
      <c r="AA1295" s="10">
        <f t="shared" si="695"/>
        <v>4174.6899999999996</v>
      </c>
      <c r="AB1295" s="3">
        <f t="shared" si="696"/>
        <v>23947.119999999999</v>
      </c>
      <c r="AC1295" s="3" cm="1">
        <f t="array" ref="AC1295">100000000/LvacE(AA1295)</f>
        <v>23947.124561974626</v>
      </c>
      <c r="AD1295" s="10">
        <f t="shared" si="697"/>
        <v>7.8681320723184983E-3</v>
      </c>
      <c r="AE1295" s="10" t="b">
        <f t="shared" si="698"/>
        <v>1</v>
      </c>
      <c r="AP1295"/>
      <c r="AQ1295"/>
      <c r="AU1295" s="16" cm="1">
        <f t="array" ref="AU1295">$C1295*EXP(poly_from_str(100000000/$E1295,AU$4342))</f>
        <v>8.6288524199462369E-2</v>
      </c>
    </row>
    <row r="1296" spans="1:47" x14ac:dyDescent="0.25">
      <c r="A1296" t="s">
        <v>2001</v>
      </c>
      <c r="B1296" s="2" t="str">
        <f t="shared" si="694"/>
        <v/>
      </c>
      <c r="C1296">
        <v>2</v>
      </c>
      <c r="E1296" t="s">
        <v>2002</v>
      </c>
      <c r="R1296">
        <v>13</v>
      </c>
      <c r="S1296" t="s">
        <v>22</v>
      </c>
      <c r="AA1296" s="10">
        <f t="shared" si="695"/>
        <v>4174.49</v>
      </c>
      <c r="AB1296" s="3">
        <f t="shared" si="696"/>
        <v>23948.27</v>
      </c>
      <c r="AC1296" s="3" cm="1">
        <f t="array" ref="AC1296">100000000/LvacE(AA1296)</f>
        <v>23948.27184735674</v>
      </c>
      <c r="AD1296" s="10">
        <f t="shared" si="697"/>
        <v>7.868406900885706E-3</v>
      </c>
      <c r="AE1296" s="10" t="b">
        <f t="shared" si="698"/>
        <v>1</v>
      </c>
      <c r="AP1296"/>
      <c r="AQ1296"/>
      <c r="AU1296" s="16" cm="1">
        <f t="array" ref="AU1296">$C1296*EXP(poly_from_str(100000000/$E1296,AU$4342))</f>
        <v>8.6316990306568586E-2</v>
      </c>
    </row>
    <row r="1297" spans="1:48" x14ac:dyDescent="0.25">
      <c r="A1297" t="s">
        <v>2003</v>
      </c>
      <c r="B1297" s="2" t="str">
        <f t="shared" si="694"/>
        <v/>
      </c>
      <c r="C1297">
        <v>6</v>
      </c>
      <c r="D1297" t="s">
        <v>14</v>
      </c>
      <c r="E1297" t="s">
        <v>2004</v>
      </c>
      <c r="R1297">
        <v>13</v>
      </c>
      <c r="S1297" t="s">
        <v>22</v>
      </c>
      <c r="AA1297" s="10">
        <f t="shared" si="695"/>
        <v>4173.5709999999999</v>
      </c>
      <c r="AB1297" s="3">
        <f t="shared" si="696"/>
        <v>23953.54</v>
      </c>
      <c r="AC1297" s="3" cm="1">
        <f t="array" ref="AC1297">100000000/LvacE(AA1297)</f>
        <v>23953.545037089119</v>
      </c>
      <c r="AD1297" s="10">
        <f t="shared" si="697"/>
        <v>7.8696702460661523E-3</v>
      </c>
      <c r="AE1297" s="10" t="b">
        <f t="shared" si="698"/>
        <v>1</v>
      </c>
      <c r="AP1297"/>
      <c r="AQ1297"/>
      <c r="AU1297" s="16" cm="1">
        <f t="array" ref="AU1297">$C1297*EXP(poly_from_str(100000000/$E1297,AU$4342))</f>
        <v>0.25934418640403967</v>
      </c>
    </row>
    <row r="1298" spans="1:48" x14ac:dyDescent="0.25">
      <c r="A1298" t="s">
        <v>2005</v>
      </c>
      <c r="B1298" s="2" t="str">
        <f t="shared" si="694"/>
        <v/>
      </c>
      <c r="C1298">
        <v>90</v>
      </c>
      <c r="E1298" t="s">
        <v>2006</v>
      </c>
      <c r="R1298">
        <v>13</v>
      </c>
      <c r="S1298" t="s">
        <v>22</v>
      </c>
      <c r="AA1298" s="10">
        <f t="shared" si="695"/>
        <v>4172.1469999999999</v>
      </c>
      <c r="AB1298" s="3">
        <f t="shared" si="696"/>
        <v>23961.72</v>
      </c>
      <c r="AC1298" s="3" cm="1">
        <f t="array" ref="AC1298">100000000/LvacE(AA1298)</f>
        <v>23961.72048754913</v>
      </c>
      <c r="AD1298" s="10">
        <f t="shared" si="697"/>
        <v>7.8716294617075001E-3</v>
      </c>
      <c r="AE1298" s="10" t="b">
        <f t="shared" si="698"/>
        <v>1</v>
      </c>
      <c r="AP1298"/>
      <c r="AQ1298"/>
      <c r="AU1298" s="16" cm="1">
        <f t="array" ref="AU1298">$C1298*EXP(poly_from_str(100000000/$E1298,AU$4342))</f>
        <v>3.8994091714312273</v>
      </c>
    </row>
    <row r="1299" spans="1:48" x14ac:dyDescent="0.25">
      <c r="A1299" t="s">
        <v>2007</v>
      </c>
      <c r="B1299" s="2" t="str">
        <f t="shared" si="694"/>
        <v/>
      </c>
      <c r="C1299">
        <v>9</v>
      </c>
      <c r="D1299" t="s">
        <v>14</v>
      </c>
      <c r="E1299" t="s">
        <v>2008</v>
      </c>
      <c r="R1299">
        <v>13</v>
      </c>
      <c r="S1299" t="s">
        <v>22</v>
      </c>
      <c r="AA1299" s="10">
        <f t="shared" si="695"/>
        <v>4167.0870000000004</v>
      </c>
      <c r="AB1299" s="3">
        <f t="shared" si="696"/>
        <v>23990.82</v>
      </c>
      <c r="AC1299" s="3" cm="1">
        <f t="array" ref="AC1299">100000000/LvacE(AA1299)</f>
        <v>23990.816095472048</v>
      </c>
      <c r="AD1299" s="10">
        <f t="shared" si="697"/>
        <v>7.8786075375282608E-3</v>
      </c>
      <c r="AE1299" s="10" t="b">
        <f t="shared" si="698"/>
        <v>1</v>
      </c>
      <c r="AP1299"/>
      <c r="AQ1299"/>
      <c r="AU1299" s="16" cm="1">
        <f t="array" ref="AU1299">$C1299*EXP(poly_from_str(100000000/$E1299,AU$4342))</f>
        <v>0.39332056980647501</v>
      </c>
    </row>
    <row r="1300" spans="1:48" x14ac:dyDescent="0.25">
      <c r="A1300" t="s">
        <v>2009</v>
      </c>
      <c r="B1300" s="2" t="str">
        <f t="shared" si="694"/>
        <v/>
      </c>
      <c r="C1300">
        <v>3</v>
      </c>
      <c r="E1300" t="s">
        <v>2010</v>
      </c>
      <c r="R1300">
        <v>13</v>
      </c>
      <c r="S1300" t="s">
        <v>22</v>
      </c>
      <c r="AA1300" s="10">
        <f t="shared" si="695"/>
        <v>4166.4830000000002</v>
      </c>
      <c r="AB1300" s="3">
        <f t="shared" si="696"/>
        <v>23994.29</v>
      </c>
      <c r="AC1300" s="3" cm="1">
        <f t="array" ref="AC1300">100000000/LvacE(AA1300)</f>
        <v>23994.293889252953</v>
      </c>
      <c r="AD1300" s="10">
        <f t="shared" si="697"/>
        <v>7.8794421925222E-3</v>
      </c>
      <c r="AE1300" s="10" t="b">
        <f t="shared" si="698"/>
        <v>1</v>
      </c>
      <c r="AP1300"/>
      <c r="AQ1300"/>
      <c r="AU1300" s="16" cm="1">
        <f t="array" ref="AU1300">$C1300*EXP(poly_from_str(100000000/$E1300,AU$4342))</f>
        <v>0.13124433777729277</v>
      </c>
    </row>
    <row r="1301" spans="1:48" x14ac:dyDescent="0.25">
      <c r="A1301" t="s">
        <v>2011</v>
      </c>
      <c r="B1301" s="2" t="str">
        <f t="shared" si="694"/>
        <v/>
      </c>
      <c r="C1301">
        <v>8</v>
      </c>
      <c r="E1301" t="s">
        <v>2012</v>
      </c>
      <c r="R1301">
        <v>13</v>
      </c>
      <c r="S1301" t="s">
        <v>22</v>
      </c>
      <c r="AA1301" s="10">
        <f t="shared" si="695"/>
        <v>4165.9319999999998</v>
      </c>
      <c r="AB1301" s="3">
        <f t="shared" si="696"/>
        <v>23997.47</v>
      </c>
      <c r="AC1301" s="3" cm="1">
        <f t="array" ref="AC1301">100000000/LvacE(AA1301)</f>
        <v>23997.467391965878</v>
      </c>
      <c r="AD1301" s="10">
        <f t="shared" si="697"/>
        <v>7.8802039245918897E-3</v>
      </c>
      <c r="AE1301" s="10" t="b">
        <f t="shared" si="698"/>
        <v>1</v>
      </c>
      <c r="AP1301"/>
      <c r="AQ1301"/>
      <c r="AU1301" s="16" cm="1">
        <f t="array" ref="AU1301">$C1301*EXP(poly_from_str(100000000/$E1301,AU$4342))</f>
        <v>0.35032245298048442</v>
      </c>
    </row>
    <row r="1302" spans="1:48" x14ac:dyDescent="0.25">
      <c r="A1302" t="s">
        <v>2013</v>
      </c>
      <c r="B1302" s="2" t="str">
        <f t="shared" si="694"/>
        <v/>
      </c>
      <c r="C1302">
        <v>8</v>
      </c>
      <c r="D1302" t="s">
        <v>14</v>
      </c>
      <c r="E1302" t="s">
        <v>2014</v>
      </c>
      <c r="R1302">
        <v>13</v>
      </c>
      <c r="S1302" t="s">
        <v>22</v>
      </c>
      <c r="AA1302" s="10">
        <f t="shared" si="695"/>
        <v>4165.098</v>
      </c>
      <c r="AB1302" s="3">
        <f t="shared" si="696"/>
        <v>24002.27</v>
      </c>
      <c r="AC1302" s="3" cm="1">
        <f t="array" ref="AC1302">100000000/LvacE(AA1302)</f>
        <v>24002.272439750868</v>
      </c>
      <c r="AD1302" s="10">
        <f t="shared" si="697"/>
        <v>7.8813574662289897E-3</v>
      </c>
      <c r="AE1302" s="10" t="b">
        <f t="shared" si="698"/>
        <v>1</v>
      </c>
      <c r="AP1302"/>
      <c r="AQ1302"/>
      <c r="AU1302" s="16" cm="1">
        <f t="array" ref="AU1302">$C1302*EXP(poly_from_str(100000000/$E1302,AU$4342))</f>
        <v>0.35083482200524085</v>
      </c>
    </row>
    <row r="1303" spans="1:48" x14ac:dyDescent="0.25">
      <c r="A1303" t="s">
        <v>2015</v>
      </c>
      <c r="B1303" s="2" t="str">
        <f t="shared" si="694"/>
        <v/>
      </c>
      <c r="C1303">
        <v>5</v>
      </c>
      <c r="E1303" t="s">
        <v>2016</v>
      </c>
      <c r="R1303">
        <v>13</v>
      </c>
      <c r="S1303" t="s">
        <v>22</v>
      </c>
      <c r="AA1303" s="10">
        <f t="shared" si="695"/>
        <v>4161.1030000000001</v>
      </c>
      <c r="AB1303" s="3">
        <f t="shared" si="696"/>
        <v>24025.32</v>
      </c>
      <c r="AC1303" s="3" cm="1">
        <f t="array" ref="AC1303">100000000/LvacE(AA1303)</f>
        <v>24025.31613582866</v>
      </c>
      <c r="AD1303" s="10">
        <f t="shared" si="697"/>
        <v>7.8868927464459133E-3</v>
      </c>
      <c r="AE1303" s="10" t="b">
        <f t="shared" si="698"/>
        <v>1</v>
      </c>
      <c r="AP1303"/>
      <c r="AQ1303"/>
      <c r="AU1303" s="16" cm="1">
        <f t="array" ref="AU1303">$C1303*EXP(poly_from_str(100000000/$E1303,AU$4342))</f>
        <v>0.22083954352569851</v>
      </c>
    </row>
    <row r="1304" spans="1:48" x14ac:dyDescent="0.25">
      <c r="A1304" t="s">
        <v>2017</v>
      </c>
      <c r="B1304" s="2" t="str">
        <f t="shared" si="694"/>
        <v/>
      </c>
      <c r="C1304">
        <v>6</v>
      </c>
      <c r="D1304" t="s">
        <v>14</v>
      </c>
      <c r="E1304" t="s">
        <v>2018</v>
      </c>
      <c r="R1304">
        <v>13</v>
      </c>
      <c r="S1304" t="s">
        <v>22</v>
      </c>
      <c r="AA1304" s="10">
        <f t="shared" si="695"/>
        <v>4160.9369999999999</v>
      </c>
      <c r="AB1304" s="3">
        <f t="shared" si="696"/>
        <v>24026.27</v>
      </c>
      <c r="AC1304" s="3" cm="1">
        <f t="array" ref="AC1304">100000000/LvacE(AA1304)</f>
        <v>24026.274603598093</v>
      </c>
      <c r="AD1304" s="10">
        <f t="shared" si="697"/>
        <v>7.88712309313961E-3</v>
      </c>
      <c r="AE1304" s="10" t="b">
        <f t="shared" si="698"/>
        <v>1</v>
      </c>
      <c r="AP1304"/>
      <c r="AQ1304"/>
      <c r="AU1304" s="16" cm="1">
        <f t="array" ref="AU1304">$C1304*EXP(poly_from_str(100000000/$E1304,AU$4342))</f>
        <v>0.26508627344241642</v>
      </c>
    </row>
    <row r="1305" spans="1:48" x14ac:dyDescent="0.25">
      <c r="A1305" t="s">
        <v>2019</v>
      </c>
      <c r="B1305" s="2" t="str">
        <f t="shared" si="694"/>
        <v/>
      </c>
      <c r="C1305">
        <v>4</v>
      </c>
      <c r="D1305" t="s">
        <v>14</v>
      </c>
      <c r="E1305" t="s">
        <v>2020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699">$G1305&amp;""</f>
        <v>o</v>
      </c>
      <c r="N1305" t="str">
        <f t="shared" ref="N1305:N1306" si="700">$H1305&amp;""</f>
        <v>7/2</v>
      </c>
      <c r="O1305">
        <v>37919.58</v>
      </c>
      <c r="P1305" t="str">
        <f t="shared" ref="P1305:P1306" si="701">$J1305&amp;""</f>
        <v>e</v>
      </c>
      <c r="Q1305" t="str">
        <f t="shared" ref="Q1305:Q1306" si="702">$K1305&amp;""</f>
        <v>7/2</v>
      </c>
      <c r="R1305">
        <v>13</v>
      </c>
      <c r="AA1305" s="10">
        <f t="shared" si="695"/>
        <v>4159.9489999999996</v>
      </c>
      <c r="AB1305" s="3">
        <f t="shared" si="696"/>
        <v>24031.98</v>
      </c>
      <c r="AC1305" s="3" cm="1">
        <f t="array" ref="AC1305">100000000/LvacE(AA1305)</f>
        <v>24031.980801448262</v>
      </c>
      <c r="AD1305" s="10">
        <f t="shared" si="697"/>
        <v>7.8884946427766611E-3</v>
      </c>
      <c r="AE1305" s="10" t="b">
        <f t="shared" si="698"/>
        <v>1</v>
      </c>
      <c r="AJ1305" t="s">
        <v>4818</v>
      </c>
      <c r="AK1305" t="s">
        <v>4764</v>
      </c>
      <c r="AL1305">
        <v>13887.6</v>
      </c>
      <c r="AM1305">
        <v>37919.58</v>
      </c>
      <c r="AN1305" s="10" cm="1">
        <f t="array" ref="AN1305">Lair(100000000/($AM1305-$AL1305))</f>
        <v>4159.9491357985244</v>
      </c>
      <c r="AO1305" s="10">
        <f t="shared" ref="AO1305:AO1306" si="703">100000000/($AM1305-$AL1305)</f>
        <v>4161.1219716394562</v>
      </c>
      <c r="AP1305" s="12">
        <v>521000</v>
      </c>
      <c r="AQ1305" s="3">
        <v>3.2000000000000001E-2</v>
      </c>
      <c r="AR1305" s="3"/>
      <c r="AS1305" s="13">
        <f>EXP(AR$4341*$AM1305+AR$4342)*$AP1305/(100000000/($AM1305-$AL1305))</f>
        <v>0.64303196491060821</v>
      </c>
      <c r="AT1305" s="3"/>
      <c r="AU1305" s="16" cm="1">
        <f t="array" ref="AU1305">$C1305*EXP(poly_from_str(100000000/$E1305,AU$4342))</f>
        <v>0.17704145046396411</v>
      </c>
    </row>
    <row r="1306" spans="1:48" x14ac:dyDescent="0.25">
      <c r="A1306" t="s">
        <v>2021</v>
      </c>
      <c r="B1306" s="2" t="str">
        <f t="shared" si="694"/>
        <v/>
      </c>
      <c r="C1306">
        <v>2</v>
      </c>
      <c r="E1306" t="s">
        <v>2022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699"/>
        <v>o</v>
      </c>
      <c r="N1306" t="str">
        <f t="shared" si="700"/>
        <v>9/2</v>
      </c>
      <c r="O1306">
        <v>35801.120000000003</v>
      </c>
      <c r="P1306" t="str">
        <f t="shared" si="701"/>
        <v>e</v>
      </c>
      <c r="Q1306" t="str">
        <f t="shared" si="702"/>
        <v>7/2</v>
      </c>
      <c r="R1306">
        <v>13</v>
      </c>
      <c r="AA1306" s="10">
        <f t="shared" si="695"/>
        <v>4158.6509999999998</v>
      </c>
      <c r="AB1306" s="3">
        <f t="shared" si="696"/>
        <v>24039.48</v>
      </c>
      <c r="AC1306" s="3" cm="1">
        <f t="array" ref="AC1306">100000000/LvacE(AA1306)</f>
        <v>24039.481526239822</v>
      </c>
      <c r="AD1306" s="10">
        <f t="shared" si="697"/>
        <v>7.890298022873261E-3</v>
      </c>
      <c r="AE1306" s="10" t="b">
        <f t="shared" si="698"/>
        <v>1</v>
      </c>
      <c r="AJ1306" t="s">
        <v>4695</v>
      </c>
      <c r="AK1306" t="s">
        <v>4810</v>
      </c>
      <c r="AL1306">
        <v>11761.69</v>
      </c>
      <c r="AM1306">
        <v>35801.120000000003</v>
      </c>
      <c r="AN1306" s="10" cm="1">
        <f t="array" ref="AN1306">Lair(100000000/($AM1306-$AL1306))</f>
        <v>4158.659910907425</v>
      </c>
      <c r="AO1306" s="10">
        <f t="shared" si="703"/>
        <v>4159.8324086719194</v>
      </c>
      <c r="AU1306" s="16" cm="1">
        <f t="array" ref="AU1306">$C1306*EXP(poly_from_str(100000000/$E1306,AU$4342))</f>
        <v>8.8730954434738399E-2</v>
      </c>
    </row>
    <row r="1307" spans="1:48" x14ac:dyDescent="0.25">
      <c r="A1307" t="s">
        <v>2023</v>
      </c>
      <c r="B1307" s="2" t="str">
        <f t="shared" si="694"/>
        <v/>
      </c>
      <c r="C1307">
        <v>20</v>
      </c>
      <c r="D1307" t="s">
        <v>14</v>
      </c>
      <c r="E1307" t="s">
        <v>2024</v>
      </c>
      <c r="R1307">
        <v>13</v>
      </c>
      <c r="S1307" t="s">
        <v>22</v>
      </c>
      <c r="AA1307" s="10">
        <f t="shared" si="695"/>
        <v>4156.17</v>
      </c>
      <c r="AB1307" s="3">
        <f t="shared" si="696"/>
        <v>24053.83</v>
      </c>
      <c r="AC1307" s="3" cm="1">
        <f t="array" ref="AC1307">100000000/LvacE(AA1307)</f>
        <v>24053.831463207785</v>
      </c>
      <c r="AD1307" s="10">
        <f t="shared" si="697"/>
        <v>7.8937497098539988E-3</v>
      </c>
      <c r="AE1307" s="10" t="b">
        <f t="shared" si="698"/>
        <v>1</v>
      </c>
      <c r="AP1307"/>
      <c r="AQ1307"/>
      <c r="AU1307" s="16" cm="1">
        <f t="array" ref="AU1307">$C1307*EXP(poly_from_str(100000000/$E1307,AU$4342))</f>
        <v>0.89139114202253955</v>
      </c>
    </row>
    <row r="1308" spans="1:48" x14ac:dyDescent="0.25">
      <c r="A1308" t="s">
        <v>2025</v>
      </c>
      <c r="B1308" s="2" t="str">
        <f t="shared" si="694"/>
        <v/>
      </c>
      <c r="C1308">
        <v>2</v>
      </c>
      <c r="E1308" t="s">
        <v>2026</v>
      </c>
      <c r="R1308">
        <v>13</v>
      </c>
      <c r="S1308" t="s">
        <v>22</v>
      </c>
      <c r="AA1308" s="10">
        <f t="shared" si="695"/>
        <v>4155.3720000000003</v>
      </c>
      <c r="AB1308" s="3">
        <f t="shared" si="696"/>
        <v>24058.45</v>
      </c>
      <c r="AC1308" s="3" cm="1">
        <f t="array" ref="AC1308">100000000/LvacE(AA1308)</f>
        <v>24058.45068351513</v>
      </c>
      <c r="AD1308" s="10">
        <f t="shared" si="697"/>
        <v>7.894861240283076E-3</v>
      </c>
      <c r="AE1308" s="10" t="b">
        <f t="shared" si="698"/>
        <v>1</v>
      </c>
      <c r="AP1308"/>
      <c r="AQ1308"/>
      <c r="AU1308" s="16" cm="1">
        <f t="array" ref="AU1308">$C1308*EXP(poly_from_str(100000000/$E1308,AU$4342))</f>
        <v>8.9272181408436749E-2</v>
      </c>
    </row>
    <row r="1309" spans="1:48" x14ac:dyDescent="0.25">
      <c r="A1309" t="s">
        <v>2027</v>
      </c>
      <c r="B1309" s="2" t="str">
        <f t="shared" si="694"/>
        <v/>
      </c>
      <c r="C1309">
        <v>3</v>
      </c>
      <c r="D1309" t="s">
        <v>14</v>
      </c>
      <c r="E1309" t="s">
        <v>2028</v>
      </c>
      <c r="R1309">
        <v>13</v>
      </c>
      <c r="S1309" t="s">
        <v>22</v>
      </c>
      <c r="AA1309" s="10">
        <f t="shared" si="695"/>
        <v>4154.7030000000004</v>
      </c>
      <c r="AB1309" s="3">
        <f t="shared" si="696"/>
        <v>24062.32</v>
      </c>
      <c r="AC1309" s="3" cm="1">
        <f t="array" ref="AC1309">100000000/LvacE(AA1309)</f>
        <v>24062.324555071518</v>
      </c>
      <c r="AD1309" s="10">
        <f t="shared" si="697"/>
        <v>7.8957935808012646E-3</v>
      </c>
      <c r="AE1309" s="10" t="b">
        <f t="shared" si="698"/>
        <v>1</v>
      </c>
      <c r="AP1309"/>
      <c r="AQ1309"/>
      <c r="AU1309" s="16" cm="1">
        <f t="array" ref="AU1309">$C1309*EXP(poly_from_str(100000000/$E1309,AU$4342))</f>
        <v>0.1340764057693036</v>
      </c>
    </row>
    <row r="1310" spans="1:48" x14ac:dyDescent="0.25">
      <c r="A1310" t="s">
        <v>2029</v>
      </c>
      <c r="B1310" s="2" t="str">
        <f t="shared" si="694"/>
        <v/>
      </c>
      <c r="C1310">
        <v>20</v>
      </c>
      <c r="E1310" t="s">
        <v>2030</v>
      </c>
      <c r="R1310">
        <v>13</v>
      </c>
      <c r="S1310" t="s">
        <v>22</v>
      </c>
      <c r="AA1310" s="10">
        <f t="shared" si="695"/>
        <v>4153.2280000000001</v>
      </c>
      <c r="AB1310" s="3">
        <f t="shared" si="696"/>
        <v>24070.87</v>
      </c>
      <c r="AC1310" s="3" cm="1">
        <f t="array" ref="AC1310">100000000/LvacE(AA1310)</f>
        <v>24070.870011186158</v>
      </c>
      <c r="AD1310" s="10">
        <f t="shared" si="697"/>
        <v>7.8978507815109303E-3</v>
      </c>
      <c r="AE1310" s="10" t="b">
        <f t="shared" si="698"/>
        <v>1</v>
      </c>
      <c r="AP1310"/>
      <c r="AQ1310"/>
      <c r="AU1310" s="16" cm="1">
        <f t="array" ref="AU1310">$C1310*EXP(poly_from_str(100000000/$E1310,AU$4342))</f>
        <v>0.8963392880088461</v>
      </c>
    </row>
    <row r="1311" spans="1:48" x14ac:dyDescent="0.25">
      <c r="A1311" t="s">
        <v>2031</v>
      </c>
      <c r="B1311" s="2" t="str">
        <f t="shared" si="694"/>
        <v/>
      </c>
      <c r="C1311">
        <v>25</v>
      </c>
      <c r="E1311" t="s">
        <v>2032</v>
      </c>
      <c r="R1311">
        <v>13</v>
      </c>
      <c r="S1311" t="s">
        <v>22</v>
      </c>
      <c r="AA1311" s="10">
        <f t="shared" si="695"/>
        <v>4153.0439999999999</v>
      </c>
      <c r="AB1311" s="3">
        <f t="shared" si="696"/>
        <v>24071.94</v>
      </c>
      <c r="AC1311" s="3" cm="1">
        <f t="array" ref="AC1311">100000000/LvacE(AA1311)</f>
        <v>24071.936446447871</v>
      </c>
      <c r="AD1311" s="10">
        <f t="shared" si="697"/>
        <v>7.8981075623624341E-3</v>
      </c>
      <c r="AE1311" s="10" t="b">
        <f t="shared" si="698"/>
        <v>1</v>
      </c>
      <c r="AP1311"/>
      <c r="AQ1311"/>
      <c r="AU1311" s="16" cm="1">
        <f t="array" ref="AU1311">$C1311*EXP(poly_from_str(100000000/$E1311,AU$4342))</f>
        <v>1.1208171079779872</v>
      </c>
    </row>
    <row r="1312" spans="1:48" x14ac:dyDescent="0.25">
      <c r="A1312" t="s">
        <v>2033</v>
      </c>
      <c r="B1312" s="2" t="str">
        <f t="shared" si="694"/>
        <v/>
      </c>
      <c r="C1312">
        <v>8</v>
      </c>
      <c r="E1312" t="s">
        <v>2034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695"/>
        <v>4152.49</v>
      </c>
      <c r="AB1312" s="3">
        <f t="shared" si="696"/>
        <v>24075.15</v>
      </c>
      <c r="AC1312" s="3" cm="1">
        <f t="array" ref="AC1312">100000000/LvacE(AA1312)</f>
        <v>24075.147914558176</v>
      </c>
      <c r="AD1312" s="10">
        <f t="shared" si="697"/>
        <v>7.8988809021283829E-3</v>
      </c>
      <c r="AE1312" s="10" t="b">
        <f t="shared" si="698"/>
        <v>1</v>
      </c>
      <c r="AJ1312" t="s">
        <v>4765</v>
      </c>
      <c r="AK1312" t="s">
        <v>4918</v>
      </c>
      <c r="AL1312">
        <v>44903.42</v>
      </c>
      <c r="AM1312">
        <v>68978.55</v>
      </c>
      <c r="AN1312" s="10" cm="1">
        <f t="array" ref="AN1312">Lair(100000000/($AM1312-$AL1312))</f>
        <v>4152.49308699625</v>
      </c>
      <c r="AO1312" s="10">
        <f>100000000/($AM1312-$AL1312)</f>
        <v>4153.6639677542753</v>
      </c>
      <c r="AP1312" s="12">
        <v>3790000</v>
      </c>
      <c r="AQ1312" s="3">
        <v>6.6000000000000003E-2</v>
      </c>
      <c r="AR1312" s="3">
        <f>LN(AU1312*100000000/($AM1312-$AL1312)/AP1312)</f>
        <v>-7.8404525005108603</v>
      </c>
      <c r="AS1312" s="13">
        <f>EXP(AR$4341*$AM1312+AR$4342)*$AP1312/(100000000/($AM1312-$AL1312))</f>
        <v>0.45554046160667405</v>
      </c>
      <c r="AT1312" s="3">
        <f>LN(AS1312/$C1312)</f>
        <v>-2.8657122789132257</v>
      </c>
      <c r="AU1312" s="16" cm="1">
        <f t="array" ref="AU1312">$C1312*EXP(poly_from_str(100000000/$E1312,AU$4342))</f>
        <v>0.35903980077856357</v>
      </c>
      <c r="AV1312" s="13">
        <f>LN(AS1312/AU1312)</f>
        <v>0.23805129372716369</v>
      </c>
    </row>
    <row r="1313" spans="1:48" x14ac:dyDescent="0.25">
      <c r="A1313" t="s">
        <v>2035</v>
      </c>
      <c r="B1313" s="2" t="str">
        <f t="shared" si="694"/>
        <v/>
      </c>
      <c r="C1313">
        <v>10</v>
      </c>
      <c r="E1313" t="s">
        <v>2036</v>
      </c>
      <c r="R1313">
        <v>13</v>
      </c>
      <c r="S1313" t="s">
        <v>22</v>
      </c>
      <c r="AA1313" s="10">
        <f t="shared" si="695"/>
        <v>4150.9960000000001</v>
      </c>
      <c r="AB1313" s="3">
        <f t="shared" si="696"/>
        <v>24083.81</v>
      </c>
      <c r="AC1313" s="3" cm="1">
        <f t="array" ref="AC1313">100000000/LvacE(AA1313)</f>
        <v>24083.812716840243</v>
      </c>
      <c r="AD1313" s="10">
        <f t="shared" si="697"/>
        <v>7.900967950443729E-3</v>
      </c>
      <c r="AE1313" s="10" t="b">
        <f t="shared" si="698"/>
        <v>1</v>
      </c>
      <c r="AP1313"/>
      <c r="AQ1313"/>
      <c r="AU1313" s="16" cm="1">
        <f t="array" ref="AU1313">$C1313*EXP(poly_from_str(100000000/$E1313,AU$4342))</f>
        <v>0.45008538800237807</v>
      </c>
    </row>
    <row r="1314" spans="1:48" x14ac:dyDescent="0.25">
      <c r="A1314" t="s">
        <v>2037</v>
      </c>
      <c r="B1314" s="2" t="str">
        <f t="shared" si="694"/>
        <v/>
      </c>
      <c r="C1314">
        <v>6</v>
      </c>
      <c r="E1314" t="s">
        <v>2038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695"/>
        <v>4150.3969999999999</v>
      </c>
      <c r="AB1314" s="3">
        <f t="shared" si="696"/>
        <v>24087.29</v>
      </c>
      <c r="AC1314" s="3" cm="1">
        <f t="array" ref="AC1314">100000000/LvacE(AA1314)</f>
        <v>24087.288509245194</v>
      </c>
      <c r="AD1314" s="10">
        <f t="shared" si="697"/>
        <v>7.9018053585289787E-3</v>
      </c>
      <c r="AE1314" s="10" t="b">
        <f t="shared" si="698"/>
        <v>1</v>
      </c>
      <c r="AJ1314" t="s">
        <v>4816</v>
      </c>
      <c r="AK1314" t="s">
        <v>4839</v>
      </c>
      <c r="AL1314">
        <v>38448.379999999997</v>
      </c>
      <c r="AM1314">
        <v>62535.62</v>
      </c>
      <c r="AN1314" s="10" cm="1">
        <f t="array" ref="AN1314">Lair(100000000/($AM1314-$AL1314))</f>
        <v>4150.4053556538383</v>
      </c>
      <c r="AO1314" s="10">
        <f>100000000/($AM1314-$AL1314)</f>
        <v>4151.5756890370158</v>
      </c>
      <c r="AP1314" s="12">
        <v>2460000</v>
      </c>
      <c r="AQ1314" s="3">
        <v>0.23899999999999999</v>
      </c>
      <c r="AR1314" s="3">
        <f>LN(AU1314*100000000/($AM1314-$AL1314)/AP1314)</f>
        <v>-7.6924161090165804</v>
      </c>
      <c r="AS1314" s="13">
        <f>EXP(AR$4341*$AM1314+AR$4342)*$AP1314/(100000000/($AM1314-$AL1314))</f>
        <v>0.47976853819030402</v>
      </c>
      <c r="AT1314" s="3">
        <f>LN(AS1314/$C1314)</f>
        <v>-2.5262109727134345</v>
      </c>
      <c r="AU1314" s="16" cm="1">
        <f t="array" ref="AU1314">$C1314*EXP(poly_from_str(100000000/$E1314,AU$4342))</f>
        <v>0.27036363592675394</v>
      </c>
      <c r="AV1314" s="13">
        <f>LN(AS1314/AU1314)</f>
        <v>0.57353592289093425</v>
      </c>
    </row>
    <row r="1315" spans="1:48" x14ac:dyDescent="0.25">
      <c r="A1315" t="s">
        <v>2039</v>
      </c>
      <c r="B1315" s="2" t="str">
        <f t="shared" si="694"/>
        <v/>
      </c>
      <c r="C1315">
        <v>3</v>
      </c>
      <c r="E1315" t="s">
        <v>2040</v>
      </c>
      <c r="R1315">
        <v>13</v>
      </c>
      <c r="S1315" t="s">
        <v>22</v>
      </c>
      <c r="AA1315" s="10">
        <f t="shared" si="695"/>
        <v>4150.326</v>
      </c>
      <c r="AB1315" s="3">
        <f t="shared" si="696"/>
        <v>24087.7</v>
      </c>
      <c r="AC1315" s="3" cm="1">
        <f t="array" ref="AC1315">100000000/LvacE(AA1315)</f>
        <v>24087.700564500854</v>
      </c>
      <c r="AD1315" s="10">
        <f t="shared" si="697"/>
        <v>7.9019046412861123E-3</v>
      </c>
      <c r="AE1315" s="10" t="b">
        <f t="shared" si="698"/>
        <v>1</v>
      </c>
      <c r="AP1315"/>
      <c r="AQ1315"/>
      <c r="AU1315" s="16" cm="1">
        <f t="array" ref="AU1315">$C1315*EXP(poly_from_str(100000000/$E1315,AU$4342))</f>
        <v>0.13520026686094169</v>
      </c>
    </row>
    <row r="1316" spans="1:48" x14ac:dyDescent="0.25">
      <c r="A1316" t="s">
        <v>2041</v>
      </c>
      <c r="B1316" s="2" t="str">
        <f t="shared" si="694"/>
        <v/>
      </c>
      <c r="C1316">
        <v>15</v>
      </c>
      <c r="E1316" t="s">
        <v>2042</v>
      </c>
      <c r="R1316">
        <v>13</v>
      </c>
      <c r="S1316" t="s">
        <v>22</v>
      </c>
      <c r="AA1316" s="10">
        <f t="shared" si="695"/>
        <v>4149.5140000000001</v>
      </c>
      <c r="AB1316" s="3">
        <f t="shared" si="696"/>
        <v>24092.41</v>
      </c>
      <c r="AC1316" s="3" cm="1">
        <f t="array" ref="AC1316">100000000/LvacE(AA1316)</f>
        <v>24092.414086536013</v>
      </c>
      <c r="AD1316" s="10">
        <f t="shared" si="697"/>
        <v>7.9030404628754134E-3</v>
      </c>
      <c r="AE1316" s="10" t="b">
        <f t="shared" si="698"/>
        <v>1</v>
      </c>
      <c r="AP1316"/>
      <c r="AQ1316"/>
      <c r="AU1316" s="16" cm="1">
        <f t="array" ref="AU1316">$C1316*EXP(poly_from_str(100000000/$E1316,AU$4342))</f>
        <v>0.67706448992853974</v>
      </c>
    </row>
    <row r="1317" spans="1:48" x14ac:dyDescent="0.25">
      <c r="A1317" t="s">
        <v>2043</v>
      </c>
      <c r="B1317" s="2" t="str">
        <f t="shared" si="694"/>
        <v/>
      </c>
      <c r="C1317">
        <v>6</v>
      </c>
      <c r="E1317" t="s">
        <v>2044</v>
      </c>
      <c r="R1317">
        <v>13</v>
      </c>
      <c r="S1317" t="s">
        <v>22</v>
      </c>
      <c r="AA1317" s="10">
        <f t="shared" si="695"/>
        <v>4148.3869999999997</v>
      </c>
      <c r="AB1317" s="3">
        <f t="shared" si="696"/>
        <v>24098.959999999999</v>
      </c>
      <c r="AC1317" s="3" cm="1">
        <f t="array" ref="AC1317">100000000/LvacE(AA1317)</f>
        <v>24098.959187772896</v>
      </c>
      <c r="AD1317" s="10">
        <f t="shared" si="697"/>
        <v>7.9046180102980874E-3</v>
      </c>
      <c r="AE1317" s="10" t="b">
        <f t="shared" si="698"/>
        <v>1</v>
      </c>
      <c r="AP1317"/>
      <c r="AQ1317"/>
      <c r="AU1317" s="16" cm="1">
        <f t="array" ref="AU1317">$C1317*EXP(poly_from_str(100000000/$E1317,AU$4342))</f>
        <v>0.27142143981241973</v>
      </c>
    </row>
    <row r="1318" spans="1:48" x14ac:dyDescent="0.25">
      <c r="A1318" t="s">
        <v>2045</v>
      </c>
      <c r="B1318" s="2" t="str">
        <f t="shared" si="694"/>
        <v/>
      </c>
      <c r="C1318">
        <v>3</v>
      </c>
      <c r="E1318" t="s">
        <v>2046</v>
      </c>
      <c r="R1318">
        <v>13</v>
      </c>
      <c r="S1318" t="s">
        <v>22</v>
      </c>
      <c r="AA1318" s="10">
        <f t="shared" si="695"/>
        <v>4148.1779999999999</v>
      </c>
      <c r="AB1318" s="3">
        <f t="shared" si="696"/>
        <v>24100.17</v>
      </c>
      <c r="AC1318" s="3" cm="1">
        <f t="array" ref="AC1318">100000000/LvacE(AA1318)</f>
        <v>24100.173355218478</v>
      </c>
      <c r="AD1318" s="10">
        <f t="shared" si="697"/>
        <v>7.9049107047984048E-3</v>
      </c>
      <c r="AE1318" s="10" t="b">
        <f t="shared" si="698"/>
        <v>1</v>
      </c>
      <c r="AP1318"/>
      <c r="AQ1318"/>
      <c r="AU1318" s="16" cm="1">
        <f t="array" ref="AU1318">$C1318*EXP(poly_from_str(100000000/$E1318,AU$4342))</f>
        <v>0.13576600828103524</v>
      </c>
    </row>
    <row r="1319" spans="1:48" x14ac:dyDescent="0.25">
      <c r="A1319" t="s">
        <v>2047</v>
      </c>
      <c r="B1319" s="2" t="str">
        <f t="shared" si="694"/>
        <v/>
      </c>
      <c r="C1319">
        <v>90</v>
      </c>
      <c r="E1319" t="s">
        <v>2048</v>
      </c>
      <c r="R1319">
        <v>13</v>
      </c>
      <c r="S1319" t="s">
        <v>22</v>
      </c>
      <c r="AA1319" s="10">
        <f t="shared" si="695"/>
        <v>4147.8500000000004</v>
      </c>
      <c r="AB1319" s="3">
        <f t="shared" si="696"/>
        <v>24102.080000000002</v>
      </c>
      <c r="AC1319" s="3" cm="1">
        <f t="array" ref="AC1319">100000000/LvacE(AA1319)</f>
        <v>24102.079089569688</v>
      </c>
      <c r="AD1319" s="10">
        <f t="shared" si="697"/>
        <v>7.9053701423110398E-3</v>
      </c>
      <c r="AE1319" s="10" t="b">
        <f t="shared" si="698"/>
        <v>1</v>
      </c>
      <c r="AP1319"/>
      <c r="AQ1319"/>
      <c r="AU1319" s="16" cm="1">
        <f t="array" ref="AU1319">$C1319*EXP(poly_from_str(100000000/$E1319,AU$4342))</f>
        <v>4.075603613485951</v>
      </c>
    </row>
    <row r="1320" spans="1:48" x14ac:dyDescent="0.25">
      <c r="A1320" t="s">
        <v>2049</v>
      </c>
      <c r="B1320" s="2" t="str">
        <f t="shared" si="694"/>
        <v/>
      </c>
      <c r="C1320">
        <v>8</v>
      </c>
      <c r="D1320" t="s">
        <v>143</v>
      </c>
      <c r="E1320" t="s">
        <v>2050</v>
      </c>
      <c r="R1320">
        <v>13</v>
      </c>
      <c r="S1320" t="s">
        <v>22</v>
      </c>
      <c r="AA1320" s="10">
        <f t="shared" si="695"/>
        <v>4147.04</v>
      </c>
      <c r="AB1320" s="3">
        <f t="shared" si="696"/>
        <v>24106.79</v>
      </c>
      <c r="AC1320" s="3" cm="1">
        <f t="array" ref="AC1320">100000000/LvacE(AA1320)</f>
        <v>24106.78661519926</v>
      </c>
      <c r="AD1320" s="10">
        <f t="shared" si="697"/>
        <v>7.9065051958986735E-3</v>
      </c>
      <c r="AE1320" s="10" t="b">
        <f t="shared" si="698"/>
        <v>1</v>
      </c>
      <c r="AP1320"/>
      <c r="AQ1320"/>
      <c r="AU1320" s="16" cm="1">
        <f t="array" ref="AU1320">$C1320*EXP(poly_from_str(100000000/$E1320,AU$4342))</f>
        <v>0.36285331475719529</v>
      </c>
    </row>
    <row r="1321" spans="1:48" x14ac:dyDescent="0.25">
      <c r="A1321" t="s">
        <v>2051</v>
      </c>
      <c r="B1321" s="2" t="str">
        <f t="shared" si="694"/>
        <v/>
      </c>
      <c r="C1321">
        <v>10</v>
      </c>
      <c r="D1321" t="s">
        <v>14</v>
      </c>
      <c r="E1321" t="s">
        <v>2052</v>
      </c>
      <c r="R1321">
        <v>13</v>
      </c>
      <c r="S1321" t="s">
        <v>22</v>
      </c>
      <c r="AA1321" s="10">
        <f t="shared" si="695"/>
        <v>4146.88</v>
      </c>
      <c r="AB1321" s="3">
        <f t="shared" si="696"/>
        <v>24107.72</v>
      </c>
      <c r="AC1321" s="3" cm="1">
        <f t="array" ref="AC1321">100000000/LvacE(AA1321)</f>
        <v>24107.71671430748</v>
      </c>
      <c r="AD1321" s="10">
        <f t="shared" si="697"/>
        <v>7.9067294826842688E-3</v>
      </c>
      <c r="AE1321" s="10" t="b">
        <f t="shared" si="698"/>
        <v>1</v>
      </c>
      <c r="AP1321"/>
      <c r="AQ1321"/>
      <c r="AU1321" s="16" cm="1">
        <f t="array" ref="AU1321">$C1321*EXP(poly_from_str(100000000/$E1321,AU$4342))</f>
        <v>0.45370966986810513</v>
      </c>
    </row>
    <row r="1322" spans="1:48" x14ac:dyDescent="0.25">
      <c r="A1322" t="s">
        <v>2053</v>
      </c>
      <c r="B1322" s="2" t="str">
        <f t="shared" si="694"/>
        <v/>
      </c>
      <c r="C1322">
        <v>8</v>
      </c>
      <c r="D1322" t="s">
        <v>143</v>
      </c>
      <c r="E1322" t="s">
        <v>2054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695"/>
        <v>4146.4459999999999</v>
      </c>
      <c r="AB1322" s="3">
        <f t="shared" si="696"/>
        <v>24110.240000000002</v>
      </c>
      <c r="AC1322" s="3" cm="1">
        <f t="array" ref="AC1322">100000000/LvacE(AA1322)</f>
        <v>24110.239969544644</v>
      </c>
      <c r="AD1322" s="10">
        <f t="shared" si="697"/>
        <v>7.9073379913237318E-3</v>
      </c>
      <c r="AE1322" s="10" t="b">
        <f t="shared" si="698"/>
        <v>1</v>
      </c>
      <c r="AJ1322" t="s">
        <v>4816</v>
      </c>
      <c r="AK1322" t="s">
        <v>4821</v>
      </c>
      <c r="AL1322">
        <v>38448.379999999997</v>
      </c>
      <c r="AM1322">
        <v>62558.67</v>
      </c>
      <c r="AN1322" s="10" cm="1">
        <f t="array" ref="AN1322">Lair(100000000/($AM1322-$AL1322))</f>
        <v>4146.4373926684621</v>
      </c>
      <c r="AO1322" s="10">
        <f>100000000/($AM1322-$AL1322)</f>
        <v>4147.6066857760734</v>
      </c>
      <c r="AP1322" s="12">
        <v>2500000</v>
      </c>
      <c r="AQ1322" s="3">
        <v>3.2000000000000001E-2</v>
      </c>
      <c r="AR1322" s="3"/>
      <c r="AS1322" s="13">
        <f>EXP(AR$4341*$AM1322+AR$4342)*$AP1322/(100000000/($AM1322-$AL1322))</f>
        <v>0.48719273777223793</v>
      </c>
      <c r="AT1322" s="3"/>
      <c r="AU1322" s="16" cm="1">
        <f t="array" ref="AU1322">$C1322*EXP(poly_from_str(100000000/$E1322,AU$4342))</f>
        <v>0.36327845173776441</v>
      </c>
    </row>
    <row r="1323" spans="1:48" x14ac:dyDescent="0.25">
      <c r="A1323" t="s">
        <v>2055</v>
      </c>
      <c r="B1323" s="2" t="str">
        <f t="shared" si="694"/>
        <v/>
      </c>
      <c r="C1323">
        <v>4</v>
      </c>
      <c r="E1323" t="s">
        <v>2056</v>
      </c>
      <c r="R1323">
        <v>13</v>
      </c>
      <c r="S1323" t="s">
        <v>22</v>
      </c>
      <c r="AA1323" s="10">
        <f t="shared" si="695"/>
        <v>4146.3630000000003</v>
      </c>
      <c r="AB1323" s="3">
        <f t="shared" si="696"/>
        <v>24110.720000000001</v>
      </c>
      <c r="AC1323" s="3" cm="1">
        <f t="array" ref="AC1323">100000000/LvacE(AA1323)</f>
        <v>24110.722587740936</v>
      </c>
      <c r="AD1323" s="10">
        <f t="shared" si="697"/>
        <v>7.9074543868615614E-3</v>
      </c>
      <c r="AE1323" s="10" t="b">
        <f t="shared" si="698"/>
        <v>1</v>
      </c>
      <c r="AP1323"/>
      <c r="AQ1323"/>
      <c r="AU1323" s="16" cm="1">
        <f t="array" ref="AU1323">$C1323*EXP(poly_from_str(100000000/$E1323,AU$4342))</f>
        <v>0.18166887348828739</v>
      </c>
    </row>
    <row r="1324" spans="1:48" x14ac:dyDescent="0.25">
      <c r="A1324" t="s">
        <v>2057</v>
      </c>
      <c r="B1324" s="2" t="str">
        <f t="shared" si="694"/>
        <v/>
      </c>
      <c r="C1324">
        <v>3</v>
      </c>
      <c r="E1324" t="s">
        <v>2058</v>
      </c>
      <c r="R1324">
        <v>13</v>
      </c>
      <c r="S1324" t="s">
        <v>22</v>
      </c>
      <c r="AA1324" s="10">
        <f t="shared" si="695"/>
        <v>4146.2889999999998</v>
      </c>
      <c r="AB1324" s="3">
        <f t="shared" si="696"/>
        <v>24111.15</v>
      </c>
      <c r="AC1324" s="3" cm="1">
        <f t="array" ref="AC1324">100000000/LvacE(AA1324)</f>
        <v>24111.152890136</v>
      </c>
      <c r="AD1324" s="10">
        <f t="shared" si="697"/>
        <v>7.9075581670906211E-3</v>
      </c>
      <c r="AE1324" s="10" t="b">
        <f t="shared" si="698"/>
        <v>1</v>
      </c>
      <c r="AP1324"/>
      <c r="AQ1324"/>
      <c r="AU1324" s="16" cm="1">
        <f t="array" ref="AU1324">$C1324*EXP(poly_from_str(100000000/$E1324,AU$4342))</f>
        <v>0.13627158595350997</v>
      </c>
    </row>
    <row r="1325" spans="1:48" x14ac:dyDescent="0.25">
      <c r="A1325" t="s">
        <v>2059</v>
      </c>
      <c r="B1325" s="2" t="str">
        <f t="shared" si="694"/>
        <v/>
      </c>
      <c r="C1325">
        <v>6</v>
      </c>
      <c r="D1325" t="s">
        <v>143</v>
      </c>
      <c r="E1325" t="s">
        <v>2060</v>
      </c>
      <c r="R1325">
        <v>13</v>
      </c>
      <c r="S1325" t="s">
        <v>22</v>
      </c>
      <c r="AA1325" s="10">
        <f t="shared" si="695"/>
        <v>4146.2169999999996</v>
      </c>
      <c r="AB1325" s="3">
        <f t="shared" si="696"/>
        <v>24111.57</v>
      </c>
      <c r="AC1325" s="3" cm="1">
        <f t="array" ref="AC1325">100000000/LvacE(AA1325)</f>
        <v>24111.571577478771</v>
      </c>
      <c r="AD1325" s="10">
        <f t="shared" si="697"/>
        <v>7.9076591477820358E-3</v>
      </c>
      <c r="AE1325" s="10" t="b">
        <f t="shared" si="698"/>
        <v>1</v>
      </c>
      <c r="AP1325"/>
      <c r="AQ1325"/>
      <c r="AU1325" s="16" cm="1">
        <f t="array" ref="AU1325">$C1325*EXP(poly_from_str(100000000/$E1325,AU$4342))</f>
        <v>0.27258212726662684</v>
      </c>
    </row>
    <row r="1326" spans="1:48" x14ac:dyDescent="0.25">
      <c r="A1326" t="s">
        <v>2061</v>
      </c>
      <c r="B1326" s="2" t="str">
        <f t="shared" si="694"/>
        <v/>
      </c>
      <c r="C1326">
        <v>120</v>
      </c>
      <c r="E1326" t="s">
        <v>2062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695"/>
        <v>4144.4769999999999</v>
      </c>
      <c r="AB1326" s="3">
        <f t="shared" si="696"/>
        <v>24121.69</v>
      </c>
      <c r="AC1326" s="3" cm="1">
        <f t="array" ref="AC1326">100000000/LvacE(AA1326)</f>
        <v>24121.694278582767</v>
      </c>
      <c r="AD1326" s="10">
        <f t="shared" si="697"/>
        <v>7.9101011151205287E-3</v>
      </c>
      <c r="AE1326" s="10" t="b">
        <f t="shared" si="698"/>
        <v>1</v>
      </c>
      <c r="AJ1326" t="s">
        <v>4806</v>
      </c>
      <c r="AK1326" t="s">
        <v>4857</v>
      </c>
      <c r="AL1326">
        <v>44679.98</v>
      </c>
      <c r="AM1326">
        <v>68801.67</v>
      </c>
      <c r="AN1326" s="10" cm="1">
        <f t="array" ref="AN1326">Lair(100000000/($AM1326-$AL1326))</f>
        <v>4144.4777321204556</v>
      </c>
      <c r="AO1326" s="10">
        <f>100000000/($AM1326-$AL1326)</f>
        <v>4145.6465115006458</v>
      </c>
      <c r="AP1326" s="12">
        <v>14600000</v>
      </c>
      <c r="AQ1326" s="3">
        <v>0.19700000000000001</v>
      </c>
      <c r="AR1326" s="3">
        <f>LN(AU1326*100000000/($AM1326-$AL1326)/AP1326)</f>
        <v>-6.4673408753174533</v>
      </c>
      <c r="AS1326" s="13">
        <f>EXP(AR$4341*$AM1326+AR$4342)*$AP1326/(100000000/($AM1326-$AL1326))</f>
        <v>1.7817412590276356</v>
      </c>
      <c r="AT1326" s="3">
        <f>LN(AS1326/$C1326)</f>
        <v>-4.209900621229715</v>
      </c>
      <c r="AU1326" s="16" cm="1">
        <f t="array" ref="AU1326">$C1326*EXP(poly_from_str(100000000/$E1326,AU$4342))</f>
        <v>5.4705391809314525</v>
      </c>
      <c r="AV1326" s="13">
        <f>LN(AS1326/AU1326)</f>
        <v>-1.1217860605779975</v>
      </c>
    </row>
    <row r="1327" spans="1:48" x14ac:dyDescent="0.25">
      <c r="A1327" t="s">
        <v>2063</v>
      </c>
      <c r="B1327" s="2" t="str">
        <f t="shared" si="694"/>
        <v/>
      </c>
      <c r="C1327">
        <v>90</v>
      </c>
      <c r="E1327" t="s">
        <v>2064</v>
      </c>
      <c r="R1327">
        <v>13</v>
      </c>
      <c r="S1327" t="s">
        <v>22</v>
      </c>
      <c r="AA1327" s="10">
        <f t="shared" si="695"/>
        <v>4142.4629999999997</v>
      </c>
      <c r="AB1327" s="3">
        <f t="shared" si="696"/>
        <v>24133.42</v>
      </c>
      <c r="AC1327" s="3" cm="1">
        <f t="array" ref="AC1327">100000000/LvacE(AA1327)</f>
        <v>24133.421631876434</v>
      </c>
      <c r="AD1327" s="10">
        <f t="shared" si="697"/>
        <v>7.912931465154479E-3</v>
      </c>
      <c r="AE1327" s="10" t="b">
        <f t="shared" si="698"/>
        <v>1</v>
      </c>
      <c r="AP1327"/>
      <c r="AQ1327"/>
      <c r="AU1327" s="16" cm="1">
        <f t="array" ref="AU1327">$C1327*EXP(poly_from_str(100000000/$E1327,AU$4342))</f>
        <v>4.1195553942845073</v>
      </c>
    </row>
    <row r="1328" spans="1:48" x14ac:dyDescent="0.25">
      <c r="A1328" t="s">
        <v>2065</v>
      </c>
      <c r="B1328" s="2" t="str">
        <f t="shared" si="694"/>
        <v/>
      </c>
      <c r="C1328">
        <v>6</v>
      </c>
      <c r="D1328" t="s">
        <v>143</v>
      </c>
      <c r="E1328" t="s">
        <v>2066</v>
      </c>
      <c r="R1328">
        <v>13</v>
      </c>
      <c r="S1328" t="s">
        <v>22</v>
      </c>
      <c r="AA1328" s="10">
        <f t="shared" si="695"/>
        <v>4137.0079999999998</v>
      </c>
      <c r="AB1328" s="3">
        <f t="shared" si="696"/>
        <v>24165.24</v>
      </c>
      <c r="AC1328" s="3" cm="1">
        <f t="array" ref="AC1328">100000000/LvacE(AA1328)</f>
        <v>24165.242985175268</v>
      </c>
      <c r="AD1328" s="10">
        <f t="shared" si="697"/>
        <v>7.9206183533093565E-3</v>
      </c>
      <c r="AE1328" s="10" t="b">
        <f t="shared" si="698"/>
        <v>1</v>
      </c>
      <c r="AP1328"/>
      <c r="AQ1328"/>
      <c r="AU1328" s="16" cm="1">
        <f t="array" ref="AU1328">$C1328*EXP(poly_from_str(100000000/$E1328,AU$4342))</f>
        <v>0.27772952217259317</v>
      </c>
    </row>
    <row r="1329" spans="1:48" x14ac:dyDescent="0.25">
      <c r="A1329" t="s">
        <v>2067</v>
      </c>
      <c r="B1329" s="2" t="str">
        <f t="shared" si="694"/>
        <v/>
      </c>
      <c r="C1329">
        <v>3</v>
      </c>
      <c r="D1329" t="s">
        <v>143</v>
      </c>
      <c r="E1329" t="s">
        <v>2068</v>
      </c>
      <c r="R1329">
        <v>13</v>
      </c>
      <c r="S1329" t="s">
        <v>22</v>
      </c>
      <c r="AA1329" s="10">
        <f t="shared" si="695"/>
        <v>4136.1639999999998</v>
      </c>
      <c r="AB1329" s="3">
        <f t="shared" si="696"/>
        <v>24170.17</v>
      </c>
      <c r="AC1329" s="3" cm="1">
        <f t="array" ref="AC1329">100000000/LvacE(AA1329)</f>
        <v>24170.17389662594</v>
      </c>
      <c r="AD1329" s="10">
        <f t="shared" si="697"/>
        <v>7.9218103896056755E-3</v>
      </c>
      <c r="AE1329" s="10" t="b">
        <f t="shared" si="698"/>
        <v>1</v>
      </c>
      <c r="AP1329"/>
      <c r="AQ1329"/>
      <c r="AU1329" s="16" cm="1">
        <f t="array" ref="AU1329">$C1329*EXP(poly_from_str(100000000/$E1329,AU$4342))</f>
        <v>0.1391096691676994</v>
      </c>
    </row>
    <row r="1330" spans="1:48" x14ac:dyDescent="0.25">
      <c r="A1330" t="s">
        <v>2069</v>
      </c>
      <c r="B1330" s="2" t="str">
        <f t="shared" si="694"/>
        <v/>
      </c>
      <c r="C1330">
        <v>2</v>
      </c>
      <c r="E1330" t="s">
        <v>2070</v>
      </c>
      <c r="R1330">
        <v>13</v>
      </c>
      <c r="S1330" t="s">
        <v>22</v>
      </c>
      <c r="AA1330" s="10">
        <f t="shared" si="695"/>
        <v>4135.8530000000001</v>
      </c>
      <c r="AB1330" s="3">
        <f t="shared" si="696"/>
        <v>24171.99</v>
      </c>
      <c r="AC1330" s="3" cm="1">
        <f t="array" ref="AC1330">100000000/LvacE(AA1330)</f>
        <v>24171.991363100311</v>
      </c>
      <c r="AD1330" s="10">
        <f t="shared" si="697"/>
        <v>7.9222498192150822E-3</v>
      </c>
      <c r="AE1330" s="10" t="b">
        <f t="shared" si="698"/>
        <v>1</v>
      </c>
      <c r="AP1330"/>
      <c r="AQ1330"/>
      <c r="AU1330" s="16" cm="1">
        <f t="array" ref="AU1330">$C1330*EXP(poly_from_str(100000000/$E1330,AU$4342))</f>
        <v>9.2800296991899997E-2</v>
      </c>
    </row>
    <row r="1331" spans="1:48" x14ac:dyDescent="0.25">
      <c r="A1331" t="s">
        <v>2071</v>
      </c>
      <c r="B1331" s="2" t="str">
        <f t="shared" si="694"/>
        <v/>
      </c>
      <c r="C1331">
        <v>7</v>
      </c>
      <c r="D1331" t="s">
        <v>143</v>
      </c>
      <c r="E1331" t="s">
        <v>2072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704">$G1331&amp;""</f>
        <v>o</v>
      </c>
      <c r="N1331" t="str">
        <f t="shared" ref="N1331:N1332" si="705">$H1331&amp;""</f>
        <v>3/2</v>
      </c>
      <c r="O1331">
        <v>35137.82</v>
      </c>
      <c r="P1331" t="str">
        <f t="shared" ref="P1331:P1332" si="706">$J1331&amp;""</f>
        <v>e</v>
      </c>
      <c r="Q1331" t="str">
        <f t="shared" ref="Q1331:Q1332" si="707">$K1331&amp;""</f>
        <v>3/2</v>
      </c>
      <c r="R1331">
        <v>13</v>
      </c>
      <c r="AA1331" s="10">
        <f t="shared" si="695"/>
        <v>4133.1869999999999</v>
      </c>
      <c r="AB1331" s="3">
        <f t="shared" si="696"/>
        <v>24187.58</v>
      </c>
      <c r="AC1331" s="3" cm="1">
        <f t="array" ref="AC1331">100000000/LvacE(AA1331)</f>
        <v>24187.582538235787</v>
      </c>
      <c r="AD1331" s="10">
        <f t="shared" si="697"/>
        <v>7.9260208331047924E-3</v>
      </c>
      <c r="AE1331" s="10" t="b">
        <f t="shared" si="698"/>
        <v>1</v>
      </c>
      <c r="AJ1331" t="s">
        <v>4815</v>
      </c>
      <c r="AK1331" t="s">
        <v>4740</v>
      </c>
      <c r="AL1331">
        <v>10950.24</v>
      </c>
      <c r="AM1331">
        <v>35137.82</v>
      </c>
      <c r="AN1331" s="10" cm="1">
        <f t="array" ref="AN1331">Lair(100000000/($AM1331-$AL1331))</f>
        <v>4133.1874306618301</v>
      </c>
      <c r="AO1331" s="10">
        <f t="shared" ref="AO1331:AO1332" si="708">100000000/($AM1331-$AL1331)</f>
        <v>4134.3532507179298</v>
      </c>
      <c r="AU1331" s="16" cm="1">
        <f t="array" ref="AU1331">$C1331*EXP(poly_from_str(100000000/$E1331,AU$4342))</f>
        <v>0.32663422261784819</v>
      </c>
    </row>
    <row r="1332" spans="1:48" x14ac:dyDescent="0.25">
      <c r="A1332" t="s">
        <v>2073</v>
      </c>
      <c r="B1332" s="2" t="str">
        <f t="shared" si="694"/>
        <v/>
      </c>
      <c r="C1332">
        <v>8</v>
      </c>
      <c r="E1332" t="s">
        <v>2074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704"/>
        <v>e</v>
      </c>
      <c r="N1332" t="str">
        <f t="shared" si="705"/>
        <v>3/2</v>
      </c>
      <c r="O1332">
        <v>64401.03</v>
      </c>
      <c r="P1332" t="str">
        <f t="shared" si="706"/>
        <v>o</v>
      </c>
      <c r="Q1332" t="str">
        <f t="shared" si="707"/>
        <v>5/2</v>
      </c>
      <c r="R1332">
        <v>13</v>
      </c>
      <c r="AA1332" s="10">
        <f t="shared" si="695"/>
        <v>4131.8770000000004</v>
      </c>
      <c r="AB1332" s="3">
        <f t="shared" si="696"/>
        <v>24195.25</v>
      </c>
      <c r="AC1332" s="3" cm="1">
        <f t="array" ref="AC1332">100000000/LvacE(AA1332)</f>
        <v>24195.250990115259</v>
      </c>
      <c r="AD1332" s="10">
        <f t="shared" si="697"/>
        <v>7.9278764820583068E-3</v>
      </c>
      <c r="AE1332" s="10" t="b">
        <f t="shared" si="698"/>
        <v>1</v>
      </c>
      <c r="AJ1332" t="s">
        <v>4779</v>
      </c>
      <c r="AK1332" t="s">
        <v>4837</v>
      </c>
      <c r="AL1332">
        <v>40205.74</v>
      </c>
      <c r="AM1332">
        <v>64401.03</v>
      </c>
      <c r="AN1332" s="10" cm="1">
        <f t="array" ref="AN1332">Lair(100000000/($AM1332-$AL1332))</f>
        <v>4131.8703349834122</v>
      </c>
      <c r="AO1332" s="10">
        <f t="shared" si="708"/>
        <v>4133.0358098621673</v>
      </c>
      <c r="AP1332" s="12">
        <v>1290000</v>
      </c>
      <c r="AQ1332" s="3">
        <v>5.5E-2</v>
      </c>
      <c r="AR1332" s="3">
        <f>LN(AU1332*100000000/($AM1332-$AL1332)/AP1332)</f>
        <v>-6.7259729633378162</v>
      </c>
      <c r="AS1332" s="13">
        <f>EXP(AR$4341*$AM1332+AR$4342)*$AP1332/(100000000/($AM1332-$AL1332))</f>
        <v>0.21970097428371399</v>
      </c>
      <c r="AT1332" s="3">
        <f>LN(AS1332/$C1332)</f>
        <v>-3.5949294066717101</v>
      </c>
      <c r="AU1332" s="16" cm="1">
        <f t="array" ref="AU1332">$C1332*EXP(poly_from_str(100000000/$E1332,AU$4342))</f>
        <v>0.37434117459921584</v>
      </c>
      <c r="AV1332" s="13">
        <f>LN(AS1332/AU1332)</f>
        <v>-0.53290019914264519</v>
      </c>
    </row>
    <row r="1333" spans="1:48" x14ac:dyDescent="0.25">
      <c r="A1333" t="s">
        <v>2075</v>
      </c>
      <c r="B1333" s="2" t="str">
        <f t="shared" si="694"/>
        <v/>
      </c>
      <c r="C1333">
        <v>1</v>
      </c>
      <c r="E1333" t="s">
        <v>2076</v>
      </c>
      <c r="R1333">
        <v>13</v>
      </c>
      <c r="S1333" t="s">
        <v>22</v>
      </c>
      <c r="AA1333" s="10">
        <f t="shared" si="695"/>
        <v>4125.9799999999996</v>
      </c>
      <c r="AB1333" s="3">
        <f t="shared" si="696"/>
        <v>24229.83</v>
      </c>
      <c r="AC1333" s="3" cm="1">
        <f t="array" ref="AC1333">100000000/LvacE(AA1333)</f>
        <v>24229.831026073745</v>
      </c>
      <c r="AD1333" s="10">
        <f t="shared" si="697"/>
        <v>7.9362516330755053E-3</v>
      </c>
      <c r="AE1333" s="10" t="b">
        <f t="shared" si="698"/>
        <v>1</v>
      </c>
      <c r="AP1333"/>
      <c r="AQ1333"/>
      <c r="AU1333" s="16" cm="1">
        <f t="array" ref="AU1333">$C1333*EXP(poly_from_str(100000000/$E1333,AU$4342))</f>
        <v>4.7396156569506784E-2</v>
      </c>
    </row>
    <row r="1334" spans="1:48" x14ac:dyDescent="0.25">
      <c r="A1334" t="s">
        <v>2077</v>
      </c>
      <c r="B1334" s="2" t="str">
        <f t="shared" si="694"/>
        <v/>
      </c>
      <c r="C1334">
        <v>30</v>
      </c>
      <c r="D1334" t="s">
        <v>143</v>
      </c>
      <c r="E1334" t="s">
        <v>2078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695"/>
        <v>4120.8530000000001</v>
      </c>
      <c r="AB1334" s="3">
        <f t="shared" si="696"/>
        <v>24259.98</v>
      </c>
      <c r="AC1334" s="3" cm="1">
        <f t="array" ref="AC1334">100000000/LvacE(AA1334)</f>
        <v>24259.976204223345</v>
      </c>
      <c r="AD1334" s="10">
        <f t="shared" si="697"/>
        <v>7.943562437706872E-3</v>
      </c>
      <c r="AE1334" s="10" t="b">
        <f t="shared" si="698"/>
        <v>1</v>
      </c>
      <c r="AJ1334" t="s">
        <v>4985</v>
      </c>
      <c r="AK1334" t="s">
        <v>4711</v>
      </c>
      <c r="AL1334">
        <v>16763.98</v>
      </c>
      <c r="AM1334">
        <v>41023.980000000003</v>
      </c>
      <c r="AN1334" s="10" cm="1">
        <f t="array" ref="AN1334">Lair(100000000/($AM1334-$AL1334))</f>
        <v>4120.8489547709205</v>
      </c>
      <c r="AO1334" s="10">
        <f>100000000/($AM1334-$AL1334)</f>
        <v>4122.011541632316</v>
      </c>
      <c r="AP1334" s="12">
        <v>4480000</v>
      </c>
      <c r="AQ1334" s="3">
        <v>0.216</v>
      </c>
      <c r="AR1334" s="3">
        <f>LN(AU1334*100000000/($AM1334-$AL1334)/AP1334)</f>
        <v>-6.6276009101903037</v>
      </c>
      <c r="AS1334" s="13">
        <f>EXP(AR$4341*$AM1334+AR$4342)*$AP1334/(100000000/($AM1334-$AL1334))</f>
        <v>4.4217508545691837</v>
      </c>
      <c r="AT1334" s="3">
        <f>LN(AS1334/$C1334)</f>
        <v>-1.9146616430644827</v>
      </c>
      <c r="AU1334" s="16" cm="1">
        <f t="array" ref="AU1334">$C1334*EXP(poly_from_str(100000000/$E1334,AU$4342))</f>
        <v>1.4382629960645372</v>
      </c>
      <c r="AV1334" s="13">
        <f>LN(AS1334/AU1334)</f>
        <v>1.1230996058511322</v>
      </c>
    </row>
    <row r="1335" spans="1:48" x14ac:dyDescent="0.25">
      <c r="A1335" t="s">
        <v>2079</v>
      </c>
      <c r="B1335" s="2" t="str">
        <f t="shared" si="694"/>
        <v/>
      </c>
      <c r="C1335">
        <v>2</v>
      </c>
      <c r="E1335" t="s">
        <v>2080</v>
      </c>
      <c r="R1335">
        <v>13</v>
      </c>
      <c r="S1335" t="s">
        <v>22</v>
      </c>
      <c r="AA1335" s="10">
        <f t="shared" si="695"/>
        <v>4119.5829999999996</v>
      </c>
      <c r="AB1335" s="3">
        <f t="shared" si="696"/>
        <v>24267.45</v>
      </c>
      <c r="AC1335" s="3" cm="1">
        <f t="array" ref="AC1335">100000000/LvacE(AA1335)</f>
        <v>24267.455007291981</v>
      </c>
      <c r="AD1335" s="10">
        <f t="shared" si="697"/>
        <v>7.9453776034239358E-3</v>
      </c>
      <c r="AE1335" s="10" t="b">
        <f t="shared" si="698"/>
        <v>1</v>
      </c>
      <c r="AP1335"/>
      <c r="AQ1335"/>
      <c r="AU1335" s="16" cm="1">
        <f t="array" ref="AU1335">$C1335*EXP(poly_from_str(100000000/$E1335,AU$4342))</f>
        <v>9.6160473146874703E-2</v>
      </c>
    </row>
    <row r="1336" spans="1:48" x14ac:dyDescent="0.25">
      <c r="A1336" t="s">
        <v>2081</v>
      </c>
      <c r="B1336" s="2" t="str">
        <f t="shared" si="694"/>
        <v/>
      </c>
      <c r="C1336">
        <v>6</v>
      </c>
      <c r="E1336" t="s">
        <v>2082</v>
      </c>
      <c r="R1336">
        <v>13</v>
      </c>
      <c r="S1336" t="s">
        <v>22</v>
      </c>
      <c r="AA1336" s="10">
        <f t="shared" si="695"/>
        <v>4113.82</v>
      </c>
      <c r="AB1336" s="3">
        <f t="shared" si="696"/>
        <v>24301.45</v>
      </c>
      <c r="AC1336" s="3" cm="1">
        <f t="array" ref="AC1336">100000000/LvacE(AA1336)</f>
        <v>24301.450301911307</v>
      </c>
      <c r="AD1336" s="10">
        <f t="shared" si="697"/>
        <v>7.9536355871077623E-3</v>
      </c>
      <c r="AE1336" s="10" t="b">
        <f t="shared" si="698"/>
        <v>1</v>
      </c>
      <c r="AP1336"/>
      <c r="AQ1336"/>
      <c r="AU1336" s="16" cm="1">
        <f t="array" ref="AU1336">$C1336*EXP(poly_from_str(100000000/$E1336,AU$4342))</f>
        <v>0.29234123788027827</v>
      </c>
    </row>
    <row r="1337" spans="1:48" x14ac:dyDescent="0.25">
      <c r="A1337" t="s">
        <v>2083</v>
      </c>
      <c r="B1337" s="2" t="str">
        <f t="shared" si="694"/>
        <v/>
      </c>
      <c r="C1337">
        <v>20</v>
      </c>
      <c r="E1337" t="s">
        <v>2084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695"/>
        <v>4112.8620000000001</v>
      </c>
      <c r="AB1337" s="3">
        <f t="shared" si="696"/>
        <v>24307.11</v>
      </c>
      <c r="AC1337" s="3" cm="1">
        <f t="array" ref="AC1337">100000000/LvacE(AA1337)</f>
        <v>24307.110671581762</v>
      </c>
      <c r="AD1337" s="10">
        <f t="shared" si="697"/>
        <v>7.955011701289972E-3</v>
      </c>
      <c r="AE1337" s="10" t="b">
        <f t="shared" si="698"/>
        <v>1</v>
      </c>
      <c r="AJ1337" t="s">
        <v>4806</v>
      </c>
      <c r="AK1337" t="s">
        <v>4920</v>
      </c>
      <c r="AL1337">
        <v>44679.98</v>
      </c>
      <c r="AM1337">
        <v>68987.070000000007</v>
      </c>
      <c r="AN1337" s="10" cm="1">
        <f t="array" ref="AN1337">Lair(100000000/($AM1337-$AL1337))</f>
        <v>4112.865494597685</v>
      </c>
      <c r="AO1337" s="10">
        <f>100000000/($AM1337-$AL1337)</f>
        <v>4114.0259899477878</v>
      </c>
      <c r="AP1337" s="12">
        <v>3170000</v>
      </c>
      <c r="AQ1337" s="3">
        <v>5.7000000000000002E-2</v>
      </c>
      <c r="AR1337" s="3">
        <f>LN(AU1337*100000000/($AM1337-$AL1337)/AP1337)</f>
        <v>-6.6707021351331672</v>
      </c>
      <c r="AS1337" s="13">
        <f>EXP(AR$4341*$AM1337+AR$4342)*$AP1337/(100000000/($AM1337-$AL1337))</f>
        <v>0.38444449877001857</v>
      </c>
      <c r="AT1337" s="3">
        <f>LN(AS1337/$C1337)</f>
        <v>-3.9516881205112906</v>
      </c>
      <c r="AU1337" s="16" cm="1">
        <f t="array" ref="AU1337">$C1337*EXP(poly_from_str(100000000/$E1337,AU$4342))</f>
        <v>0.97665933068383759</v>
      </c>
      <c r="AV1337" s="13">
        <f>LN(AS1337/AU1337)</f>
        <v>-0.9323384700447388</v>
      </c>
    </row>
    <row r="1338" spans="1:48" x14ac:dyDescent="0.25">
      <c r="A1338" t="s">
        <v>2085</v>
      </c>
      <c r="B1338" s="2" t="str">
        <f t="shared" si="694"/>
        <v/>
      </c>
      <c r="C1338">
        <v>2</v>
      </c>
      <c r="E1338" t="s">
        <v>2086</v>
      </c>
      <c r="R1338">
        <v>13</v>
      </c>
      <c r="S1338" t="s">
        <v>22</v>
      </c>
      <c r="AA1338" s="10">
        <f t="shared" si="695"/>
        <v>4109.0330000000004</v>
      </c>
      <c r="AB1338" s="3">
        <f t="shared" si="696"/>
        <v>24329.759999999998</v>
      </c>
      <c r="AC1338" s="3" cm="1">
        <f t="array" ref="AC1338">100000000/LvacE(AA1338)</f>
        <v>24329.760780361175</v>
      </c>
      <c r="AD1338" s="10">
        <f t="shared" si="697"/>
        <v>7.9605214633663417E-3</v>
      </c>
      <c r="AE1338" s="10" t="b">
        <f t="shared" si="698"/>
        <v>1</v>
      </c>
      <c r="AP1338"/>
      <c r="AQ1338"/>
      <c r="AU1338" s="16" cm="1">
        <f t="array" ref="AU1338">$C1338*EXP(poly_from_str(100000000/$E1338,AU$4342))</f>
        <v>9.8555207376205642E-2</v>
      </c>
    </row>
    <row r="1339" spans="1:48" x14ac:dyDescent="0.25">
      <c r="A1339" t="s">
        <v>2087</v>
      </c>
      <c r="B1339" s="2" t="str">
        <f t="shared" si="694"/>
        <v/>
      </c>
      <c r="C1339">
        <v>4</v>
      </c>
      <c r="E1339" t="s">
        <v>2088</v>
      </c>
      <c r="R1339">
        <v>13</v>
      </c>
      <c r="S1339" t="s">
        <v>22</v>
      </c>
      <c r="AA1339" s="10">
        <f t="shared" si="695"/>
        <v>4107.7730000000001</v>
      </c>
      <c r="AB1339" s="3">
        <f t="shared" si="696"/>
        <v>24337.22</v>
      </c>
      <c r="AC1339" s="3" cm="1">
        <f t="array" ref="AC1339">100000000/LvacE(AA1339)</f>
        <v>24337.223431760445</v>
      </c>
      <c r="AD1339" s="10">
        <f t="shared" si="697"/>
        <v>7.9623379178645516E-3</v>
      </c>
      <c r="AE1339" s="10" t="b">
        <f t="shared" si="698"/>
        <v>1</v>
      </c>
      <c r="AP1339"/>
      <c r="AQ1339"/>
      <c r="AU1339" s="16" cm="1">
        <f t="array" ref="AU1339">$C1339*EXP(poly_from_str(100000000/$E1339,AU$4342))</f>
        <v>0.19770568873935659</v>
      </c>
    </row>
    <row r="1340" spans="1:48" x14ac:dyDescent="0.25">
      <c r="A1340" t="s">
        <v>2089</v>
      </c>
      <c r="B1340" s="2" t="str">
        <f t="shared" si="694"/>
        <v/>
      </c>
      <c r="C1340">
        <v>5</v>
      </c>
      <c r="D1340" t="s">
        <v>143</v>
      </c>
      <c r="E1340" t="s">
        <v>2090</v>
      </c>
      <c r="R1340">
        <v>13</v>
      </c>
      <c r="S1340" t="s">
        <v>22</v>
      </c>
      <c r="AA1340" s="10">
        <f t="shared" si="695"/>
        <v>4105.5129999999999</v>
      </c>
      <c r="AB1340" s="3">
        <f t="shared" si="696"/>
        <v>24350.62</v>
      </c>
      <c r="AC1340" s="3" cm="1">
        <f t="array" ref="AC1340">100000000/LvacE(AA1340)</f>
        <v>24350.620298405138</v>
      </c>
      <c r="AD1340" s="10">
        <f t="shared" si="697"/>
        <v>7.9656001939836917E-3</v>
      </c>
      <c r="AE1340" s="10" t="b">
        <f t="shared" si="698"/>
        <v>1</v>
      </c>
      <c r="AP1340"/>
      <c r="AQ1340"/>
      <c r="AU1340" s="16" cm="1">
        <f t="array" ref="AU1340">$C1340*EXP(poly_from_str(100000000/$E1340,AU$4342))</f>
        <v>0.24848355024163962</v>
      </c>
    </row>
    <row r="1341" spans="1:48" x14ac:dyDescent="0.25">
      <c r="A1341" t="s">
        <v>2091</v>
      </c>
      <c r="B1341" s="2" t="str">
        <f t="shared" si="694"/>
        <v/>
      </c>
      <c r="C1341">
        <v>5</v>
      </c>
      <c r="D1341" t="s">
        <v>170</v>
      </c>
      <c r="E1341" t="s">
        <v>2092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709">$G1341&amp;""</f>
        <v>e</v>
      </c>
      <c r="N1341" t="str">
        <f t="shared" ref="N1341:N1342" si="710">$H1341&amp;""</f>
        <v>7/2</v>
      </c>
      <c r="O1341">
        <v>60166.2</v>
      </c>
      <c r="P1341" t="str">
        <f t="shared" ref="P1341:P1342" si="711">$J1341&amp;""</f>
        <v>o</v>
      </c>
      <c r="Q1341" t="str">
        <f t="shared" ref="Q1341:Q1342" si="712">$K1341&amp;""</f>
        <v>9/2</v>
      </c>
      <c r="R1341">
        <v>13</v>
      </c>
      <c r="AA1341" s="10">
        <f t="shared" si="695"/>
        <v>4103.1030000000001</v>
      </c>
      <c r="AB1341" s="3">
        <f t="shared" si="696"/>
        <v>24364.92</v>
      </c>
      <c r="AC1341" s="3" cm="1">
        <f t="array" ref="AC1341">100000000/LvacE(AA1341)</f>
        <v>24364.922596922101</v>
      </c>
      <c r="AD1341" s="10">
        <f t="shared" si="697"/>
        <v>7.9690849336370665E-3</v>
      </c>
      <c r="AE1341" s="10" t="b">
        <f t="shared" si="698"/>
        <v>1</v>
      </c>
      <c r="AJ1341" t="s">
        <v>4810</v>
      </c>
      <c r="AK1341" t="s">
        <v>4726</v>
      </c>
      <c r="AL1341">
        <v>35801.120000000003</v>
      </c>
      <c r="AM1341">
        <v>60166.2</v>
      </c>
      <c r="AN1341" s="10" cm="1">
        <f t="array" ref="AN1341">Lair(100000000/($AM1341-$AL1341))</f>
        <v>4103.0764893875948</v>
      </c>
      <c r="AO1341" s="10">
        <f t="shared" ref="AO1341:AO1342" si="713">100000000/($AM1341-$AL1341)</f>
        <v>4104.2344207365632</v>
      </c>
      <c r="AP1341" s="12">
        <v>1960000</v>
      </c>
      <c r="AQ1341" s="3">
        <v>8.2000000000000003E-2</v>
      </c>
      <c r="AR1341" s="3">
        <f>LN(AU1341*100000000/($AM1341-$AL1341)/AP1341)</f>
        <v>-7.5551871410930298</v>
      </c>
      <c r="AS1341" s="13">
        <f t="shared" ref="AS1341:AS1342" si="714">EXP(AR$4341*$AM1341+AR$4342)*$AP1341/(100000000/($AM1341-$AL1341))</f>
        <v>0.46191131444773192</v>
      </c>
      <c r="AT1341" s="3">
        <f t="shared" ref="AT1341" si="715">LN(AS1341/$C1341)</f>
        <v>-2.3818202788310354</v>
      </c>
      <c r="AU1341" s="16" cm="1">
        <f t="array" ref="AU1341">$C1341*EXP(poly_from_str(100000000/$E1341,AU$4342))</f>
        <v>0.24994694211900645</v>
      </c>
      <c r="AV1341" s="13">
        <f>LN(AS1341/AU1341)</f>
        <v>0.61412424877122673</v>
      </c>
    </row>
    <row r="1342" spans="1:48" x14ac:dyDescent="0.25">
      <c r="A1342" t="s">
        <v>2093</v>
      </c>
      <c r="B1342" s="2" t="str">
        <f t="shared" si="694"/>
        <v/>
      </c>
      <c r="C1342">
        <v>8</v>
      </c>
      <c r="E1342" t="s">
        <v>2094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709"/>
        <v>e</v>
      </c>
      <c r="N1342" t="str">
        <f t="shared" si="710"/>
        <v>9/2</v>
      </c>
      <c r="O1342">
        <v>64235.61</v>
      </c>
      <c r="P1342" t="str">
        <f t="shared" si="711"/>
        <v>o</v>
      </c>
      <c r="Q1342" t="str">
        <f t="shared" si="712"/>
        <v>9/2</v>
      </c>
      <c r="R1342">
        <v>13</v>
      </c>
      <c r="AA1342" s="10">
        <f t="shared" si="695"/>
        <v>4103.0200000000004</v>
      </c>
      <c r="AB1342" s="3">
        <f t="shared" si="696"/>
        <v>24365.42</v>
      </c>
      <c r="AC1342" s="3" cm="1">
        <f t="array" ref="AC1342">100000000/LvacE(AA1342)</f>
        <v>24365.41546498477</v>
      </c>
      <c r="AD1342" s="10">
        <f t="shared" si="697"/>
        <v>7.9692050568830712E-3</v>
      </c>
      <c r="AE1342" s="10" t="b">
        <f t="shared" si="698"/>
        <v>1</v>
      </c>
      <c r="AJ1342" t="s">
        <v>4731</v>
      </c>
      <c r="AK1342" t="s">
        <v>4842</v>
      </c>
      <c r="AL1342">
        <v>39870.17</v>
      </c>
      <c r="AM1342">
        <v>64235.61</v>
      </c>
      <c r="AN1342" s="10" cm="1">
        <f t="array" ref="AN1342">Lair(100000000/($AM1342-$AL1342))</f>
        <v>4103.0158650962121</v>
      </c>
      <c r="AO1342" s="10">
        <f t="shared" si="713"/>
        <v>4104.1737805678858</v>
      </c>
      <c r="AP1342" s="12">
        <v>724000</v>
      </c>
      <c r="AQ1342" s="3">
        <v>3.6999999999999998E-2</v>
      </c>
      <c r="AR1342" s="3"/>
      <c r="AS1342" s="13">
        <f t="shared" si="714"/>
        <v>0.12572327892257718</v>
      </c>
      <c r="AT1342" s="3"/>
      <c r="AU1342" s="16" cm="1">
        <f t="array" ref="AU1342">$C1342*EXP(poly_from_str(100000000/$E1342,AU$4342))</f>
        <v>0.39999761154799118</v>
      </c>
    </row>
    <row r="1343" spans="1:48" x14ac:dyDescent="0.25">
      <c r="A1343" t="s">
        <v>2095</v>
      </c>
      <c r="B1343" s="2" t="str">
        <f t="shared" si="694"/>
        <v/>
      </c>
      <c r="C1343">
        <v>1</v>
      </c>
      <c r="E1343" t="s">
        <v>2096</v>
      </c>
      <c r="R1343">
        <v>13</v>
      </c>
      <c r="S1343" t="s">
        <v>22</v>
      </c>
      <c r="AA1343" s="10">
        <f t="shared" si="695"/>
        <v>4102.5140000000001</v>
      </c>
      <c r="AB1343" s="3">
        <f t="shared" si="696"/>
        <v>24368.42</v>
      </c>
      <c r="AC1343" s="3" cm="1">
        <f t="array" ref="AC1343">100000000/LvacE(AA1343)</f>
        <v>24368.420610090303</v>
      </c>
      <c r="AD1343" s="10">
        <f t="shared" si="697"/>
        <v>7.9699375322168677E-3</v>
      </c>
      <c r="AE1343" s="10" t="b">
        <f t="shared" si="698"/>
        <v>1</v>
      </c>
      <c r="AP1343"/>
      <c r="AQ1343"/>
      <c r="AU1343" s="16" cm="1">
        <f t="array" ref="AU1343">$C1343*EXP(poly_from_str(100000000/$E1343,AU$4342))</f>
        <v>5.0061692704500921E-2</v>
      </c>
    </row>
    <row r="1344" spans="1:48" x14ac:dyDescent="0.25">
      <c r="A1344" t="s">
        <v>2097</v>
      </c>
      <c r="B1344" s="2" t="str">
        <f t="shared" si="694"/>
        <v/>
      </c>
      <c r="C1344">
        <v>5</v>
      </c>
      <c r="D1344" t="s">
        <v>143</v>
      </c>
      <c r="E1344" t="s">
        <v>2098</v>
      </c>
      <c r="R1344">
        <v>13</v>
      </c>
      <c r="S1344" t="s">
        <v>22</v>
      </c>
      <c r="AA1344" s="10">
        <f t="shared" si="695"/>
        <v>4095.8879999999999</v>
      </c>
      <c r="AB1344" s="3">
        <f t="shared" si="696"/>
        <v>24407.84</v>
      </c>
      <c r="AC1344" s="3" cm="1">
        <f t="array" ref="AC1344">100000000/LvacE(AA1344)</f>
        <v>24407.841089194171</v>
      </c>
      <c r="AD1344" s="10">
        <f t="shared" si="697"/>
        <v>7.9795542613951085E-3</v>
      </c>
      <c r="AE1344" s="10" t="b">
        <f t="shared" si="698"/>
        <v>1</v>
      </c>
      <c r="AP1344"/>
      <c r="AQ1344"/>
      <c r="AU1344" s="16" cm="1">
        <f t="array" ref="AU1344">$C1344*EXP(poly_from_str(100000000/$E1344,AU$4342))</f>
        <v>0.25447201766616706</v>
      </c>
    </row>
    <row r="1345" spans="1:48" x14ac:dyDescent="0.25">
      <c r="A1345" t="s">
        <v>2099</v>
      </c>
      <c r="B1345" s="2" t="str">
        <f t="shared" si="694"/>
        <v/>
      </c>
      <c r="C1345">
        <v>7</v>
      </c>
      <c r="E1345" t="s">
        <v>2100</v>
      </c>
      <c r="R1345">
        <v>13</v>
      </c>
      <c r="S1345" t="s">
        <v>22</v>
      </c>
      <c r="AA1345" s="10">
        <f t="shared" si="695"/>
        <v>4094.8429999999998</v>
      </c>
      <c r="AB1345" s="3">
        <f t="shared" si="696"/>
        <v>24414.07</v>
      </c>
      <c r="AC1345" s="3" cm="1">
        <f t="array" ref="AC1345">100000000/LvacE(AA1345)</f>
        <v>24414.069819786211</v>
      </c>
      <c r="AD1345" s="10">
        <f t="shared" si="697"/>
        <v>7.9810751987055683E-3</v>
      </c>
      <c r="AE1345" s="10" t="b">
        <f t="shared" si="698"/>
        <v>1</v>
      </c>
      <c r="AP1345"/>
      <c r="AQ1345"/>
      <c r="AU1345" s="16" cm="1">
        <f t="array" ref="AU1345">$C1345*EXP(poly_from_str(100000000/$E1345,AU$4342))</f>
        <v>0.35720382223940605</v>
      </c>
    </row>
    <row r="1346" spans="1:48" x14ac:dyDescent="0.25">
      <c r="A1346" t="s">
        <v>2101</v>
      </c>
      <c r="B1346" s="2" t="str">
        <f t="shared" si="694"/>
        <v/>
      </c>
      <c r="C1346">
        <v>7</v>
      </c>
      <c r="E1346" t="s">
        <v>2102</v>
      </c>
      <c r="R1346">
        <v>13</v>
      </c>
      <c r="S1346" t="s">
        <v>22</v>
      </c>
      <c r="AA1346" s="10">
        <f t="shared" si="695"/>
        <v>4094.2109999999998</v>
      </c>
      <c r="AB1346" s="3">
        <f t="shared" si="696"/>
        <v>24417.84</v>
      </c>
      <c r="AC1346" s="3" cm="1">
        <f t="array" ref="AC1346">100000000/LvacE(AA1346)</f>
        <v>24417.838403619433</v>
      </c>
      <c r="AD1346" s="10">
        <f t="shared" si="697"/>
        <v>7.9819956035020474E-3</v>
      </c>
      <c r="AE1346" s="10" t="b">
        <f t="shared" si="698"/>
        <v>1</v>
      </c>
      <c r="AP1346"/>
      <c r="AQ1346"/>
      <c r="AU1346" s="16" cm="1">
        <f t="array" ref="AU1346">$C1346*EXP(poly_from_str(100000000/$E1346,AU$4342))</f>
        <v>0.35777737492746814</v>
      </c>
    </row>
    <row r="1347" spans="1:48" x14ac:dyDescent="0.25">
      <c r="A1347" t="s">
        <v>2103</v>
      </c>
      <c r="B1347" s="2" t="str">
        <f t="shared" ref="B1347:B1410" si="716">IF(OR(A1347=A1346,A1347=A1348),IF(B1346="",1,B1346+1),"")</f>
        <v/>
      </c>
      <c r="C1347">
        <v>8</v>
      </c>
      <c r="E1347" t="s">
        <v>2104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717">ROUND($A1347,3)+0</f>
        <v>4087.4389999999999</v>
      </c>
      <c r="AB1347" s="3">
        <f t="shared" ref="AB1347:AB1410" si="718">ROUND($E1347,2)+0</f>
        <v>24458.29</v>
      </c>
      <c r="AC1347" s="3" cm="1">
        <f t="array" ref="AC1347">100000000/LvacE(AA1347)</f>
        <v>24458.292638961924</v>
      </c>
      <c r="AD1347" s="10">
        <f t="shared" ref="AD1347:AD1410" si="719">0.0005/$AA1347*AC1347+0.005</f>
        <v>7.9918847276940312E-3</v>
      </c>
      <c r="AE1347" s="10" t="b">
        <f t="shared" ref="AE1347:AE1410" si="720">ABS(AB1347-AC1347)&lt;AD1347</f>
        <v>1</v>
      </c>
      <c r="AJ1347" t="s">
        <v>4806</v>
      </c>
      <c r="AK1347" t="s">
        <v>4879</v>
      </c>
      <c r="AL1347">
        <v>44679.98</v>
      </c>
      <c r="AM1347">
        <v>69138.28</v>
      </c>
      <c r="AN1347" s="10" cm="1">
        <f t="array" ref="AN1347">Lair(100000000/($AM1347-$AL1347))</f>
        <v>4087.437766481004</v>
      </c>
      <c r="AO1347" s="10">
        <f>100000000/($AM1347-$AL1347)</f>
        <v>4088.5916028505667</v>
      </c>
      <c r="AP1347" s="12">
        <v>4390000</v>
      </c>
      <c r="AQ1347" s="3">
        <v>0.11700000000000001</v>
      </c>
      <c r="AR1347" s="3">
        <f>LN(AU1347*100000000/($AM1347-$AL1347)/AP1347)</f>
        <v>-7.8557601590147463</v>
      </c>
      <c r="AS1347" s="13">
        <f>EXP(AR$4341*$AM1347+AR$4342)*$AP1347/(100000000/($AM1347-$AL1347))</f>
        <v>0.52966821439302958</v>
      </c>
      <c r="AT1347" s="3">
        <f>LN(AS1347/$C1347)</f>
        <v>-2.7149460207214315</v>
      </c>
      <c r="AU1347" s="16" cm="1">
        <f t="array" ref="AU1347">$C1347*EXP(poly_from_str(100000000/$E1347,AU$4342))</f>
        <v>0.41608063127743378</v>
      </c>
      <c r="AV1347" s="13">
        <f>LN(AS1347/AU1347)</f>
        <v>0.24137173327481379</v>
      </c>
    </row>
    <row r="1348" spans="1:48" x14ac:dyDescent="0.25">
      <c r="A1348" t="s">
        <v>2105</v>
      </c>
      <c r="B1348" s="2" t="str">
        <f t="shared" si="716"/>
        <v/>
      </c>
      <c r="C1348">
        <v>1</v>
      </c>
      <c r="E1348" t="s">
        <v>2106</v>
      </c>
      <c r="R1348">
        <v>13</v>
      </c>
      <c r="S1348" t="s">
        <v>22</v>
      </c>
      <c r="AA1348" s="10">
        <f t="shared" si="717"/>
        <v>4084.2979999999998</v>
      </c>
      <c r="AB1348" s="3">
        <f t="shared" si="718"/>
        <v>24477.1</v>
      </c>
      <c r="AC1348" s="3" cm="1">
        <f t="array" ref="AC1348">100000000/LvacE(AA1348)</f>
        <v>24477.101727371133</v>
      </c>
      <c r="AD1348" s="10">
        <f t="shared" si="719"/>
        <v>7.9964882248272692E-3</v>
      </c>
      <c r="AE1348" s="10" t="b">
        <f t="shared" si="720"/>
        <v>1</v>
      </c>
      <c r="AP1348"/>
      <c r="AQ1348"/>
      <c r="AU1348" s="16" cm="1">
        <f t="array" ref="AU1348">$C1348*EXP(poly_from_str(100000000/$E1348,AU$4342))</f>
        <v>5.2440675993422149E-2</v>
      </c>
    </row>
    <row r="1349" spans="1:48" x14ac:dyDescent="0.25">
      <c r="A1349" t="s">
        <v>2107</v>
      </c>
      <c r="B1349" s="2" t="str">
        <f t="shared" si="716"/>
        <v/>
      </c>
      <c r="C1349">
        <v>1</v>
      </c>
      <c r="E1349" t="s">
        <v>2108</v>
      </c>
      <c r="R1349">
        <v>13</v>
      </c>
      <c r="S1349" t="s">
        <v>22</v>
      </c>
      <c r="AA1349" s="10">
        <f t="shared" si="717"/>
        <v>4083.4380000000001</v>
      </c>
      <c r="AB1349" s="3">
        <f t="shared" si="718"/>
        <v>24482.26</v>
      </c>
      <c r="AC1349" s="3" cm="1">
        <f t="array" ref="AC1349">100000000/LvacE(AA1349)</f>
        <v>24482.256666803769</v>
      </c>
      <c r="AD1349" s="10">
        <f t="shared" si="719"/>
        <v>7.9977505066568619E-3</v>
      </c>
      <c r="AE1349" s="10" t="b">
        <f t="shared" si="720"/>
        <v>1</v>
      </c>
      <c r="AP1349"/>
      <c r="AQ1349"/>
      <c r="AU1349" s="16" cm="1">
        <f t="array" ref="AU1349">$C1349*EXP(poly_from_str(100000000/$E1349,AU$4342))</f>
        <v>5.2560204601058723E-2</v>
      </c>
    </row>
    <row r="1350" spans="1:48" x14ac:dyDescent="0.25">
      <c r="A1350" t="s">
        <v>2109</v>
      </c>
      <c r="B1350" s="2" t="str">
        <f t="shared" si="716"/>
        <v/>
      </c>
      <c r="C1350">
        <v>15</v>
      </c>
      <c r="E1350" t="s">
        <v>2110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721">$G1350&amp;""</f>
        <v>o</v>
      </c>
      <c r="N1350" t="str">
        <f t="shared" ref="N1350:N1351" si="722">$H1350&amp;""</f>
        <v>13/2</v>
      </c>
      <c r="O1350">
        <v>27380.31</v>
      </c>
      <c r="P1350" t="str">
        <f t="shared" ref="P1350:P1351" si="723">$J1350&amp;""</f>
        <v>e</v>
      </c>
      <c r="Q1350" t="str">
        <f t="shared" ref="Q1350:Q1351" si="724">$K1350&amp;""</f>
        <v>11/2</v>
      </c>
      <c r="R1350">
        <v>13</v>
      </c>
      <c r="AA1350" s="10">
        <f t="shared" si="717"/>
        <v>4082.6210000000001</v>
      </c>
      <c r="AB1350" s="3">
        <f t="shared" si="718"/>
        <v>24487.16</v>
      </c>
      <c r="AC1350" s="3" cm="1">
        <f t="array" ref="AC1350">100000000/LvacE(AA1350)</f>
        <v>24487.155870795781</v>
      </c>
      <c r="AD1350" s="10">
        <f t="shared" si="719"/>
        <v>7.9989504133246483E-3</v>
      </c>
      <c r="AE1350" s="10" t="b">
        <f t="shared" si="720"/>
        <v>1</v>
      </c>
      <c r="AJ1350" t="s">
        <v>4977</v>
      </c>
      <c r="AK1350" t="s">
        <v>4712</v>
      </c>
      <c r="AL1350">
        <v>2893.14</v>
      </c>
      <c r="AM1350">
        <v>27380.31</v>
      </c>
      <c r="AN1350" s="10" cm="1">
        <f t="array" ref="AN1350">Lair(100000000/($AM1350-$AL1350))</f>
        <v>4082.618640909333</v>
      </c>
      <c r="AO1350" s="10">
        <f t="shared" ref="AO1350:AO1351" si="725">100000000/($AM1350-$AL1350)</f>
        <v>4083.7712157019369</v>
      </c>
      <c r="AP1350" s="12">
        <v>759000</v>
      </c>
      <c r="AQ1350" s="3">
        <v>0.108</v>
      </c>
      <c r="AR1350" s="3">
        <f t="shared" ref="AR1350:AR1351" si="726">LN(AU1350*100000000/($AM1350-$AL1350)/AP1350)</f>
        <v>-5.4605588040584099</v>
      </c>
      <c r="AS1350" s="13">
        <f t="shared" ref="AS1350:AS1351" si="727">EXP(AR$4341*$AM1350+AR$4342)*$AP1350/(100000000/($AM1350-$AL1350))</f>
        <v>2.1051628349398275</v>
      </c>
      <c r="AT1350" s="3">
        <f t="shared" ref="AT1350:AT1351" si="728">LN(AS1350/$C1350)</f>
        <v>-1.9636573806937556</v>
      </c>
      <c r="AU1350" s="16" cm="1">
        <f t="array" ref="AU1350">$C1350*EXP(poly_from_str(100000000/$E1350,AU$4342))</f>
        <v>0.79011410619130973</v>
      </c>
      <c r="AV1350" s="13">
        <f t="shared" ref="AV1350:AV1351" si="729">LN(AS1350/AU1350)</f>
        <v>0.9799707261428714</v>
      </c>
    </row>
    <row r="1351" spans="1:48" x14ac:dyDescent="0.25">
      <c r="A1351" t="s">
        <v>2111</v>
      </c>
      <c r="B1351" s="2" t="str">
        <f t="shared" si="716"/>
        <v/>
      </c>
      <c r="C1351">
        <v>5</v>
      </c>
      <c r="E1351" t="s">
        <v>2112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721"/>
        <v>e</v>
      </c>
      <c r="N1351" t="str">
        <f t="shared" si="722"/>
        <v>15/2</v>
      </c>
      <c r="O1351">
        <v>64215.45</v>
      </c>
      <c r="P1351" t="str">
        <f t="shared" si="723"/>
        <v>o</v>
      </c>
      <c r="Q1351" t="str">
        <f t="shared" si="724"/>
        <v>13/2</v>
      </c>
      <c r="R1351">
        <v>13</v>
      </c>
      <c r="AA1351" s="10">
        <f t="shared" si="717"/>
        <v>4082.2469999999998</v>
      </c>
      <c r="AB1351" s="3">
        <f t="shared" si="718"/>
        <v>24489.4</v>
      </c>
      <c r="AC1351" s="3" cm="1">
        <f t="array" ref="AC1351">100000000/LvacE(AA1351)</f>
        <v>24489.399245154924</v>
      </c>
      <c r="AD1351" s="10">
        <f t="shared" si="719"/>
        <v>7.9994999377983409E-3</v>
      </c>
      <c r="AE1351" s="10" t="b">
        <f t="shared" si="720"/>
        <v>1</v>
      </c>
      <c r="AJ1351" t="s">
        <v>4745</v>
      </c>
      <c r="AK1351" t="s">
        <v>4823</v>
      </c>
      <c r="AL1351">
        <v>39725.99</v>
      </c>
      <c r="AM1351">
        <v>64215.45</v>
      </c>
      <c r="AN1351" s="10" cm="1">
        <f t="array" ref="AN1351">Lair(100000000/($AM1351-$AL1351))</f>
        <v>4082.2368689673908</v>
      </c>
      <c r="AO1351" s="10">
        <f t="shared" si="725"/>
        <v>4083.3893438238329</v>
      </c>
      <c r="AP1351" s="12">
        <v>1400000</v>
      </c>
      <c r="AQ1351" s="3">
        <v>0.20799999999999999</v>
      </c>
      <c r="AR1351" s="3">
        <f t="shared" si="726"/>
        <v>-7.1704973919390715</v>
      </c>
      <c r="AS1351" s="13">
        <f t="shared" si="727"/>
        <v>0.24471871396998279</v>
      </c>
      <c r="AT1351" s="3">
        <f t="shared" si="728"/>
        <v>-3.0170837466953464</v>
      </c>
      <c r="AU1351" s="16" cm="1">
        <f t="array" ref="AU1351">$C1351*EXP(poly_from_str(100000000/$E1351,AU$4342))</f>
        <v>0.26363301399599559</v>
      </c>
      <c r="AV1351" s="13">
        <f t="shared" si="729"/>
        <v>-7.4448592842157171E-2</v>
      </c>
    </row>
    <row r="1352" spans="1:48" x14ac:dyDescent="0.25">
      <c r="A1352" t="s">
        <v>2113</v>
      </c>
      <c r="B1352" s="2" t="str">
        <f t="shared" si="716"/>
        <v/>
      </c>
      <c r="C1352">
        <v>7</v>
      </c>
      <c r="E1352" t="s">
        <v>2114</v>
      </c>
      <c r="R1352">
        <v>13</v>
      </c>
      <c r="S1352" t="s">
        <v>22</v>
      </c>
      <c r="AA1352" s="10">
        <f t="shared" si="717"/>
        <v>4081.07</v>
      </c>
      <c r="AB1352" s="3">
        <f t="shared" si="718"/>
        <v>24496.46</v>
      </c>
      <c r="AC1352" s="3" cm="1">
        <f t="array" ref="AC1352">100000000/LvacE(AA1352)</f>
        <v>24496.461959283446</v>
      </c>
      <c r="AD1352" s="10">
        <f t="shared" si="719"/>
        <v>8.0012303096104014E-3</v>
      </c>
      <c r="AE1352" s="10" t="b">
        <f t="shared" si="720"/>
        <v>1</v>
      </c>
      <c r="AP1352"/>
      <c r="AQ1352"/>
      <c r="AU1352" s="16" cm="1">
        <f t="array" ref="AU1352">$C1352*EXP(poly_from_str(100000000/$E1352,AU$4342))</f>
        <v>0.3702460058908098</v>
      </c>
    </row>
    <row r="1353" spans="1:48" x14ac:dyDescent="0.25">
      <c r="A1353" t="s">
        <v>2115</v>
      </c>
      <c r="B1353" s="2" t="str">
        <f t="shared" si="716"/>
        <v/>
      </c>
      <c r="C1353">
        <v>6</v>
      </c>
      <c r="E1353" t="s">
        <v>2116</v>
      </c>
      <c r="R1353">
        <v>13</v>
      </c>
      <c r="S1353" t="s">
        <v>22</v>
      </c>
      <c r="AA1353" s="10">
        <f t="shared" si="717"/>
        <v>4081.0279999999998</v>
      </c>
      <c r="AB1353" s="3">
        <f t="shared" si="718"/>
        <v>24496.71</v>
      </c>
      <c r="AC1353" s="3" cm="1">
        <f t="array" ref="AC1353">100000000/LvacE(AA1353)</f>
        <v>24496.714060043687</v>
      </c>
      <c r="AD1353" s="10">
        <f t="shared" si="719"/>
        <v>8.0012920837646412E-3</v>
      </c>
      <c r="AE1353" s="10" t="b">
        <f t="shared" si="720"/>
        <v>1</v>
      </c>
      <c r="AP1353"/>
      <c r="AQ1353"/>
      <c r="AU1353" s="16" cm="1">
        <f t="array" ref="AU1353">$C1353*EXP(poly_from_str(100000000/$E1353,AU$4342))</f>
        <v>0.3173890473633984</v>
      </c>
    </row>
    <row r="1354" spans="1:48" x14ac:dyDescent="0.25">
      <c r="A1354" t="s">
        <v>2117</v>
      </c>
      <c r="B1354" s="2" t="str">
        <f t="shared" si="716"/>
        <v/>
      </c>
      <c r="C1354">
        <v>4</v>
      </c>
      <c r="D1354" t="s">
        <v>134</v>
      </c>
      <c r="E1354" t="s">
        <v>2118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717"/>
        <v>4080.8029999999999</v>
      </c>
      <c r="AB1354" s="3">
        <f t="shared" si="718"/>
        <v>24498.06</v>
      </c>
      <c r="AC1354" s="3" cm="1">
        <f t="array" ref="AC1354">100000000/LvacE(AA1354)</f>
        <v>24498.064688191254</v>
      </c>
      <c r="AD1354" s="10">
        <f t="shared" si="719"/>
        <v>8.0016230492125275E-3</v>
      </c>
      <c r="AE1354" s="10" t="b">
        <f t="shared" si="720"/>
        <v>1</v>
      </c>
      <c r="AJ1354" t="s">
        <v>4895</v>
      </c>
      <c r="AK1354" t="s">
        <v>4902</v>
      </c>
      <c r="AL1354">
        <v>33659.99</v>
      </c>
      <c r="AM1354">
        <v>58158.080000000002</v>
      </c>
      <c r="AN1354" s="10" cm="1">
        <f t="array" ref="AN1354">Lair(100000000/($AM1354-$AL1354))</f>
        <v>4080.7987802023576</v>
      </c>
      <c r="AO1354" s="10">
        <f>100000000/($AM1354-$AL1354)</f>
        <v>4081.9508786195161</v>
      </c>
      <c r="AP1354" s="12">
        <v>2600000</v>
      </c>
      <c r="AQ1354" s="3">
        <v>0.24</v>
      </c>
      <c r="AR1354" s="3">
        <f>LN(AU1354*100000000/($AM1354-$AL1354)/AP1354)</f>
        <v>-8.0091824261533091</v>
      </c>
      <c r="AS1354" s="13">
        <f>EXP(AR$4341*$AM1354+AR$4342)*$AP1354/(100000000/($AM1354-$AL1354))</f>
        <v>0.71629133701078851</v>
      </c>
      <c r="AT1354" s="3">
        <f>LN(AS1354/$C1354)</f>
        <v>-1.7199626606343477</v>
      </c>
      <c r="AU1354" s="16" cm="1">
        <f t="array" ref="AU1354">$C1354*EXP(poly_from_str(100000000/$E1354,AU$4342))</f>
        <v>0.21171997865620232</v>
      </c>
      <c r="AV1354" s="13">
        <f>LN(AS1354/AU1354)</f>
        <v>1.2188224332893363</v>
      </c>
    </row>
    <row r="1355" spans="1:48" x14ac:dyDescent="0.25">
      <c r="A1355" t="s">
        <v>2119</v>
      </c>
      <c r="B1355" s="2" t="str">
        <f t="shared" si="716"/>
        <v/>
      </c>
      <c r="C1355">
        <v>0</v>
      </c>
      <c r="E1355" t="s">
        <v>2120</v>
      </c>
      <c r="R1355">
        <v>13</v>
      </c>
      <c r="S1355" t="s">
        <v>22</v>
      </c>
      <c r="AA1355" s="10">
        <f t="shared" si="717"/>
        <v>4080.7220000000002</v>
      </c>
      <c r="AB1355" s="3">
        <f t="shared" si="718"/>
        <v>24498.55</v>
      </c>
      <c r="AC1355" s="3" cm="1">
        <f t="array" ref="AC1355">100000000/LvacE(AA1355)</f>
        <v>24498.550950783672</v>
      </c>
      <c r="AD1355" s="10">
        <f t="shared" si="719"/>
        <v>8.0017422101755116E-3</v>
      </c>
      <c r="AE1355" s="10" t="b">
        <f t="shared" si="720"/>
        <v>1</v>
      </c>
      <c r="AP1355"/>
      <c r="AQ1355"/>
      <c r="AU1355" s="16" cm="1">
        <f t="array" ref="AU1355">$C1355*EXP(poly_from_str(100000000/$E1355,AU$4342))</f>
        <v>0</v>
      </c>
    </row>
    <row r="1356" spans="1:48" x14ac:dyDescent="0.25">
      <c r="A1356" t="s">
        <v>2121</v>
      </c>
      <c r="B1356" s="2" t="str">
        <f t="shared" si="716"/>
        <v/>
      </c>
      <c r="C1356">
        <v>0</v>
      </c>
      <c r="E1356" t="s">
        <v>2122</v>
      </c>
      <c r="R1356">
        <v>13</v>
      </c>
      <c r="S1356" t="s">
        <v>22</v>
      </c>
      <c r="AA1356" s="10">
        <f t="shared" si="717"/>
        <v>4080.6579999999999</v>
      </c>
      <c r="AB1356" s="3">
        <f t="shared" si="718"/>
        <v>24498.93</v>
      </c>
      <c r="AC1356" s="3" cm="1">
        <f t="array" ref="AC1356">100000000/LvacE(AA1356)</f>
        <v>24498.93517191588</v>
      </c>
      <c r="AD1356" s="10">
        <f t="shared" si="719"/>
        <v>8.0018363670657875E-3</v>
      </c>
      <c r="AE1356" s="10" t="b">
        <f t="shared" si="720"/>
        <v>1</v>
      </c>
      <c r="AP1356"/>
      <c r="AQ1356"/>
      <c r="AU1356" s="16" cm="1">
        <f t="array" ref="AU1356">$C1356*EXP(poly_from_str(100000000/$E1356,AU$4342))</f>
        <v>0</v>
      </c>
    </row>
    <row r="1357" spans="1:48" x14ac:dyDescent="0.25">
      <c r="A1357" t="s">
        <v>2123</v>
      </c>
      <c r="B1357" s="2" t="str">
        <f t="shared" si="716"/>
        <v/>
      </c>
      <c r="C1357">
        <v>2</v>
      </c>
      <c r="E1357" t="s">
        <v>2124</v>
      </c>
      <c r="R1357">
        <v>13</v>
      </c>
      <c r="S1357" t="s">
        <v>22</v>
      </c>
      <c r="AA1357" s="10">
        <f t="shared" si="717"/>
        <v>4073.88</v>
      </c>
      <c r="AB1357" s="3">
        <f t="shared" si="718"/>
        <v>24539.69</v>
      </c>
      <c r="AC1357" s="3" cm="1">
        <f t="array" ref="AC1357">100000000/LvacE(AA1357)</f>
        <v>24539.694929342815</v>
      </c>
      <c r="AD1357" s="10">
        <f t="shared" si="719"/>
        <v>8.0118333050240575E-3</v>
      </c>
      <c r="AE1357" s="10" t="b">
        <f t="shared" si="720"/>
        <v>1</v>
      </c>
      <c r="AP1357"/>
      <c r="AQ1357"/>
      <c r="AU1357" s="16" cm="1">
        <f t="array" ref="AU1357">$C1357*EXP(poly_from_str(100000000/$E1357,AU$4342))</f>
        <v>0.10786399905490573</v>
      </c>
    </row>
    <row r="1358" spans="1:48" x14ac:dyDescent="0.25">
      <c r="A1358" t="s">
        <v>2125</v>
      </c>
      <c r="B1358" s="2" t="str">
        <f t="shared" si="716"/>
        <v/>
      </c>
      <c r="C1358">
        <v>2</v>
      </c>
      <c r="E1358" t="s">
        <v>2126</v>
      </c>
      <c r="R1358">
        <v>13</v>
      </c>
      <c r="S1358" t="s">
        <v>22</v>
      </c>
      <c r="AA1358" s="10">
        <f t="shared" si="717"/>
        <v>4073.8209999999999</v>
      </c>
      <c r="AB1358" s="3">
        <f t="shared" si="718"/>
        <v>24540.05</v>
      </c>
      <c r="AC1358" s="3" cm="1">
        <f t="array" ref="AC1358">100000000/LvacE(AA1358)</f>
        <v>24540.050323488133</v>
      </c>
      <c r="AD1358" s="10">
        <f t="shared" si="719"/>
        <v>8.0119205438196894E-3</v>
      </c>
      <c r="AE1358" s="10" t="b">
        <f t="shared" si="720"/>
        <v>1</v>
      </c>
      <c r="AP1358"/>
      <c r="AQ1358"/>
      <c r="AU1358" s="16" cm="1">
        <f t="array" ref="AU1358">$C1358*EXP(poly_from_str(100000000/$E1358,AU$4342))</f>
        <v>0.10788168257818048</v>
      </c>
    </row>
    <row r="1359" spans="1:48" x14ac:dyDescent="0.25">
      <c r="A1359" t="s">
        <v>2127</v>
      </c>
      <c r="B1359" s="2" t="str">
        <f t="shared" si="716"/>
        <v/>
      </c>
      <c r="C1359">
        <v>1</v>
      </c>
      <c r="D1359" t="s">
        <v>1156</v>
      </c>
      <c r="E1359" t="s">
        <v>2128</v>
      </c>
      <c r="R1359">
        <v>13</v>
      </c>
      <c r="S1359" t="s">
        <v>22</v>
      </c>
      <c r="AA1359" s="10">
        <f t="shared" si="717"/>
        <v>4067.8009999999999</v>
      </c>
      <c r="AB1359" s="3">
        <f t="shared" si="718"/>
        <v>24576.37</v>
      </c>
      <c r="AC1359" s="3" cm="1">
        <f t="array" ref="AC1359">100000000/LvacE(AA1359)</f>
        <v>24576.366762757949</v>
      </c>
      <c r="AD1359" s="10">
        <f t="shared" si="719"/>
        <v>8.0208418212638667E-3</v>
      </c>
      <c r="AE1359" s="10" t="b">
        <f t="shared" si="720"/>
        <v>1</v>
      </c>
      <c r="AP1359"/>
      <c r="AQ1359"/>
      <c r="AU1359" s="16" cm="1">
        <f t="array" ref="AU1359">$C1359*EXP(poly_from_str(100000000/$E1359,AU$4342))</f>
        <v>5.4848681464051204E-2</v>
      </c>
    </row>
    <row r="1360" spans="1:48" x14ac:dyDescent="0.25">
      <c r="A1360" t="s">
        <v>2129</v>
      </c>
      <c r="B1360" s="2" t="str">
        <f t="shared" si="716"/>
        <v/>
      </c>
      <c r="C1360">
        <v>1</v>
      </c>
      <c r="D1360" t="s">
        <v>134</v>
      </c>
      <c r="E1360" t="s">
        <v>2130</v>
      </c>
      <c r="R1360">
        <v>13</v>
      </c>
      <c r="S1360" t="s">
        <v>22</v>
      </c>
      <c r="AA1360" s="10">
        <f t="shared" si="717"/>
        <v>4066.12</v>
      </c>
      <c r="AB1360" s="3">
        <f t="shared" si="718"/>
        <v>24586.53</v>
      </c>
      <c r="AC1360" s="3" cm="1">
        <f t="array" ref="AC1360">100000000/LvacE(AA1360)</f>
        <v>24586.526821204712</v>
      </c>
      <c r="AD1360" s="10">
        <f t="shared" si="719"/>
        <v>8.0233400417602917E-3</v>
      </c>
      <c r="AE1360" s="10" t="b">
        <f t="shared" si="720"/>
        <v>1</v>
      </c>
      <c r="AP1360"/>
      <c r="AQ1360"/>
      <c r="AU1360" s="16" cm="1">
        <f t="array" ref="AU1360">$C1360*EXP(poly_from_str(100000000/$E1360,AU$4342))</f>
        <v>5.5108287224485158E-2</v>
      </c>
    </row>
    <row r="1361" spans="1:48" x14ac:dyDescent="0.25">
      <c r="A1361" t="s">
        <v>2131</v>
      </c>
      <c r="B1361" s="2" t="str">
        <f t="shared" si="716"/>
        <v/>
      </c>
      <c r="C1361">
        <v>0</v>
      </c>
      <c r="E1361" t="s">
        <v>2132</v>
      </c>
      <c r="R1361">
        <v>13</v>
      </c>
      <c r="S1361" t="s">
        <v>22</v>
      </c>
      <c r="AA1361" s="10">
        <f t="shared" si="717"/>
        <v>4066.0770000000002</v>
      </c>
      <c r="AB1361" s="3">
        <f t="shared" si="718"/>
        <v>24586.79</v>
      </c>
      <c r="AC1361" s="3" cm="1">
        <f t="array" ref="AC1361">100000000/LvacE(AA1361)</f>
        <v>24586.786825811127</v>
      </c>
      <c r="AD1361" s="10">
        <f t="shared" si="719"/>
        <v>8.0234039869155373E-3</v>
      </c>
      <c r="AE1361" s="10" t="b">
        <f t="shared" si="720"/>
        <v>1</v>
      </c>
      <c r="AP1361"/>
      <c r="AQ1361"/>
      <c r="AU1361" s="16" cm="1">
        <f t="array" ref="AU1361">$C1361*EXP(poly_from_str(100000000/$E1361,AU$4342))</f>
        <v>0</v>
      </c>
    </row>
    <row r="1362" spans="1:48" x14ac:dyDescent="0.25">
      <c r="A1362" t="s">
        <v>2133</v>
      </c>
      <c r="B1362" s="2" t="str">
        <f t="shared" si="716"/>
        <v/>
      </c>
      <c r="C1362">
        <v>0</v>
      </c>
      <c r="E1362" t="s">
        <v>2134</v>
      </c>
      <c r="R1362">
        <v>13</v>
      </c>
      <c r="S1362" t="s">
        <v>22</v>
      </c>
      <c r="AA1362" s="10">
        <f t="shared" si="717"/>
        <v>4065.0880000000002</v>
      </c>
      <c r="AB1362" s="3">
        <f t="shared" si="718"/>
        <v>24592.77</v>
      </c>
      <c r="AC1362" s="3" cm="1">
        <f t="array" ref="AC1362">100000000/LvacE(AA1362)</f>
        <v>24592.768449871513</v>
      </c>
      <c r="AD1362" s="10">
        <f t="shared" si="719"/>
        <v>8.0248752855868709E-3</v>
      </c>
      <c r="AE1362" s="10" t="b">
        <f t="shared" si="720"/>
        <v>1</v>
      </c>
      <c r="AP1362"/>
      <c r="AQ1362"/>
      <c r="AU1362" s="16" cm="1">
        <f t="array" ref="AU1362">$C1362*EXP(poly_from_str(100000000/$E1362,AU$4342))</f>
        <v>0</v>
      </c>
    </row>
    <row r="1363" spans="1:48" x14ac:dyDescent="0.25">
      <c r="A1363" t="s">
        <v>2135</v>
      </c>
      <c r="B1363" s="2" t="str">
        <f t="shared" si="716"/>
        <v/>
      </c>
      <c r="C1363">
        <v>0</v>
      </c>
      <c r="E1363" t="s">
        <v>2136</v>
      </c>
      <c r="R1363">
        <v>13</v>
      </c>
      <c r="S1363" t="s">
        <v>22</v>
      </c>
      <c r="AA1363" s="10">
        <f t="shared" si="717"/>
        <v>4065.0340000000001</v>
      </c>
      <c r="AB1363" s="3">
        <f t="shared" si="718"/>
        <v>24593.09</v>
      </c>
      <c r="AC1363" s="3" cm="1">
        <f t="array" ref="AC1363">100000000/LvacE(AA1363)</f>
        <v>24593.095133969877</v>
      </c>
      <c r="AD1363" s="10">
        <f t="shared" si="719"/>
        <v>8.0249556503057384E-3</v>
      </c>
      <c r="AE1363" s="10" t="b">
        <f t="shared" si="720"/>
        <v>1</v>
      </c>
      <c r="AP1363"/>
      <c r="AQ1363"/>
      <c r="AU1363" s="16" cm="1">
        <f t="array" ref="AU1363">$C1363*EXP(poly_from_str(100000000/$E1363,AU$4342))</f>
        <v>0</v>
      </c>
    </row>
    <row r="1364" spans="1:48" x14ac:dyDescent="0.25">
      <c r="A1364" t="s">
        <v>2137</v>
      </c>
      <c r="B1364" s="2" t="str">
        <f t="shared" si="716"/>
        <v/>
      </c>
      <c r="C1364">
        <v>7</v>
      </c>
      <c r="D1364" t="s">
        <v>170</v>
      </c>
      <c r="E1364" t="s">
        <v>2138</v>
      </c>
      <c r="R1364">
        <v>13</v>
      </c>
      <c r="S1364" t="s">
        <v>22</v>
      </c>
      <c r="AA1364" s="10">
        <f t="shared" si="717"/>
        <v>4064.9810000000002</v>
      </c>
      <c r="AB1364" s="3">
        <f t="shared" si="718"/>
        <v>24593.42</v>
      </c>
      <c r="AC1364" s="3" cm="1">
        <f t="array" ref="AC1364">100000000/LvacE(AA1364)</f>
        <v>24593.415776802292</v>
      </c>
      <c r="AD1364" s="10">
        <f t="shared" si="719"/>
        <v>8.025034529903375E-3</v>
      </c>
      <c r="AE1364" s="10" t="b">
        <f t="shared" si="720"/>
        <v>1</v>
      </c>
      <c r="AP1364"/>
      <c r="AQ1364"/>
      <c r="AU1364" s="16" cm="1">
        <f t="array" ref="AU1364">$C1364*EXP(poly_from_str(100000000/$E1364,AU$4342))</f>
        <v>0.38700030749986408</v>
      </c>
    </row>
    <row r="1365" spans="1:48" x14ac:dyDescent="0.25">
      <c r="A1365" t="s">
        <v>2139</v>
      </c>
      <c r="B1365" s="2" t="str">
        <f t="shared" si="716"/>
        <v/>
      </c>
      <c r="C1365">
        <v>6</v>
      </c>
      <c r="E1365" t="s">
        <v>2140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717"/>
        <v>4052.4949999999999</v>
      </c>
      <c r="AB1365" s="3">
        <f t="shared" si="718"/>
        <v>24669.19</v>
      </c>
      <c r="AC1365" s="3" cm="1">
        <f t="array" ref="AC1365">100000000/LvacE(AA1365)</f>
        <v>24669.188107622063</v>
      </c>
      <c r="AD1365" s="10">
        <f t="shared" si="719"/>
        <v>8.0437037069289487E-3</v>
      </c>
      <c r="AE1365" s="10" t="b">
        <f t="shared" si="720"/>
        <v>1</v>
      </c>
      <c r="AJ1365" t="s">
        <v>4865</v>
      </c>
      <c r="AK1365" t="s">
        <v>4910</v>
      </c>
      <c r="AL1365">
        <v>79136.23</v>
      </c>
      <c r="AM1365">
        <v>103805.38</v>
      </c>
      <c r="AN1365" s="10" cm="1">
        <f t="array" ref="AN1365">Lair(100000000/($AM1365-$AL1365))</f>
        <v>4052.501256706053</v>
      </c>
      <c r="AO1365" s="10">
        <f>100000000/($AM1365-$AL1365)</f>
        <v>4053.6459505090352</v>
      </c>
      <c r="AP1365" s="15">
        <v>329000</v>
      </c>
      <c r="AQ1365" s="3">
        <v>6.9000000000000006E-2</v>
      </c>
      <c r="AR1365" s="14"/>
      <c r="AS1365" s="13">
        <f>EXP(AR$4341*$AM1365+AR$4342)*$AP1365/(100000000/($AM1365-$AL1365))</f>
        <v>2.9687897066902852E-3</v>
      </c>
      <c r="AT1365" s="14"/>
      <c r="AU1365" s="16" cm="1">
        <f t="array" ref="AU1365">$C1365*EXP(poly_from_str(100000000/$E1365,AU$4342))</f>
        <v>0.34388654734088497</v>
      </c>
    </row>
    <row r="1366" spans="1:48" x14ac:dyDescent="0.25">
      <c r="A1366" t="s">
        <v>2141</v>
      </c>
      <c r="B1366" s="2" t="str">
        <f t="shared" si="716"/>
        <v/>
      </c>
      <c r="C1366">
        <v>2</v>
      </c>
      <c r="E1366" t="s">
        <v>2142</v>
      </c>
      <c r="R1366">
        <v>13</v>
      </c>
      <c r="S1366" t="s">
        <v>22</v>
      </c>
      <c r="AA1366" s="10">
        <f t="shared" si="717"/>
        <v>4052.2559999999999</v>
      </c>
      <c r="AB1366" s="3">
        <f t="shared" si="718"/>
        <v>24670.639999999999</v>
      </c>
      <c r="AC1366" s="3" cm="1">
        <f t="array" ref="AC1366">100000000/LvacE(AA1366)</f>
        <v>24670.643053428656</v>
      </c>
      <c r="AD1366" s="10">
        <f t="shared" si="719"/>
        <v>8.0440627459652907E-3</v>
      </c>
      <c r="AE1366" s="10" t="b">
        <f t="shared" si="720"/>
        <v>1</v>
      </c>
      <c r="AP1366"/>
      <c r="AQ1366"/>
      <c r="AU1366" s="16" cm="1">
        <f t="array" ref="AU1366">$C1366*EXP(poly_from_str(100000000/$E1366,AU$4342))</f>
        <v>0.11470929070625255</v>
      </c>
    </row>
    <row r="1367" spans="1:48" x14ac:dyDescent="0.25">
      <c r="A1367" t="s">
        <v>2143</v>
      </c>
      <c r="B1367" s="2" t="str">
        <f t="shared" si="716"/>
        <v/>
      </c>
      <c r="C1367">
        <v>2</v>
      </c>
      <c r="E1367" t="s">
        <v>2144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730">$G1367&amp;""</f>
        <v>e</v>
      </c>
      <c r="N1367" t="str">
        <f t="shared" ref="N1367:N1368" si="731">$H1367&amp;""</f>
        <v>1/2</v>
      </c>
      <c r="O1367">
        <v>63221.279999999999</v>
      </c>
      <c r="P1367" t="str">
        <f t="shared" ref="P1367:P1368" si="732">$J1367&amp;""</f>
        <v>o</v>
      </c>
      <c r="Q1367" t="str">
        <f t="shared" ref="Q1367:Q1368" si="733">$K1367&amp;""</f>
        <v>3/2</v>
      </c>
      <c r="R1367">
        <v>13</v>
      </c>
      <c r="AA1367" s="10">
        <f t="shared" si="717"/>
        <v>4052.136</v>
      </c>
      <c r="AB1367" s="3">
        <f t="shared" si="718"/>
        <v>24671.37</v>
      </c>
      <c r="AC1367" s="3" cm="1">
        <f t="array" ref="AC1367">100000000/LvacE(AA1367)</f>
        <v>24671.373634869746</v>
      </c>
      <c r="AD1367" s="10">
        <f t="shared" si="719"/>
        <v>8.0442430405679548E-3</v>
      </c>
      <c r="AE1367" s="10" t="b">
        <f t="shared" si="720"/>
        <v>1</v>
      </c>
      <c r="AJ1367" t="s">
        <v>4704</v>
      </c>
      <c r="AK1367" t="s">
        <v>4707</v>
      </c>
      <c r="AL1367">
        <v>38549.9</v>
      </c>
      <c r="AM1367">
        <v>63221.279999999999</v>
      </c>
      <c r="AN1367" s="10" cm="1">
        <f t="array" ref="AN1367">Lair(100000000/($AM1367-$AL1367))</f>
        <v>4052.1349510308096</v>
      </c>
      <c r="AO1367" s="10">
        <f t="shared" ref="AO1367:AO1368" si="734">100000000/($AM1367-$AL1367)</f>
        <v>4053.2795490159046</v>
      </c>
      <c r="AP1367" s="12">
        <v>226000</v>
      </c>
      <c r="AQ1367" s="3">
        <v>2.1000000000000001E-2</v>
      </c>
      <c r="AR1367" s="3"/>
      <c r="AS1367" s="13">
        <f t="shared" ref="AS1367:AS1368" si="735">EXP(AR$4341*$AM1367+AR$4342)*$AP1367/(100000000/($AM1367-$AL1367))</f>
        <v>4.2880930307115504E-2</v>
      </c>
      <c r="AT1367" s="3"/>
      <c r="AU1367" s="16" cm="1">
        <f t="array" ref="AU1367">$C1367*EXP(poly_from_str(100000000/$E1367,AU$4342))</f>
        <v>0.11474982922929187</v>
      </c>
    </row>
    <row r="1368" spans="1:48" x14ac:dyDescent="0.25">
      <c r="A1368" t="s">
        <v>2145</v>
      </c>
      <c r="B1368" s="2" t="str">
        <f t="shared" si="716"/>
        <v/>
      </c>
      <c r="C1368">
        <v>8</v>
      </c>
      <c r="E1368" t="s">
        <v>2146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730"/>
        <v>e</v>
      </c>
      <c r="N1368" t="str">
        <f t="shared" si="731"/>
        <v>11/2</v>
      </c>
      <c r="O1368">
        <v>61357.04</v>
      </c>
      <c r="P1368" t="str">
        <f t="shared" si="732"/>
        <v>o</v>
      </c>
      <c r="Q1368" t="str">
        <f t="shared" si="733"/>
        <v>9/2</v>
      </c>
      <c r="R1368">
        <v>13</v>
      </c>
      <c r="AA1368" s="10">
        <f t="shared" si="717"/>
        <v>4049.663</v>
      </c>
      <c r="AB1368" s="3">
        <f t="shared" si="718"/>
        <v>24686.44</v>
      </c>
      <c r="AC1368" s="3" cm="1">
        <f t="array" ref="AC1368">100000000/LvacE(AA1368)</f>
        <v>24686.43934081011</v>
      </c>
      <c r="AD1368" s="10">
        <f t="shared" si="719"/>
        <v>8.0479621811506419E-3</v>
      </c>
      <c r="AE1368" s="10" t="b">
        <f t="shared" si="720"/>
        <v>1</v>
      </c>
      <c r="AJ1368" t="s">
        <v>4772</v>
      </c>
      <c r="AK1368" t="s">
        <v>4903</v>
      </c>
      <c r="AL1368">
        <v>36670.57</v>
      </c>
      <c r="AM1368">
        <v>61357.04</v>
      </c>
      <c r="AN1368" s="10" cm="1">
        <f t="array" ref="AN1368">Lair(100000000/($AM1368-$AL1368))</f>
        <v>4049.6579669209591</v>
      </c>
      <c r="AO1368" s="10">
        <f t="shared" si="734"/>
        <v>4050.8019170014991</v>
      </c>
      <c r="AP1368" s="12">
        <v>1340000</v>
      </c>
      <c r="AQ1368" s="3">
        <v>4.2000000000000003E-2</v>
      </c>
      <c r="AR1368" s="3"/>
      <c r="AS1368" s="13">
        <f t="shared" si="735"/>
        <v>0.29260797104847097</v>
      </c>
      <c r="AT1368" s="3"/>
      <c r="AU1368" s="16" cm="1">
        <f t="array" ref="AU1368">$C1368*EXP(poly_from_str(100000000/$E1368,AU$4342))</f>
        <v>0.46237102290416637</v>
      </c>
    </row>
    <row r="1369" spans="1:48" x14ac:dyDescent="0.25">
      <c r="A1369" t="s">
        <v>2147</v>
      </c>
      <c r="B1369" s="2" t="str">
        <f t="shared" si="716"/>
        <v/>
      </c>
      <c r="C1369">
        <v>7</v>
      </c>
      <c r="E1369" t="s">
        <v>2148</v>
      </c>
      <c r="R1369">
        <v>13</v>
      </c>
      <c r="S1369" t="s">
        <v>22</v>
      </c>
      <c r="AA1369" s="10">
        <f t="shared" si="717"/>
        <v>4044.2910000000002</v>
      </c>
      <c r="AB1369" s="3">
        <f t="shared" si="718"/>
        <v>24719.23</v>
      </c>
      <c r="AC1369" s="3" cm="1">
        <f t="array" ref="AC1369">100000000/LvacE(AA1369)</f>
        <v>24719.229457447298</v>
      </c>
      <c r="AD1369" s="10">
        <f t="shared" si="719"/>
        <v>8.0560646424116481E-3</v>
      </c>
      <c r="AE1369" s="10" t="b">
        <f t="shared" si="720"/>
        <v>1</v>
      </c>
      <c r="AP1369"/>
      <c r="AQ1369"/>
      <c r="AU1369" s="16" cm="1">
        <f t="array" ref="AU1369">$C1369*EXP(poly_from_str(100000000/$E1369,AU$4342))</f>
        <v>0.41113492547434749</v>
      </c>
    </row>
    <row r="1370" spans="1:48" x14ac:dyDescent="0.25">
      <c r="A1370" t="s">
        <v>2149</v>
      </c>
      <c r="B1370" s="2" t="str">
        <f t="shared" si="716"/>
        <v/>
      </c>
      <c r="C1370">
        <v>4</v>
      </c>
      <c r="D1370" t="s">
        <v>170</v>
      </c>
      <c r="E1370" t="s">
        <v>2150</v>
      </c>
      <c r="R1370">
        <v>13</v>
      </c>
      <c r="S1370" t="s">
        <v>22</v>
      </c>
      <c r="AA1370" s="10">
        <f t="shared" si="717"/>
        <v>4037.6120000000001</v>
      </c>
      <c r="AB1370" s="3">
        <f t="shared" si="718"/>
        <v>24760.12</v>
      </c>
      <c r="AC1370" s="3" cm="1">
        <f t="array" ref="AC1370">100000000/LvacE(AA1370)</f>
        <v>24760.119038282439</v>
      </c>
      <c r="AD1370" s="10">
        <f t="shared" si="719"/>
        <v>8.0661835558100241E-3</v>
      </c>
      <c r="AE1370" s="10" t="b">
        <f t="shared" si="720"/>
        <v>1</v>
      </c>
      <c r="AP1370"/>
      <c r="AQ1370"/>
      <c r="AU1370" s="16" cm="1">
        <f t="array" ref="AU1370">$C1370*EXP(poly_from_str(100000000/$E1370,AU$4342))</f>
        <v>0.23976637189722766</v>
      </c>
    </row>
    <row r="1371" spans="1:48" x14ac:dyDescent="0.25">
      <c r="A1371" t="s">
        <v>2151</v>
      </c>
      <c r="B1371" s="2" t="str">
        <f t="shared" si="716"/>
        <v/>
      </c>
      <c r="C1371">
        <v>5</v>
      </c>
      <c r="E1371" t="s">
        <v>2152</v>
      </c>
      <c r="R1371">
        <v>13</v>
      </c>
      <c r="S1371" t="s">
        <v>22</v>
      </c>
      <c r="AA1371" s="10">
        <f t="shared" si="717"/>
        <v>4034.3449999999998</v>
      </c>
      <c r="AB1371" s="3">
        <f t="shared" si="718"/>
        <v>24780.17</v>
      </c>
      <c r="AC1371" s="3" cm="1">
        <f t="array" ref="AC1371">100000000/LvacE(AA1371)</f>
        <v>24780.169282903462</v>
      </c>
      <c r="AD1371" s="10">
        <f t="shared" si="719"/>
        <v>8.0711514859169789E-3</v>
      </c>
      <c r="AE1371" s="10" t="b">
        <f t="shared" si="720"/>
        <v>1</v>
      </c>
      <c r="AP1371"/>
      <c r="AQ1371"/>
      <c r="AU1371" s="16" cm="1">
        <f t="array" ref="AU1371">$C1371*EXP(poly_from_str(100000000/$E1371,AU$4342))</f>
        <v>0.30275093577428397</v>
      </c>
    </row>
    <row r="1372" spans="1:48" x14ac:dyDescent="0.25">
      <c r="A1372" t="s">
        <v>2153</v>
      </c>
      <c r="B1372" s="2" t="str">
        <f t="shared" si="716"/>
        <v/>
      </c>
      <c r="C1372">
        <v>1</v>
      </c>
      <c r="E1372" t="s">
        <v>2154</v>
      </c>
      <c r="R1372">
        <v>13</v>
      </c>
      <c r="S1372" t="s">
        <v>22</v>
      </c>
      <c r="AA1372" s="10">
        <f t="shared" si="717"/>
        <v>4033.6770000000001</v>
      </c>
      <c r="AB1372" s="3">
        <f t="shared" si="718"/>
        <v>24784.27</v>
      </c>
      <c r="AC1372" s="3" cm="1">
        <f t="array" ref="AC1372">100000000/LvacE(AA1372)</f>
        <v>24784.272934226563</v>
      </c>
      <c r="AD1372" s="10">
        <f t="shared" si="719"/>
        <v>8.0721687599461436E-3</v>
      </c>
      <c r="AE1372" s="10" t="b">
        <f t="shared" si="720"/>
        <v>1</v>
      </c>
      <c r="AP1372"/>
      <c r="AQ1372"/>
      <c r="AU1372" s="16" cm="1">
        <f t="array" ref="AU1372">$C1372*EXP(poly_from_str(100000000/$E1372,AU$4342))</f>
        <v>6.0675971332079963E-2</v>
      </c>
    </row>
    <row r="1373" spans="1:48" x14ac:dyDescent="0.25">
      <c r="A1373" t="s">
        <v>2155</v>
      </c>
      <c r="B1373" s="2" t="str">
        <f t="shared" si="716"/>
        <v/>
      </c>
      <c r="C1373">
        <v>7</v>
      </c>
      <c r="E1373" t="s">
        <v>2156</v>
      </c>
      <c r="R1373">
        <v>13</v>
      </c>
      <c r="S1373" t="s">
        <v>22</v>
      </c>
      <c r="AA1373" s="10">
        <f t="shared" si="717"/>
        <v>4032.335</v>
      </c>
      <c r="AB1373" s="3">
        <f t="shared" si="718"/>
        <v>24792.52</v>
      </c>
      <c r="AC1373" s="3" cm="1">
        <f t="array" ref="AC1373">100000000/LvacE(AA1373)</f>
        <v>24792.521205346995</v>
      </c>
      <c r="AD1373" s="10">
        <f t="shared" si="719"/>
        <v>8.0742139734604132E-3</v>
      </c>
      <c r="AE1373" s="10" t="b">
        <f t="shared" si="720"/>
        <v>1</v>
      </c>
      <c r="AP1373"/>
      <c r="AQ1373"/>
      <c r="AU1373" s="16" cm="1">
        <f t="array" ref="AU1373">$C1373*EXP(poly_from_str(100000000/$E1373,AU$4342))</f>
        <v>0.42651318205301192</v>
      </c>
    </row>
    <row r="1374" spans="1:48" x14ac:dyDescent="0.25">
      <c r="A1374" t="s">
        <v>2157</v>
      </c>
      <c r="B1374" s="2" t="str">
        <f t="shared" si="716"/>
        <v/>
      </c>
      <c r="C1374">
        <v>4</v>
      </c>
      <c r="D1374" t="s">
        <v>1156</v>
      </c>
      <c r="E1374" t="s">
        <v>2158</v>
      </c>
      <c r="R1374">
        <v>13</v>
      </c>
      <c r="S1374" t="s">
        <v>22</v>
      </c>
      <c r="AA1374" s="10">
        <f t="shared" si="717"/>
        <v>4030.4789999999998</v>
      </c>
      <c r="AB1374" s="3">
        <f t="shared" si="718"/>
        <v>24803.94</v>
      </c>
      <c r="AC1374" s="3" cm="1">
        <f t="array" ref="AC1374">100000000/LvacE(AA1374)</f>
        <v>24803.937701327563</v>
      </c>
      <c r="AD1374" s="10">
        <f t="shared" si="719"/>
        <v>8.0770458922286362E-3</v>
      </c>
      <c r="AE1374" s="10" t="b">
        <f t="shared" si="720"/>
        <v>1</v>
      </c>
      <c r="AP1374"/>
      <c r="AQ1374"/>
      <c r="AU1374" s="16" cm="1">
        <f t="array" ref="AU1374">$C1374*EXP(poly_from_str(100000000/$E1374,AU$4342))</f>
        <v>0.24514311973144098</v>
      </c>
    </row>
    <row r="1375" spans="1:48" x14ac:dyDescent="0.25">
      <c r="A1375" t="s">
        <v>2159</v>
      </c>
      <c r="B1375" s="2" t="str">
        <f t="shared" si="716"/>
        <v/>
      </c>
      <c r="C1375">
        <v>180</v>
      </c>
      <c r="E1375" t="s">
        <v>2160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717"/>
        <v>4029.6039999999998</v>
      </c>
      <c r="AB1375" s="3">
        <f t="shared" si="718"/>
        <v>24809.32</v>
      </c>
      <c r="AC1375" s="3" cm="1">
        <f t="array" ref="AC1375">100000000/LvacE(AA1375)</f>
        <v>24809.323587066079</v>
      </c>
      <c r="AD1375" s="10">
        <f t="shared" si="719"/>
        <v>8.0783823406798891E-3</v>
      </c>
      <c r="AE1375" s="10" t="b">
        <f t="shared" si="720"/>
        <v>1</v>
      </c>
      <c r="AJ1375" t="s">
        <v>4994</v>
      </c>
      <c r="AK1375" t="s">
        <v>4699</v>
      </c>
      <c r="AL1375">
        <v>4453.76</v>
      </c>
      <c r="AM1375">
        <v>29263.08</v>
      </c>
      <c r="AN1375" s="10" cm="1">
        <f t="array" ref="AN1375">Lair(100000000/($AM1375-$AL1375))</f>
        <v>4029.6045790093658</v>
      </c>
      <c r="AO1375" s="10">
        <f>100000000/($AM1375-$AL1375)</f>
        <v>4030.7432851847611</v>
      </c>
      <c r="AP1375" s="12">
        <v>3140000</v>
      </c>
      <c r="AQ1375" s="3">
        <v>0.11799999999999999</v>
      </c>
      <c r="AR1375" s="3">
        <f>LN(AU1375*100000000/($AM1375-$AL1375)/AP1375)</f>
        <v>-4.2545300822831997</v>
      </c>
      <c r="AS1375" s="13">
        <f>EXP(AR$4341*$AM1375+AR$4342)*$AP1375/(100000000/($AM1375-$AL1375))</f>
        <v>7.6610068365459831</v>
      </c>
      <c r="AT1375" s="3">
        <f>LN(AS1375/$C1375)</f>
        <v>-3.156813434972948</v>
      </c>
      <c r="AU1375" s="16" cm="1">
        <f t="array" ref="AU1375">$C1375*EXP(poly_from_str(100000000/$E1375,AU$4342))</f>
        <v>11.061794116895774</v>
      </c>
      <c r="AV1375" s="13">
        <f>LN(AS1375/AU1375)</f>
        <v>-0.36735378373873778</v>
      </c>
    </row>
    <row r="1376" spans="1:48" x14ac:dyDescent="0.25">
      <c r="A1376" t="s">
        <v>2161</v>
      </c>
      <c r="B1376" s="2" t="str">
        <f t="shared" si="716"/>
        <v/>
      </c>
      <c r="C1376">
        <v>4</v>
      </c>
      <c r="D1376" t="s">
        <v>143</v>
      </c>
      <c r="E1376" t="s">
        <v>2162</v>
      </c>
      <c r="R1376">
        <v>13</v>
      </c>
      <c r="S1376" t="s">
        <v>22</v>
      </c>
      <c r="AA1376" s="10">
        <f t="shared" si="717"/>
        <v>4028.5830000000001</v>
      </c>
      <c r="AB1376" s="3">
        <f t="shared" si="718"/>
        <v>24815.61</v>
      </c>
      <c r="AC1376" s="3" cm="1">
        <f t="array" ref="AC1376">100000000/LvacE(AA1376)</f>
        <v>24815.611103954911</v>
      </c>
      <c r="AD1376" s="10">
        <f t="shared" si="719"/>
        <v>8.0799428861159008E-3</v>
      </c>
      <c r="AE1376" s="10" t="b">
        <f t="shared" si="720"/>
        <v>1</v>
      </c>
      <c r="AP1376"/>
      <c r="AQ1376"/>
      <c r="AU1376" s="16" cm="1">
        <f t="array" ref="AU1376">$C1376*EXP(poly_from_str(100000000/$E1376,AU$4342))</f>
        <v>0.24661030367125256</v>
      </c>
    </row>
    <row r="1377" spans="1:48" x14ac:dyDescent="0.25">
      <c r="A1377" t="s">
        <v>2163</v>
      </c>
      <c r="B1377" s="2" t="str">
        <f t="shared" si="716"/>
        <v/>
      </c>
      <c r="C1377">
        <v>6</v>
      </c>
      <c r="E1377" t="s">
        <v>2164</v>
      </c>
      <c r="R1377">
        <v>13</v>
      </c>
      <c r="S1377" t="s">
        <v>22</v>
      </c>
      <c r="AA1377" s="10">
        <f t="shared" si="717"/>
        <v>4020.27</v>
      </c>
      <c r="AB1377" s="3">
        <f t="shared" si="718"/>
        <v>24866.92</v>
      </c>
      <c r="AC1377" s="3" cm="1">
        <f t="array" ref="AC1377">100000000/LvacE(AA1377)</f>
        <v>24866.923029947873</v>
      </c>
      <c r="AD1377" s="10">
        <f t="shared" si="719"/>
        <v>8.0926931561745696E-3</v>
      </c>
      <c r="AE1377" s="10" t="b">
        <f t="shared" si="720"/>
        <v>1</v>
      </c>
      <c r="AP1377"/>
      <c r="AQ1377"/>
      <c r="AU1377" s="16" cm="1">
        <f t="array" ref="AU1377">$C1377*EXP(poly_from_str(100000000/$E1377,AU$4342))</f>
        <v>0.37986131864800821</v>
      </c>
    </row>
    <row r="1378" spans="1:48" x14ac:dyDescent="0.25">
      <c r="A1378" t="s">
        <v>2165</v>
      </c>
      <c r="B1378" s="2" t="str">
        <f t="shared" si="716"/>
        <v/>
      </c>
      <c r="C1378">
        <v>90</v>
      </c>
      <c r="E1378" t="s">
        <v>2166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736">$G1378&amp;""</f>
        <v>o</v>
      </c>
      <c r="N1378" t="str">
        <f t="shared" ref="N1378:N1379" si="737">$H1378&amp;""</f>
        <v>9/2</v>
      </c>
      <c r="O1378">
        <v>36640.379999999997</v>
      </c>
      <c r="P1378" t="str">
        <f t="shared" ref="P1378:P1379" si="738">$J1378&amp;""</f>
        <v>e</v>
      </c>
      <c r="Q1378" t="str">
        <f t="shared" ref="Q1378:Q1379" si="739">$K1378&amp;""</f>
        <v>7/2</v>
      </c>
      <c r="R1378">
        <v>13</v>
      </c>
      <c r="AA1378" s="10">
        <f t="shared" si="717"/>
        <v>4018.3629999999998</v>
      </c>
      <c r="AB1378" s="3">
        <f t="shared" si="718"/>
        <v>24878.720000000001</v>
      </c>
      <c r="AC1378" s="3" cm="1">
        <f t="array" ref="AC1378">100000000/LvacE(AA1378)</f>
        <v>24878.723908480901</v>
      </c>
      <c r="AD1378" s="10">
        <f t="shared" si="719"/>
        <v>8.095629228678557E-3</v>
      </c>
      <c r="AE1378" s="10" t="b">
        <f t="shared" si="720"/>
        <v>1</v>
      </c>
      <c r="AJ1378" t="s">
        <v>4695</v>
      </c>
      <c r="AK1378" t="s">
        <v>4805</v>
      </c>
      <c r="AL1378">
        <v>11761.69</v>
      </c>
      <c r="AM1378">
        <v>36640.379999999997</v>
      </c>
      <c r="AN1378" s="10" cm="1">
        <f t="array" ref="AN1378">Lair(100000000/($AM1378-$AL1378))</f>
        <v>4018.3684732744041</v>
      </c>
      <c r="AO1378" s="10">
        <f t="shared" ref="AO1378:AO1379" si="740">100000000/($AM1378-$AL1378)</f>
        <v>4019.5042423857535</v>
      </c>
      <c r="AP1378" s="12">
        <v>3020000</v>
      </c>
      <c r="AQ1378" s="3">
        <v>9.2999999999999999E-2</v>
      </c>
      <c r="AR1378" s="3">
        <f>LN(AU1378*100000000/($AM1378-$AL1378)/AP1378)</f>
        <v>-4.8755840267469166</v>
      </c>
      <c r="AS1378" s="13">
        <f t="shared" ref="AS1378:AS1379" si="741">EXP(AR$4341*$AM1378+AR$4342)*$AP1378/(100000000/($AM1378-$AL1378))</f>
        <v>4.2474857108220938</v>
      </c>
      <c r="AT1378" s="3">
        <f t="shared" ref="AT1378" si="742">LN(AS1378/$C1378)</f>
        <v>-3.053482459910386</v>
      </c>
      <c r="AU1378" s="16" cm="1">
        <f t="array" ref="AU1378">$C1378*EXP(poly_from_str(100000000/$E1378,AU$4342))</f>
        <v>5.7331751885909119</v>
      </c>
      <c r="AV1378" s="13">
        <f>LN(AS1378/AU1378)</f>
        <v>-0.29994230096568403</v>
      </c>
    </row>
    <row r="1379" spans="1:48" x14ac:dyDescent="0.25">
      <c r="A1379" t="s">
        <v>2167</v>
      </c>
      <c r="B1379" s="2" t="str">
        <f t="shared" si="716"/>
        <v/>
      </c>
      <c r="C1379">
        <v>2</v>
      </c>
      <c r="D1379" t="s">
        <v>14</v>
      </c>
      <c r="E1379" t="s">
        <v>2168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736"/>
        <v>e</v>
      </c>
      <c r="N1379" t="str">
        <f t="shared" si="737"/>
        <v>5/2</v>
      </c>
      <c r="O1379">
        <v>39940.720000000001</v>
      </c>
      <c r="P1379" t="str">
        <f t="shared" si="738"/>
        <v>o</v>
      </c>
      <c r="Q1379" t="str">
        <f t="shared" si="739"/>
        <v>7/2</v>
      </c>
      <c r="R1379">
        <v>13</v>
      </c>
      <c r="S1379" t="s">
        <v>159</v>
      </c>
      <c r="AA1379" s="10">
        <f t="shared" si="717"/>
        <v>4015.7440000000001</v>
      </c>
      <c r="AB1379" s="3">
        <f t="shared" si="718"/>
        <v>24894.95</v>
      </c>
      <c r="AC1379" s="3" cm="1">
        <f t="array" ref="AC1379">100000000/LvacE(AA1379)</f>
        <v>24894.949043915709</v>
      </c>
      <c r="AD1379" s="10">
        <f t="shared" si="719"/>
        <v>8.0996683359192845E-3</v>
      </c>
      <c r="AE1379" s="10" t="b">
        <f t="shared" si="720"/>
        <v>1</v>
      </c>
      <c r="AJ1379" t="s">
        <v>4976</v>
      </c>
      <c r="AK1379" t="s">
        <v>4752</v>
      </c>
      <c r="AL1379">
        <v>15045.8</v>
      </c>
      <c r="AM1379">
        <v>39940.720000000001</v>
      </c>
      <c r="AN1379" s="10" cm="1">
        <f t="array" ref="AN1379">Lair(100000000/($AM1379-$AL1379))</f>
        <v>4015.748681414661</v>
      </c>
      <c r="AO1379" s="10">
        <f t="shared" si="740"/>
        <v>4016.8837658445977</v>
      </c>
      <c r="AP1379" s="12">
        <v>184000</v>
      </c>
      <c r="AQ1379" s="3">
        <v>7.0000000000000001E-3</v>
      </c>
      <c r="AR1379" s="3"/>
      <c r="AS1379" s="13">
        <f t="shared" si="741"/>
        <v>0.2021436262869446</v>
      </c>
      <c r="AT1379" s="3"/>
      <c r="AU1379" s="16" cm="1">
        <f t="array" ref="AU1379">$C1379*EXP(poly_from_str(100000000/$E1379,AU$4342))</f>
        <v>0.12849452013590651</v>
      </c>
    </row>
    <row r="1380" spans="1:48" x14ac:dyDescent="0.25">
      <c r="A1380" t="s">
        <v>2169</v>
      </c>
      <c r="B1380" s="2" t="str">
        <f t="shared" si="716"/>
        <v/>
      </c>
      <c r="C1380">
        <v>1</v>
      </c>
      <c r="E1380" t="s">
        <v>2170</v>
      </c>
      <c r="R1380">
        <v>13</v>
      </c>
      <c r="S1380" t="s">
        <v>22</v>
      </c>
      <c r="AA1380" s="10">
        <f t="shared" si="717"/>
        <v>4013.866</v>
      </c>
      <c r="AB1380" s="3">
        <f t="shared" si="718"/>
        <v>24906.6</v>
      </c>
      <c r="AC1380" s="3" cm="1">
        <f t="array" ref="AC1380">100000000/LvacE(AA1380)</f>
        <v>24906.596597037322</v>
      </c>
      <c r="AD1380" s="10">
        <f t="shared" si="719"/>
        <v>8.1025695173976061E-3</v>
      </c>
      <c r="AE1380" s="10" t="b">
        <f t="shared" si="720"/>
        <v>1</v>
      </c>
      <c r="AP1380"/>
      <c r="AQ1380"/>
      <c r="AU1380" s="16" cm="1">
        <f t="array" ref="AU1380">$C1380*EXP(poly_from_str(100000000/$E1380,AU$4342))</f>
        <v>6.4643384246956495E-2</v>
      </c>
    </row>
    <row r="1381" spans="1:48" x14ac:dyDescent="0.25">
      <c r="A1381" t="s">
        <v>2171</v>
      </c>
      <c r="B1381" s="2" t="str">
        <f t="shared" si="716"/>
        <v/>
      </c>
      <c r="C1381">
        <v>10</v>
      </c>
      <c r="E1381" t="s">
        <v>2172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717"/>
        <v>4012.7530000000002</v>
      </c>
      <c r="AB1381" s="3">
        <f t="shared" si="718"/>
        <v>24913.5</v>
      </c>
      <c r="AC1381" s="3" cm="1">
        <f t="array" ref="AC1381">100000000/LvacE(AA1381)</f>
        <v>24913.504684954572</v>
      </c>
      <c r="AD1381" s="10">
        <f t="shared" si="719"/>
        <v>8.1042908303793643E-3</v>
      </c>
      <c r="AE1381" s="10" t="b">
        <f t="shared" si="720"/>
        <v>1</v>
      </c>
      <c r="AJ1381" t="s">
        <v>4815</v>
      </c>
      <c r="AK1381" t="s">
        <v>4811</v>
      </c>
      <c r="AL1381">
        <v>10950.24</v>
      </c>
      <c r="AM1381">
        <v>35863.74</v>
      </c>
      <c r="AN1381" s="10" cm="1">
        <f t="array" ref="AN1381">Lair(100000000/($AM1381-$AL1381))</f>
        <v>4012.7537509003164</v>
      </c>
      <c r="AO1381" s="10">
        <f>100000000/($AM1381-$AL1381)</f>
        <v>4013.8880526622111</v>
      </c>
      <c r="AU1381" s="16" cm="1">
        <f t="array" ref="AU1381">$C1381*EXP(poly_from_str(100000000/$E1381,AU$4342))</f>
        <v>0.64879861521615068</v>
      </c>
    </row>
    <row r="1382" spans="1:48" x14ac:dyDescent="0.25">
      <c r="A1382" t="s">
        <v>2173</v>
      </c>
      <c r="B1382" s="2" t="str">
        <f t="shared" si="716"/>
        <v/>
      </c>
      <c r="C1382">
        <v>3</v>
      </c>
      <c r="D1382" t="s">
        <v>170</v>
      </c>
      <c r="E1382" t="s">
        <v>2174</v>
      </c>
      <c r="R1382">
        <v>13</v>
      </c>
      <c r="S1382" t="s">
        <v>22</v>
      </c>
      <c r="AA1382" s="10">
        <f t="shared" si="717"/>
        <v>4010.895</v>
      </c>
      <c r="AB1382" s="3">
        <f t="shared" si="718"/>
        <v>24925.05</v>
      </c>
      <c r="AC1382" s="3" cm="1">
        <f t="array" ref="AC1382">100000000/LvacE(AA1382)</f>
        <v>24925.045326903895</v>
      </c>
      <c r="AD1382" s="10">
        <f t="shared" si="719"/>
        <v>8.1071675183349221E-3</v>
      </c>
      <c r="AE1382" s="10" t="b">
        <f t="shared" si="720"/>
        <v>1</v>
      </c>
      <c r="AP1382"/>
      <c r="AQ1382"/>
      <c r="AU1382" s="16" cm="1">
        <f t="array" ref="AU1382">$C1382*EXP(poly_from_str(100000000/$E1382,AU$4342))</f>
        <v>0.19583647309906516</v>
      </c>
    </row>
    <row r="1383" spans="1:48" x14ac:dyDescent="0.25">
      <c r="A1383" t="s">
        <v>2175</v>
      </c>
      <c r="B1383" s="2" t="str">
        <f t="shared" si="716"/>
        <v/>
      </c>
      <c r="C1383">
        <v>2</v>
      </c>
      <c r="D1383" t="s">
        <v>14</v>
      </c>
      <c r="E1383" t="s">
        <v>2176</v>
      </c>
      <c r="R1383">
        <v>13</v>
      </c>
      <c r="S1383" t="s">
        <v>22</v>
      </c>
      <c r="AA1383" s="10">
        <f t="shared" si="717"/>
        <v>4009.5659999999998</v>
      </c>
      <c r="AB1383" s="3">
        <f t="shared" si="718"/>
        <v>24933.31</v>
      </c>
      <c r="AC1383" s="3" cm="1">
        <f t="array" ref="AC1383">100000000/LvacE(AA1383)</f>
        <v>24933.306739033174</v>
      </c>
      <c r="AD1383" s="10">
        <f t="shared" si="719"/>
        <v>8.1092276245151185E-3</v>
      </c>
      <c r="AE1383" s="10" t="b">
        <f t="shared" si="720"/>
        <v>1</v>
      </c>
      <c r="AP1383"/>
      <c r="AQ1383"/>
      <c r="AU1383" s="16" cm="1">
        <f t="array" ref="AU1383">$C1383*EXP(poly_from_str(100000000/$E1383,AU$4342))</f>
        <v>0.13113310453592186</v>
      </c>
    </row>
    <row r="1384" spans="1:48" x14ac:dyDescent="0.25">
      <c r="A1384" t="s">
        <v>2177</v>
      </c>
      <c r="B1384" s="2" t="str">
        <f t="shared" si="716"/>
        <v/>
      </c>
      <c r="C1384">
        <v>2</v>
      </c>
      <c r="E1384" t="s">
        <v>2178</v>
      </c>
      <c r="R1384">
        <v>13</v>
      </c>
      <c r="S1384" t="s">
        <v>22</v>
      </c>
      <c r="AA1384" s="10">
        <f t="shared" si="717"/>
        <v>4001.7539999999999</v>
      </c>
      <c r="AB1384" s="3">
        <f t="shared" si="718"/>
        <v>24981.98</v>
      </c>
      <c r="AC1384" s="3" cm="1">
        <f t="array" ref="AC1384">100000000/LvacE(AA1384)</f>
        <v>24981.979099895241</v>
      </c>
      <c r="AD1384" s="10">
        <f t="shared" si="719"/>
        <v>8.1213786629432041E-3</v>
      </c>
      <c r="AE1384" s="10" t="b">
        <f t="shared" si="720"/>
        <v>1</v>
      </c>
      <c r="AP1384"/>
      <c r="AQ1384"/>
      <c r="AU1384" s="16" cm="1">
        <f t="array" ref="AU1384">$C1384*EXP(poly_from_str(100000000/$E1384,AU$4342))</f>
        <v>0.13460655760867885</v>
      </c>
    </row>
    <row r="1385" spans="1:48" x14ac:dyDescent="0.25">
      <c r="A1385" t="s">
        <v>2179</v>
      </c>
      <c r="B1385" s="2" t="str">
        <f t="shared" si="716"/>
        <v/>
      </c>
      <c r="C1385">
        <v>1</v>
      </c>
      <c r="E1385" t="s">
        <v>2180</v>
      </c>
      <c r="R1385">
        <v>13</v>
      </c>
      <c r="S1385" t="s">
        <v>22</v>
      </c>
      <c r="AA1385" s="10">
        <f t="shared" si="717"/>
        <v>4001.634</v>
      </c>
      <c r="AB1385" s="3">
        <f t="shared" si="718"/>
        <v>24982.73</v>
      </c>
      <c r="AC1385" s="3" cm="1">
        <f t="array" ref="AC1385">100000000/LvacE(AA1385)</f>
        <v>24982.728237151434</v>
      </c>
      <c r="AD1385" s="10">
        <f t="shared" si="719"/>
        <v>8.1215658699860405E-3</v>
      </c>
      <c r="AE1385" s="10" t="b">
        <f t="shared" si="720"/>
        <v>1</v>
      </c>
      <c r="AP1385"/>
      <c r="AQ1385"/>
      <c r="AU1385" s="16" cm="1">
        <f t="array" ref="AU1385">$C1385*EXP(poly_from_str(100000000/$E1385,AU$4342))</f>
        <v>6.7330601377390178E-2</v>
      </c>
    </row>
    <row r="1386" spans="1:48" x14ac:dyDescent="0.25">
      <c r="A1386" t="s">
        <v>2181</v>
      </c>
      <c r="B1386" s="2" t="str">
        <f t="shared" si="716"/>
        <v/>
      </c>
      <c r="C1386">
        <v>8</v>
      </c>
      <c r="E1386" t="s">
        <v>2182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743">$G1386&amp;""</f>
        <v>e</v>
      </c>
      <c r="N1386" t="str">
        <f t="shared" ref="N1386:N1388" si="744">$H1386&amp;""</f>
        <v>9/2</v>
      </c>
      <c r="O1386">
        <v>64857.15</v>
      </c>
      <c r="P1386" t="str">
        <f t="shared" ref="P1386:P1388" si="745">$J1386&amp;""</f>
        <v>o</v>
      </c>
      <c r="Q1386" t="str">
        <f t="shared" ref="Q1386:Q1388" si="746">$K1386&amp;""</f>
        <v>9/2</v>
      </c>
      <c r="R1386">
        <v>13</v>
      </c>
      <c r="AA1386" s="10">
        <f t="shared" si="717"/>
        <v>4000.9630000000002</v>
      </c>
      <c r="AB1386" s="3">
        <f t="shared" si="718"/>
        <v>24986.92</v>
      </c>
      <c r="AC1386" s="3" cm="1">
        <f t="array" ref="AC1386">100000000/LvacE(AA1386)</f>
        <v>24986.917991107435</v>
      </c>
      <c r="AD1386" s="10">
        <f t="shared" si="719"/>
        <v>8.1226129798135389E-3</v>
      </c>
      <c r="AE1386" s="10" t="b">
        <f t="shared" si="720"/>
        <v>1</v>
      </c>
      <c r="AJ1386" t="s">
        <v>4731</v>
      </c>
      <c r="AK1386" t="s">
        <v>4854</v>
      </c>
      <c r="AL1386">
        <v>39870.17</v>
      </c>
      <c r="AM1386">
        <v>64857.15</v>
      </c>
      <c r="AN1386" s="10" cm="1">
        <f t="array" ref="AN1386">Lair(100000000/($AM1386-$AL1386))</f>
        <v>4000.9530670366298</v>
      </c>
      <c r="AO1386" s="10">
        <f t="shared" ref="AO1386:AO1388" si="747">100000000/($AM1386-$AL1386)</f>
        <v>4002.0842854958855</v>
      </c>
      <c r="AP1386" s="12">
        <v>1000000</v>
      </c>
      <c r="AQ1386" s="3">
        <v>3.2000000000000001E-2</v>
      </c>
      <c r="AR1386" s="3"/>
      <c r="AS1386" s="13">
        <f t="shared" ref="AS1386:AS1388" si="748">EXP(AR$4341*$AM1386+AR$4342)*$AP1386/(100000000/($AM1386-$AL1386))</f>
        <v>0.16996487033063454</v>
      </c>
      <c r="AT1386" s="3"/>
      <c r="AU1386" s="16" cm="1">
        <f t="array" ref="AU1386">$C1386*EXP(poly_from_str(100000000/$E1386,AU$4342))</f>
        <v>0.53986847598894494</v>
      </c>
    </row>
    <row r="1387" spans="1:48" x14ac:dyDescent="0.25">
      <c r="A1387" t="s">
        <v>2183</v>
      </c>
      <c r="B1387" s="2" t="str">
        <f t="shared" si="716"/>
        <v/>
      </c>
      <c r="C1387">
        <v>200</v>
      </c>
      <c r="E1387" t="s">
        <v>2184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743"/>
        <v>o</v>
      </c>
      <c r="N1387" t="str">
        <f t="shared" si="744"/>
        <v>9/2</v>
      </c>
      <c r="O1387">
        <v>35024.49</v>
      </c>
      <c r="P1387" t="str">
        <f t="shared" si="745"/>
        <v>e</v>
      </c>
      <c r="Q1387" t="str">
        <f t="shared" si="746"/>
        <v>7/2</v>
      </c>
      <c r="R1387">
        <v>13</v>
      </c>
      <c r="AA1387" s="10">
        <f t="shared" si="717"/>
        <v>4000.1990000000001</v>
      </c>
      <c r="AB1387" s="3">
        <f t="shared" si="718"/>
        <v>24991.69</v>
      </c>
      <c r="AC1387" s="3" cm="1">
        <f t="array" ref="AC1387">100000000/LvacE(AA1387)</f>
        <v>24991.690152469382</v>
      </c>
      <c r="AD1387" s="10">
        <f t="shared" si="719"/>
        <v>8.1238058597171512E-3</v>
      </c>
      <c r="AE1387" s="10" t="b">
        <f t="shared" si="720"/>
        <v>1</v>
      </c>
      <c r="AJ1387" t="s">
        <v>4812</v>
      </c>
      <c r="AK1387" t="s">
        <v>4770</v>
      </c>
      <c r="AL1387">
        <v>10032.92</v>
      </c>
      <c r="AM1387">
        <v>35024.49</v>
      </c>
      <c r="AN1387" s="10" cm="1">
        <f t="array" ref="AN1387">Lair(100000000/($AM1387-$AL1387))</f>
        <v>4000.2182284785645</v>
      </c>
      <c r="AO1387" s="10">
        <f t="shared" si="747"/>
        <v>4001.3492549687753</v>
      </c>
      <c r="AP1387" s="12">
        <v>5540000</v>
      </c>
      <c r="AQ1387" s="3">
        <v>0.04</v>
      </c>
      <c r="AR1387" s="3"/>
      <c r="AS1387" s="13">
        <f t="shared" si="748"/>
        <v>8.8362196419640959</v>
      </c>
      <c r="AT1387" s="3"/>
      <c r="AU1387" s="16" cm="1">
        <f t="array" ref="AU1387">$C1387*EXP(poly_from_str(100000000/$E1387,AU$4342))</f>
        <v>13.531668924534154</v>
      </c>
    </row>
    <row r="1388" spans="1:48" x14ac:dyDescent="0.25">
      <c r="A1388" t="s">
        <v>2185</v>
      </c>
      <c r="B1388" s="2" t="str">
        <f t="shared" si="716"/>
        <v/>
      </c>
      <c r="C1388">
        <v>4</v>
      </c>
      <c r="E1388" t="s">
        <v>2186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743"/>
        <v>e</v>
      </c>
      <c r="N1388" t="str">
        <f t="shared" si="744"/>
        <v>7/2</v>
      </c>
      <c r="O1388">
        <v>69686.259999999995</v>
      </c>
      <c r="P1388" t="str">
        <f t="shared" si="745"/>
        <v>o</v>
      </c>
      <c r="Q1388" t="str">
        <f t="shared" si="746"/>
        <v>9/2</v>
      </c>
      <c r="R1388">
        <v>13</v>
      </c>
      <c r="AA1388" s="10">
        <f t="shared" si="717"/>
        <v>3997.8649999999998</v>
      </c>
      <c r="AB1388" s="3">
        <f t="shared" si="718"/>
        <v>25006.28</v>
      </c>
      <c r="AC1388" s="3" cm="1">
        <f t="array" ref="AC1388">100000000/LvacE(AA1388)</f>
        <v>25006.280277441736</v>
      </c>
      <c r="AD1388" s="10">
        <f t="shared" si="719"/>
        <v>8.1274543134200045E-3</v>
      </c>
      <c r="AE1388" s="10" t="b">
        <f t="shared" si="720"/>
        <v>1</v>
      </c>
      <c r="AJ1388" t="s">
        <v>4806</v>
      </c>
      <c r="AK1388" t="s">
        <v>4838</v>
      </c>
      <c r="AL1388">
        <v>44679.98</v>
      </c>
      <c r="AM1388">
        <v>69686.259999999995</v>
      </c>
      <c r="AN1388" s="10" cm="1">
        <f t="array" ref="AN1388">Lair(100000000/($AM1388-$AL1388))</f>
        <v>3997.8650405739731</v>
      </c>
      <c r="AO1388" s="10">
        <f t="shared" si="747"/>
        <v>3998.995452342373</v>
      </c>
      <c r="AP1388" s="12">
        <v>1460000</v>
      </c>
      <c r="AQ1388" s="3">
        <v>5.5E-2</v>
      </c>
      <c r="AR1388" s="3">
        <f>LN(AU1388*100000000/($AM1388-$AL1388)/AP1388)</f>
        <v>-7.1992044417750671</v>
      </c>
      <c r="AS1388" s="13">
        <f t="shared" si="748"/>
        <v>0.1728443108102922</v>
      </c>
      <c r="AT1388" s="3">
        <f t="shared" ref="AT1388" si="749">LN(AS1388/$C1388)</f>
        <v>-3.1416583883038873</v>
      </c>
      <c r="AU1388" s="16" cm="1">
        <f t="array" ref="AU1388">$C1388*EXP(poly_from_str(100000000/$E1388,AU$4342))</f>
        <v>0.27278920641090493</v>
      </c>
      <c r="AV1388" s="13">
        <f>LN(AS1388/AU1388)</f>
        <v>-0.45630810744598366</v>
      </c>
    </row>
    <row r="1389" spans="1:48" x14ac:dyDescent="0.25">
      <c r="A1389" t="s">
        <v>2187</v>
      </c>
      <c r="B1389" s="2" t="str">
        <f t="shared" si="716"/>
        <v/>
      </c>
      <c r="C1389">
        <v>0</v>
      </c>
      <c r="E1389" t="s">
        <v>2188</v>
      </c>
      <c r="R1389">
        <v>13</v>
      </c>
      <c r="S1389" t="s">
        <v>22</v>
      </c>
      <c r="AA1389" s="10">
        <f t="shared" si="717"/>
        <v>3992.0569999999998</v>
      </c>
      <c r="AB1389" s="3">
        <f t="shared" si="718"/>
        <v>25042.66</v>
      </c>
      <c r="AC1389" s="3" cm="1">
        <f t="array" ref="AC1389">100000000/LvacE(AA1389)</f>
        <v>25042.660855900031</v>
      </c>
      <c r="AD1389" s="10">
        <f t="shared" si="719"/>
        <v>8.1365610330588999E-3</v>
      </c>
      <c r="AE1389" s="10" t="b">
        <f t="shared" si="720"/>
        <v>1</v>
      </c>
      <c r="AP1389"/>
      <c r="AQ1389"/>
      <c r="AU1389" s="16" cm="1">
        <f t="array" ref="AU1389">$C1389*EXP(poly_from_str(100000000/$E1389,AU$4342))</f>
        <v>0</v>
      </c>
    </row>
    <row r="1390" spans="1:48" x14ac:dyDescent="0.25">
      <c r="A1390" t="s">
        <v>2189</v>
      </c>
      <c r="B1390" s="2" t="str">
        <f t="shared" si="716"/>
        <v/>
      </c>
      <c r="C1390">
        <v>4</v>
      </c>
      <c r="D1390" t="s">
        <v>170</v>
      </c>
      <c r="E1390" t="s">
        <v>2190</v>
      </c>
      <c r="R1390">
        <v>13</v>
      </c>
      <c r="S1390" t="s">
        <v>22</v>
      </c>
      <c r="AA1390" s="10">
        <f t="shared" si="717"/>
        <v>3992.011</v>
      </c>
      <c r="AB1390" s="3">
        <f t="shared" si="718"/>
        <v>25042.95</v>
      </c>
      <c r="AC1390" s="3" cm="1">
        <f t="array" ref="AC1390">100000000/LvacE(AA1390)</f>
        <v>25042.949416609623</v>
      </c>
      <c r="AD1390" s="10">
        <f t="shared" si="719"/>
        <v>8.1366333179705187E-3</v>
      </c>
      <c r="AE1390" s="10" t="b">
        <f t="shared" si="720"/>
        <v>1</v>
      </c>
      <c r="AP1390"/>
      <c r="AQ1390"/>
      <c r="AU1390" s="16" cm="1">
        <f t="array" ref="AU1390">$C1390*EXP(poly_from_str(100000000/$E1390,AU$4342))</f>
        <v>0.27832448607694416</v>
      </c>
    </row>
    <row r="1391" spans="1:48" x14ac:dyDescent="0.25">
      <c r="A1391" t="s">
        <v>2191</v>
      </c>
      <c r="B1391" s="2" t="str">
        <f t="shared" si="716"/>
        <v/>
      </c>
      <c r="C1391">
        <v>0</v>
      </c>
      <c r="E1391" t="s">
        <v>2192</v>
      </c>
      <c r="R1391">
        <v>13</v>
      </c>
      <c r="S1391" t="s">
        <v>22</v>
      </c>
      <c r="AA1391" s="10">
        <f t="shared" si="717"/>
        <v>3991.8449999999998</v>
      </c>
      <c r="AB1391" s="3">
        <f t="shared" si="718"/>
        <v>25043.99</v>
      </c>
      <c r="AC1391" s="3" cm="1">
        <f t="array" ref="AC1391">100000000/LvacE(AA1391)</f>
        <v>25043.990799688898</v>
      </c>
      <c r="AD1391" s="10">
        <f t="shared" si="719"/>
        <v>8.1368941929970857E-3</v>
      </c>
      <c r="AE1391" s="10" t="b">
        <f t="shared" si="720"/>
        <v>1</v>
      </c>
      <c r="AP1391"/>
      <c r="AQ1391"/>
      <c r="AU1391" s="16" cm="1">
        <f t="array" ref="AU1391">$C1391*EXP(poly_from_str(100000000/$E1391,AU$4342))</f>
        <v>0</v>
      </c>
    </row>
    <row r="1392" spans="1:48" x14ac:dyDescent="0.25">
      <c r="A1392" t="s">
        <v>2193</v>
      </c>
      <c r="B1392" s="2" t="str">
        <f t="shared" si="716"/>
        <v/>
      </c>
      <c r="C1392">
        <v>4</v>
      </c>
      <c r="D1392" t="s">
        <v>170</v>
      </c>
      <c r="E1392" t="s">
        <v>2194</v>
      </c>
      <c r="R1392">
        <v>13</v>
      </c>
      <c r="S1392" t="s">
        <v>22</v>
      </c>
      <c r="AA1392" s="10">
        <f t="shared" si="717"/>
        <v>3991.8130000000001</v>
      </c>
      <c r="AB1392" s="3">
        <f t="shared" si="718"/>
        <v>25044.19</v>
      </c>
      <c r="AC1392" s="3" cm="1">
        <f t="array" ref="AC1392">100000000/LvacE(AA1392)</f>
        <v>25044.191558191382</v>
      </c>
      <c r="AD1392" s="10">
        <f t="shared" si="719"/>
        <v>8.1369444859004398E-3</v>
      </c>
      <c r="AE1392" s="10" t="b">
        <f t="shared" si="720"/>
        <v>1</v>
      </c>
      <c r="AP1392"/>
      <c r="AQ1392"/>
      <c r="AU1392" s="16" cm="1">
        <f t="array" ref="AU1392">$C1392*EXP(poly_from_str(100000000/$E1392,AU$4342))</f>
        <v>0.27851461692985507</v>
      </c>
    </row>
    <row r="1393" spans="1:48" x14ac:dyDescent="0.25">
      <c r="A1393" t="s">
        <v>2195</v>
      </c>
      <c r="B1393" s="2" t="str">
        <f t="shared" si="716"/>
        <v/>
      </c>
      <c r="C1393">
        <v>3</v>
      </c>
      <c r="D1393" t="s">
        <v>134</v>
      </c>
      <c r="E1393" t="s">
        <v>2196</v>
      </c>
      <c r="R1393">
        <v>13</v>
      </c>
      <c r="S1393" t="s">
        <v>22</v>
      </c>
      <c r="AA1393" s="10">
        <f t="shared" si="717"/>
        <v>3985.6950000000002</v>
      </c>
      <c r="AB1393" s="3">
        <f t="shared" si="718"/>
        <v>25082.63</v>
      </c>
      <c r="AC1393" s="3" cm="1">
        <f t="array" ref="AC1393">100000000/LvacE(AA1393)</f>
        <v>25082.633297222925</v>
      </c>
      <c r="AD1393" s="10">
        <f t="shared" si="719"/>
        <v>8.1465821264826987E-3</v>
      </c>
      <c r="AE1393" s="10" t="b">
        <f t="shared" si="720"/>
        <v>1</v>
      </c>
      <c r="AP1393"/>
      <c r="AQ1393"/>
      <c r="AU1393" s="16" cm="1">
        <f t="array" ref="AU1393">$C1393*EXP(poly_from_str(100000000/$E1393,AU$4342))</f>
        <v>0.21337953881367466</v>
      </c>
    </row>
    <row r="1394" spans="1:48" x14ac:dyDescent="0.25">
      <c r="A1394" t="s">
        <v>2197</v>
      </c>
      <c r="B1394" s="2" t="str">
        <f t="shared" si="716"/>
        <v/>
      </c>
      <c r="C1394">
        <v>2</v>
      </c>
      <c r="E1394" t="s">
        <v>2198</v>
      </c>
      <c r="R1394">
        <v>13</v>
      </c>
      <c r="S1394" t="s">
        <v>22</v>
      </c>
      <c r="AA1394" s="10">
        <f t="shared" si="717"/>
        <v>3983.7359999999999</v>
      </c>
      <c r="AB1394" s="3">
        <f t="shared" si="718"/>
        <v>25094.97</v>
      </c>
      <c r="AC1394" s="3" cm="1">
        <f t="array" ref="AC1394">100000000/LvacE(AA1394)</f>
        <v>25094.967400949638</v>
      </c>
      <c r="AD1394" s="10">
        <f t="shared" si="719"/>
        <v>8.1496775138901831E-3</v>
      </c>
      <c r="AE1394" s="10" t="b">
        <f t="shared" si="720"/>
        <v>1</v>
      </c>
      <c r="AP1394"/>
      <c r="AQ1394"/>
      <c r="AU1394" s="16" cm="1">
        <f t="array" ref="AU1394">$C1394*EXP(poly_from_str(100000000/$E1394,AU$4342))</f>
        <v>0.1432349265281157</v>
      </c>
    </row>
    <row r="1395" spans="1:48" x14ac:dyDescent="0.25">
      <c r="A1395" t="s">
        <v>2199</v>
      </c>
      <c r="B1395" s="2" t="str">
        <f t="shared" si="716"/>
        <v/>
      </c>
      <c r="C1395">
        <v>3</v>
      </c>
      <c r="D1395" t="s">
        <v>134</v>
      </c>
      <c r="E1395" t="s">
        <v>2200</v>
      </c>
      <c r="R1395">
        <v>13</v>
      </c>
      <c r="S1395" t="s">
        <v>22</v>
      </c>
      <c r="AA1395" s="10">
        <f t="shared" si="717"/>
        <v>3983.6529999999998</v>
      </c>
      <c r="AB1395" s="3">
        <f t="shared" si="718"/>
        <v>25095.49</v>
      </c>
      <c r="AC1395" s="3" cm="1">
        <f t="array" ref="AC1395">100000000/LvacE(AA1395)</f>
        <v>25095.490246967933</v>
      </c>
      <c r="AD1395" s="10">
        <f t="shared" si="719"/>
        <v>8.1498087618283935E-3</v>
      </c>
      <c r="AE1395" s="10" t="b">
        <f t="shared" si="720"/>
        <v>1</v>
      </c>
      <c r="AP1395"/>
      <c r="AQ1395"/>
      <c r="AU1395" s="16" cm="1">
        <f t="array" ref="AU1395">$C1395*EXP(poly_from_str(100000000/$E1395,AU$4342))</f>
        <v>0.21491478183922091</v>
      </c>
    </row>
    <row r="1396" spans="1:48" x14ac:dyDescent="0.25">
      <c r="A1396" t="s">
        <v>2201</v>
      </c>
      <c r="B1396" s="2" t="str">
        <f t="shared" si="716"/>
        <v/>
      </c>
      <c r="C1396">
        <v>0</v>
      </c>
      <c r="E1396" t="s">
        <v>2202</v>
      </c>
      <c r="R1396">
        <v>13</v>
      </c>
      <c r="S1396" t="s">
        <v>22</v>
      </c>
      <c r="AA1396" s="10">
        <f t="shared" si="717"/>
        <v>3983.6149999999998</v>
      </c>
      <c r="AB1396" s="3">
        <f t="shared" si="718"/>
        <v>25095.73</v>
      </c>
      <c r="AC1396" s="3" cm="1">
        <f t="array" ref="AC1396">100000000/LvacE(AA1396)</f>
        <v>25095.729629524041</v>
      </c>
      <c r="AD1396" s="10">
        <f t="shared" si="719"/>
        <v>8.1498688539836366E-3</v>
      </c>
      <c r="AE1396" s="10" t="b">
        <f t="shared" si="720"/>
        <v>1</v>
      </c>
      <c r="AP1396"/>
      <c r="AQ1396"/>
      <c r="AU1396" s="16" cm="1">
        <f t="array" ref="AU1396">$C1396*EXP(poly_from_str(100000000/$E1396,AU$4342))</f>
        <v>0</v>
      </c>
    </row>
    <row r="1397" spans="1:48" x14ac:dyDescent="0.25">
      <c r="A1397" t="s">
        <v>2203</v>
      </c>
      <c r="B1397" s="2" t="str">
        <f t="shared" si="716"/>
        <v/>
      </c>
      <c r="C1397">
        <v>6</v>
      </c>
      <c r="E1397" t="s">
        <v>2204</v>
      </c>
      <c r="R1397">
        <v>13</v>
      </c>
      <c r="S1397" t="s">
        <v>22</v>
      </c>
      <c r="AA1397" s="10">
        <f t="shared" si="717"/>
        <v>3982.3290000000002</v>
      </c>
      <c r="AB1397" s="3">
        <f t="shared" si="718"/>
        <v>25103.83</v>
      </c>
      <c r="AC1397" s="3" cm="1">
        <f t="array" ref="AC1397">100000000/LvacE(AA1397)</f>
        <v>25103.833532490265</v>
      </c>
      <c r="AD1397" s="10">
        <f t="shared" si="719"/>
        <v>8.1519035133071956E-3</v>
      </c>
      <c r="AE1397" s="10" t="b">
        <f t="shared" si="720"/>
        <v>1</v>
      </c>
      <c r="AP1397"/>
      <c r="AQ1397"/>
      <c r="AU1397" s="16" cm="1">
        <f t="array" ref="AU1397">$C1397*EXP(poly_from_str(100000000/$E1397,AU$4342))</f>
        <v>0.43183816682967102</v>
      </c>
    </row>
    <row r="1398" spans="1:48" x14ac:dyDescent="0.25">
      <c r="A1398">
        <v>3980.5140000000001</v>
      </c>
      <c r="B1398" s="2" t="str">
        <f t="shared" si="716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717"/>
        <v>3980.5140000000001</v>
      </c>
      <c r="AB1398" s="3">
        <f t="shared" si="718"/>
        <v>25115.279999999999</v>
      </c>
      <c r="AC1398" s="3" cm="1">
        <f t="array" ref="AC1398">100000000/LvacE(AA1398)</f>
        <v>25115.279910506812</v>
      </c>
      <c r="AD1398" s="10">
        <f t="shared" si="719"/>
        <v>8.1547784922382897E-3</v>
      </c>
      <c r="AE1398" s="10" t="b">
        <f t="shared" si="720"/>
        <v>1</v>
      </c>
      <c r="AJ1398" t="s">
        <v>4751</v>
      </c>
      <c r="AK1398" t="s">
        <v>4928</v>
      </c>
      <c r="AL1398">
        <v>38701.589999999997</v>
      </c>
      <c r="AM1398">
        <v>63816.91</v>
      </c>
      <c r="AN1398" s="10" cm="1">
        <f t="array" ref="AN1398">Lair(100000000/($AM1398-$AL1398))</f>
        <v>3980.5076422316733</v>
      </c>
      <c r="AO1398" s="10">
        <f>100000000/($AM1398-$AL1398)</f>
        <v>3981.6335208948153</v>
      </c>
      <c r="AP1398" s="12">
        <v>27700000</v>
      </c>
      <c r="AQ1398" s="3">
        <v>0.214</v>
      </c>
      <c r="AR1398" s="3">
        <f>LN(AU1398*100000000/($AM1398-$AL1398)/AP1398)</f>
        <v>-6.4619071907705434</v>
      </c>
      <c r="AS1398" s="13">
        <f>EXP(AR$4341*$AM1398+AR$4342)*$AP1398/(100000000/($AM1398-$AL1398))</f>
        <v>5.1164389301068169</v>
      </c>
      <c r="AT1398" s="3">
        <f>LN(AS1398/$C1398)</f>
        <v>-3.3781766184956159</v>
      </c>
      <c r="AU1398" s="16" cm="1">
        <f t="array" ref="AU1398">$C1398*EXP(poly_from_str(100000000/$E1398,AU$4342))</f>
        <v>10.865453299633588</v>
      </c>
      <c r="AV1398" s="13">
        <f>LN(AS1398/AU1398)</f>
        <v>-0.75312965832660039</v>
      </c>
    </row>
    <row r="1399" spans="1:48" x14ac:dyDescent="0.25">
      <c r="A1399">
        <v>3980.154</v>
      </c>
      <c r="B1399" s="2" t="str">
        <f t="shared" si="716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717"/>
        <v>3980.154</v>
      </c>
      <c r="AB1399" s="3">
        <f t="shared" si="718"/>
        <v>25117.55</v>
      </c>
      <c r="AC1399" s="3" cm="1">
        <f t="array" ref="AC1399">100000000/LvacE(AA1399)</f>
        <v>25117.551507094777</v>
      </c>
      <c r="AD1399" s="10">
        <f t="shared" si="719"/>
        <v>8.1553492034598142E-3</v>
      </c>
      <c r="AE1399" s="10" t="b">
        <f t="shared" si="720"/>
        <v>1</v>
      </c>
      <c r="AP1399"/>
      <c r="AQ1399"/>
      <c r="AU1399" s="16" cm="1">
        <f t="array" ref="AU1399">$C1399*EXP(poly_from_str(100000000/$E1399,AU$4342))</f>
        <v>0.29011490335088141</v>
      </c>
    </row>
    <row r="1400" spans="1:48" x14ac:dyDescent="0.25">
      <c r="A1400">
        <v>3979.116</v>
      </c>
      <c r="B1400" s="2" t="str">
        <f t="shared" si="716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750">$G1400&amp;""</f>
        <v>e</v>
      </c>
      <c r="N1400" t="str">
        <f t="shared" ref="N1400:N1402" si="751">$H1400&amp;""</f>
        <v>11/2</v>
      </c>
      <c r="O1400">
        <v>64857.15</v>
      </c>
      <c r="P1400" t="str">
        <f t="shared" ref="P1400:P1402" si="752">$J1400&amp;""</f>
        <v>o</v>
      </c>
      <c r="Q1400" t="str">
        <f t="shared" ref="Q1400:Q1402" si="753">$K1400&amp;""</f>
        <v>9/2</v>
      </c>
      <c r="R1400">
        <v>14</v>
      </c>
      <c r="AA1400" s="10">
        <f t="shared" si="717"/>
        <v>3979.116</v>
      </c>
      <c r="AB1400" s="3">
        <f t="shared" si="718"/>
        <v>25124.1</v>
      </c>
      <c r="AC1400" s="3" cm="1">
        <f t="array" ref="AC1400">100000000/LvacE(AA1400)</f>
        <v>25124.103578334361</v>
      </c>
      <c r="AD1400" s="10">
        <f t="shared" si="719"/>
        <v>8.1569956214312886E-3</v>
      </c>
      <c r="AE1400" s="10" t="b">
        <f t="shared" si="720"/>
        <v>1</v>
      </c>
      <c r="AJ1400" t="s">
        <v>4725</v>
      </c>
      <c r="AK1400" t="s">
        <v>4854</v>
      </c>
      <c r="AL1400">
        <v>39732.99</v>
      </c>
      <c r="AM1400">
        <v>64857.15</v>
      </c>
      <c r="AN1400" s="10" cm="1">
        <f t="array" ref="AN1400">Lair(100000000/($AM1400-$AL1400))</f>
        <v>3979.1070599769841</v>
      </c>
      <c r="AO1400" s="10">
        <f t="shared" ref="AO1400:AO1402" si="754">100000000/($AM1400-$AL1400)</f>
        <v>3980.232572949702</v>
      </c>
      <c r="AP1400" s="12">
        <v>3890000</v>
      </c>
      <c r="AQ1400" s="3">
        <v>8.5999999999999993E-2</v>
      </c>
      <c r="AR1400" s="3">
        <f t="shared" ref="AR1400:AR1401" si="755">LN(AU1400*100000000/($AM1400-$AL1400)/AP1400)</f>
        <v>-6.5091832208092999</v>
      </c>
      <c r="AS1400" s="13">
        <f t="shared" ref="AS1400:AS1401" si="756">EXP(AR$4341*$AM1400+AR$4342)*$AP1400/(100000000/($AM1400-$AL1400))</f>
        <v>0.66479317150940964</v>
      </c>
      <c r="AT1400" s="3">
        <f t="shared" ref="AT1400:AT1401" si="757">LN(AS1400/$C1400)</f>
        <v>-3.4040115805437163</v>
      </c>
      <c r="AU1400" s="16" cm="1">
        <f t="array" ref="AU1400">$C1400*EXP(poly_from_str(100000000/$E1400,AU$4342))</f>
        <v>1.4559243089320892</v>
      </c>
      <c r="AV1400" s="13">
        <f t="shared" ref="AV1400:AV1401" si="758">LN(AS1400/AU1400)</f>
        <v>-0.78392026978935514</v>
      </c>
    </row>
    <row r="1401" spans="1:48" x14ac:dyDescent="0.25">
      <c r="A1401">
        <v>3977.8440000000001</v>
      </c>
      <c r="B1401" s="2" t="str">
        <f t="shared" si="716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750"/>
        <v>e</v>
      </c>
      <c r="N1401" t="str">
        <f t="shared" si="751"/>
        <v>11/2</v>
      </c>
      <c r="O1401">
        <v>64865.15</v>
      </c>
      <c r="P1401" t="str">
        <f t="shared" si="752"/>
        <v>o</v>
      </c>
      <c r="Q1401" t="str">
        <f t="shared" si="753"/>
        <v>11/2</v>
      </c>
      <c r="R1401">
        <v>14</v>
      </c>
      <c r="AA1401" s="10">
        <f t="shared" si="717"/>
        <v>3977.8440000000001</v>
      </c>
      <c r="AB1401" s="3">
        <f t="shared" si="718"/>
        <v>25132.14</v>
      </c>
      <c r="AC1401" s="3" cm="1">
        <f t="array" ref="AC1401">100000000/LvacE(AA1401)</f>
        <v>25132.137368578798</v>
      </c>
      <c r="AD1401" s="10">
        <f t="shared" si="719"/>
        <v>8.1590149549075827E-3</v>
      </c>
      <c r="AE1401" s="10" t="b">
        <f t="shared" si="720"/>
        <v>1</v>
      </c>
      <c r="AJ1401" t="s">
        <v>4725</v>
      </c>
      <c r="AK1401" t="s">
        <v>4896</v>
      </c>
      <c r="AL1401">
        <v>39732.99</v>
      </c>
      <c r="AM1401">
        <v>64865.15</v>
      </c>
      <c r="AN1401" s="10" cm="1">
        <f t="array" ref="AN1401">Lair(100000000/($AM1401-$AL1401))</f>
        <v>3977.8404140073908</v>
      </c>
      <c r="AO1401" s="10">
        <f t="shared" si="754"/>
        <v>3978.965596271868</v>
      </c>
      <c r="AP1401" s="12">
        <v>1440000</v>
      </c>
      <c r="AQ1401" s="3">
        <v>0.153</v>
      </c>
      <c r="AR1401" s="3">
        <f t="shared" si="755"/>
        <v>-6.4274993485695155</v>
      </c>
      <c r="AS1401" s="13">
        <f t="shared" si="756"/>
        <v>0.24602371206427692</v>
      </c>
      <c r="AT1401" s="3">
        <f t="shared" si="757"/>
        <v>-3.4817688988696855</v>
      </c>
      <c r="AU1401" s="16" cm="1">
        <f t="array" ref="AU1401">$C1401*EXP(poly_from_str(100000000/$E1401,AU$4342))</f>
        <v>0.58501204566516796</v>
      </c>
      <c r="AV1401" s="13">
        <f t="shared" si="758"/>
        <v>-0.86620451610820892</v>
      </c>
    </row>
    <row r="1402" spans="1:48" x14ac:dyDescent="0.25">
      <c r="A1402">
        <v>3974.13</v>
      </c>
      <c r="B1402" s="2" t="str">
        <f t="shared" si="716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750"/>
        <v>o</v>
      </c>
      <c r="N1402" t="str">
        <f t="shared" si="751"/>
        <v>5/2</v>
      </c>
      <c r="O1402">
        <v>48401.64</v>
      </c>
      <c r="P1402" t="str">
        <f t="shared" si="752"/>
        <v>e</v>
      </c>
      <c r="Q1402" t="str">
        <f t="shared" si="753"/>
        <v>3/2</v>
      </c>
      <c r="R1402">
        <v>14</v>
      </c>
      <c r="AA1402" s="10">
        <f t="shared" si="717"/>
        <v>3974.13</v>
      </c>
      <c r="AB1402" s="3">
        <f t="shared" si="718"/>
        <v>25155.62</v>
      </c>
      <c r="AC1402" s="3" cm="1">
        <f t="array" ref="AC1402">100000000/LvacE(AA1402)</f>
        <v>25155.623948915625</v>
      </c>
      <c r="AD1402" s="10">
        <f t="shared" si="719"/>
        <v>8.1649221274738906E-3</v>
      </c>
      <c r="AE1402" s="10" t="b">
        <f t="shared" si="720"/>
        <v>1</v>
      </c>
      <c r="AJ1402" t="s">
        <v>4990</v>
      </c>
      <c r="AK1402" t="s">
        <v>4945</v>
      </c>
      <c r="AL1402">
        <v>23245.99</v>
      </c>
      <c r="AM1402">
        <v>48401.64</v>
      </c>
      <c r="AN1402" s="10" cm="1">
        <f t="array" ref="AN1402">Lair(100000000/($AM1402-$AL1402))</f>
        <v>3974.1258804200179</v>
      </c>
      <c r="AO1402" s="10">
        <f t="shared" si="754"/>
        <v>3975.2500929214712</v>
      </c>
      <c r="AU1402" s="16" cm="1">
        <f t="array" ref="AU1402">$C1402*EXP(poly_from_str(100000000/$E1402,AU$4342))</f>
        <v>0.29641398314191908</v>
      </c>
    </row>
    <row r="1403" spans="1:48" x14ac:dyDescent="0.25">
      <c r="A1403">
        <v>3968.2</v>
      </c>
      <c r="B1403" s="2" t="str">
        <f t="shared" si="716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717"/>
        <v>3968.2</v>
      </c>
      <c r="AB1403" s="3">
        <f t="shared" si="718"/>
        <v>25193.21</v>
      </c>
      <c r="AC1403" s="3" cm="1">
        <f t="array" ref="AC1403">100000000/LvacE(AA1403)</f>
        <v>25193.215196452176</v>
      </c>
      <c r="AD1403" s="10">
        <f t="shared" si="719"/>
        <v>8.1743882864336696E-3</v>
      </c>
      <c r="AE1403" s="10" t="b">
        <f t="shared" si="720"/>
        <v>1</v>
      </c>
      <c r="AP1403"/>
      <c r="AQ1403"/>
      <c r="AU1403" s="16" cm="1">
        <f t="array" ref="AU1403">$C1403*EXP(poly_from_str(100000000/$E1403,AU$4342))</f>
        <v>0.45423984669723638</v>
      </c>
    </row>
    <row r="1404" spans="1:48" x14ac:dyDescent="0.25">
      <c r="A1404">
        <v>3964.5610000000001</v>
      </c>
      <c r="B1404" s="2" t="str">
        <f t="shared" si="716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717"/>
        <v>3964.5610000000001</v>
      </c>
      <c r="AB1404" s="3">
        <f t="shared" si="718"/>
        <v>25216.34</v>
      </c>
      <c r="AC1404" s="3" cm="1">
        <f t="array" ref="AC1404">100000000/LvacE(AA1404)</f>
        <v>25216.339093588645</v>
      </c>
      <c r="AD1404" s="10">
        <f t="shared" si="719"/>
        <v>8.18021832601247E-3</v>
      </c>
      <c r="AE1404" s="10" t="b">
        <f t="shared" si="720"/>
        <v>1</v>
      </c>
      <c r="AP1404"/>
      <c r="AQ1404"/>
      <c r="AU1404" s="16" cm="1">
        <f t="array" ref="AU1404">$C1404*EXP(poly_from_str(100000000/$E1404,AU$4342))</f>
        <v>7.6717396866767609E-2</v>
      </c>
    </row>
    <row r="1405" spans="1:48" x14ac:dyDescent="0.25">
      <c r="A1405">
        <v>3960.875</v>
      </c>
      <c r="B1405" s="2" t="str">
        <f t="shared" si="716"/>
        <v/>
      </c>
      <c r="C1405">
        <v>2</v>
      </c>
      <c r="D1405" t="s">
        <v>1156</v>
      </c>
      <c r="E1405">
        <v>25239.8</v>
      </c>
      <c r="R1405">
        <v>14</v>
      </c>
      <c r="S1405" t="s">
        <v>22</v>
      </c>
      <c r="AA1405" s="10">
        <f t="shared" si="717"/>
        <v>3960.875</v>
      </c>
      <c r="AB1405" s="3">
        <f t="shared" si="718"/>
        <v>25239.8</v>
      </c>
      <c r="AC1405" s="3" cm="1">
        <f t="array" ref="AC1405">100000000/LvacE(AA1405)</f>
        <v>25239.804965263742</v>
      </c>
      <c r="AD1405" s="10">
        <f t="shared" si="719"/>
        <v>8.1861400530518821E-3</v>
      </c>
      <c r="AE1405" s="10" t="b">
        <f t="shared" si="720"/>
        <v>1</v>
      </c>
      <c r="AP1405"/>
      <c r="AQ1405"/>
      <c r="AU1405" s="16" cm="1">
        <f t="array" ref="AU1405">$C1405*EXP(poly_from_str(100000000/$E1405,AU$4342))</f>
        <v>0.15552363056829496</v>
      </c>
    </row>
    <row r="1406" spans="1:48" x14ac:dyDescent="0.25">
      <c r="A1406">
        <v>3948.5059999999999</v>
      </c>
      <c r="B1406" s="2" t="str">
        <f t="shared" si="716"/>
        <v/>
      </c>
      <c r="C1406">
        <v>8</v>
      </c>
      <c r="D1406" t="s">
        <v>1156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759">$G1406&amp;""</f>
        <v>o</v>
      </c>
      <c r="N1406" t="str">
        <f t="shared" ref="N1406:N1407" si="760">$H1406&amp;""</f>
        <v>9/2</v>
      </c>
      <c r="O1406">
        <v>41023.980000000003</v>
      </c>
      <c r="P1406" t="str">
        <f t="shared" ref="P1406:P1407" si="761">$J1406&amp;""</f>
        <v>e</v>
      </c>
      <c r="Q1406" t="str">
        <f t="shared" ref="Q1406:Q1407" si="762">$K1406&amp;""</f>
        <v>7/2</v>
      </c>
      <c r="R1406">
        <v>14</v>
      </c>
      <c r="AA1406" s="10">
        <f t="shared" si="717"/>
        <v>3948.5059999999999</v>
      </c>
      <c r="AB1406" s="3">
        <f t="shared" si="718"/>
        <v>25318.87</v>
      </c>
      <c r="AC1406" s="3" cm="1">
        <f t="array" ref="AC1406">100000000/LvacE(AA1406)</f>
        <v>25318.868857234062</v>
      </c>
      <c r="AD1406" s="10">
        <f t="shared" si="719"/>
        <v>8.2061327572041255E-3</v>
      </c>
      <c r="AE1406" s="10" t="b">
        <f t="shared" si="720"/>
        <v>1</v>
      </c>
      <c r="AJ1406" t="s">
        <v>4767</v>
      </c>
      <c r="AK1406" t="s">
        <v>4711</v>
      </c>
      <c r="AL1406">
        <v>15705.13</v>
      </c>
      <c r="AM1406">
        <v>41023.980000000003</v>
      </c>
      <c r="AN1406" s="10" cm="1">
        <f t="array" ref="AN1406">Lair(100000000/($AM1406-$AL1406))</f>
        <v>3948.5089368545368</v>
      </c>
      <c r="AO1406" s="10">
        <f t="shared" ref="AO1406:AO1407" si="763">100000000/($AM1406-$AL1406)</f>
        <v>3949.6264640771592</v>
      </c>
      <c r="AP1406" s="12">
        <v>1160000</v>
      </c>
      <c r="AQ1406" s="3">
        <v>6.8000000000000005E-2</v>
      </c>
      <c r="AR1406" s="3">
        <f t="shared" ref="AR1406:AR1407" si="764">LN(AU1406*100000000/($AM1406-$AL1406)/AP1406)</f>
        <v>-6.1111440431581547</v>
      </c>
      <c r="AS1406" s="13">
        <f t="shared" ref="AS1406:AS1407" si="765">EXP(AR$4341*$AM1406+AR$4342)*$AP1406/(100000000/($AM1406-$AL1406))</f>
        <v>1.1948886144528252</v>
      </c>
      <c r="AT1406" s="3">
        <f t="shared" ref="AT1406:AT1407" si="766">LN(AS1406/$C1406)</f>
        <v>-1.9013885703035602</v>
      </c>
      <c r="AU1406" s="16" cm="1">
        <f t="array" ref="AU1406">$C1406*EXP(poly_from_str(100000000/$E1406,AU$4342))</f>
        <v>0.65142711098357686</v>
      </c>
      <c r="AV1406" s="13">
        <f t="shared" ref="AV1406:AV1407" si="767">LN(AS1406/AU1406)</f>
        <v>0.60664273881898312</v>
      </c>
    </row>
    <row r="1407" spans="1:48" x14ac:dyDescent="0.25">
      <c r="A1407">
        <v>3945.11</v>
      </c>
      <c r="B1407" s="2" t="str">
        <f t="shared" si="716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759"/>
        <v>e</v>
      </c>
      <c r="N1407" t="str">
        <f t="shared" si="760"/>
        <v>7/2</v>
      </c>
      <c r="O1407">
        <v>60166.2</v>
      </c>
      <c r="P1407" t="str">
        <f t="shared" si="761"/>
        <v>o</v>
      </c>
      <c r="Q1407" t="str">
        <f t="shared" si="762"/>
        <v>9/2</v>
      </c>
      <c r="R1407">
        <v>14</v>
      </c>
      <c r="AA1407" s="10">
        <f t="shared" si="717"/>
        <v>3945.11</v>
      </c>
      <c r="AB1407" s="3">
        <f t="shared" si="718"/>
        <v>25340.66</v>
      </c>
      <c r="AC1407" s="3" cm="1">
        <f t="array" ref="AC1407">100000000/LvacE(AA1407)</f>
        <v>25340.663172985227</v>
      </c>
      <c r="AD1407" s="10">
        <f t="shared" si="719"/>
        <v>8.2116548300282151E-3</v>
      </c>
      <c r="AE1407" s="10" t="b">
        <f t="shared" si="720"/>
        <v>1</v>
      </c>
      <c r="AJ1407" t="s">
        <v>4761</v>
      </c>
      <c r="AK1407" t="s">
        <v>4726</v>
      </c>
      <c r="AL1407">
        <v>34825.49</v>
      </c>
      <c r="AM1407">
        <v>60166.2</v>
      </c>
      <c r="AN1407" s="10" cm="1">
        <f t="array" ref="AN1407">Lair(100000000/($AM1407-$AL1407))</f>
        <v>3945.1027056470589</v>
      </c>
      <c r="AO1407" s="10">
        <f t="shared" si="763"/>
        <v>3946.2193442883013</v>
      </c>
      <c r="AP1407" s="12">
        <v>1080000</v>
      </c>
      <c r="AQ1407" s="3">
        <v>6.0999999999999999E-2</v>
      </c>
      <c r="AR1407" s="3">
        <f t="shared" si="764"/>
        <v>-7.0085510672581863</v>
      </c>
      <c r="AS1407" s="13">
        <f t="shared" si="765"/>
        <v>0.26471418962389504</v>
      </c>
      <c r="AT1407" s="3">
        <f t="shared" si="766"/>
        <v>-2.4277168534168849</v>
      </c>
      <c r="AU1407" s="16" cm="1">
        <f t="array" ref="AU1407">$C1407*EXP(poly_from_str(100000000/$E1407,AU$4342))</f>
        <v>0.24743861704195014</v>
      </c>
      <c r="AV1407" s="13">
        <f t="shared" si="767"/>
        <v>6.7488174936383455E-2</v>
      </c>
    </row>
    <row r="1408" spans="1:48" x14ac:dyDescent="0.25">
      <c r="A1408">
        <v>3934.37</v>
      </c>
      <c r="B1408" s="2" t="str">
        <f t="shared" si="716"/>
        <v/>
      </c>
      <c r="C1408">
        <v>1</v>
      </c>
      <c r="D1408" t="s">
        <v>1156</v>
      </c>
      <c r="E1408">
        <v>25409.84</v>
      </c>
      <c r="R1408">
        <v>14</v>
      </c>
      <c r="S1408" t="s">
        <v>22</v>
      </c>
      <c r="AA1408" s="10">
        <f t="shared" si="717"/>
        <v>3934.37</v>
      </c>
      <c r="AB1408" s="3">
        <f t="shared" si="718"/>
        <v>25409.84</v>
      </c>
      <c r="AC1408" s="3" cm="1">
        <f t="array" ref="AC1408">100000000/LvacE(AA1408)</f>
        <v>25409.836296132609</v>
      </c>
      <c r="AD1408" s="10">
        <f t="shared" si="719"/>
        <v>8.2292128468004558E-3</v>
      </c>
      <c r="AE1408" s="10" t="b">
        <f t="shared" si="720"/>
        <v>1</v>
      </c>
      <c r="AP1408"/>
      <c r="AQ1408"/>
      <c r="AU1408" s="16" cm="1">
        <f t="array" ref="AU1408">$C1408*EXP(poly_from_str(100000000/$E1408,AU$4342))</f>
        <v>8.5937497300025339E-2</v>
      </c>
    </row>
    <row r="1409" spans="1:48" x14ac:dyDescent="0.25">
      <c r="A1409">
        <v>3933.6469999999999</v>
      </c>
      <c r="B1409" s="2" t="str">
        <f t="shared" si="716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717"/>
        <v>3933.6469999999999</v>
      </c>
      <c r="AB1409" s="3">
        <f t="shared" si="718"/>
        <v>25414.51</v>
      </c>
      <c r="AC1409" s="3" cm="1">
        <f t="array" ref="AC1409">100000000/LvacE(AA1409)</f>
        <v>25414.506491912951</v>
      </c>
      <c r="AD1409" s="10">
        <f t="shared" si="719"/>
        <v>8.2303999941927882E-3</v>
      </c>
      <c r="AE1409" s="10" t="b">
        <f t="shared" si="720"/>
        <v>1</v>
      </c>
      <c r="AP1409"/>
      <c r="AQ1409"/>
      <c r="AU1409" s="16" cm="1">
        <f t="array" ref="AU1409">$C1409*EXP(poly_from_str(100000000/$E1409,AU$4342))</f>
        <v>0.68942137489915989</v>
      </c>
    </row>
    <row r="1410" spans="1:48" x14ac:dyDescent="0.25">
      <c r="A1410">
        <v>3932.701</v>
      </c>
      <c r="B1410" s="2" t="str">
        <f t="shared" si="716"/>
        <v/>
      </c>
      <c r="C1410">
        <v>1</v>
      </c>
      <c r="D1410" t="s">
        <v>1156</v>
      </c>
      <c r="E1410">
        <v>25420.62</v>
      </c>
      <c r="R1410">
        <v>14</v>
      </c>
      <c r="S1410" t="s">
        <v>22</v>
      </c>
      <c r="AA1410" s="10">
        <f t="shared" si="717"/>
        <v>3932.701</v>
      </c>
      <c r="AB1410" s="3">
        <f t="shared" si="718"/>
        <v>25420.62</v>
      </c>
      <c r="AC1410" s="3" cm="1">
        <f t="array" ref="AC1410">100000000/LvacE(AA1410)</f>
        <v>25420.619742394741</v>
      </c>
      <c r="AD1410" s="10">
        <f t="shared" si="719"/>
        <v>8.2319542907526837E-3</v>
      </c>
      <c r="AE1410" s="10" t="b">
        <f t="shared" si="720"/>
        <v>1</v>
      </c>
      <c r="AP1410"/>
      <c r="AQ1410"/>
      <c r="AU1410" s="16" cm="1">
        <f t="array" ref="AU1410">$C1410*EXP(poly_from_str(100000000/$E1410,AU$4342))</f>
        <v>8.6493213672911018E-2</v>
      </c>
    </row>
    <row r="1411" spans="1:48" x14ac:dyDescent="0.25">
      <c r="A1411">
        <v>3931.3029999999999</v>
      </c>
      <c r="B1411" s="2" t="str">
        <f t="shared" ref="B1411:B1474" si="768">IF(OR(A1411=A1410,A1411=A1412),IF(B1410="",1,B1410+1),"")</f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769">ROUND($A1411,3)+0</f>
        <v>3931.3029999999999</v>
      </c>
      <c r="AB1411" s="3">
        <f t="shared" ref="AB1411:AB1474" si="770">ROUND($E1411,2)+0</f>
        <v>25429.66</v>
      </c>
      <c r="AC1411" s="3" cm="1">
        <f t="array" ref="AC1411">100000000/LvacE(AA1411)</f>
        <v>25429.659298048049</v>
      </c>
      <c r="AD1411" s="10">
        <f t="shared" ref="AD1411:AD1474" si="771">0.0005/$AA1411*AC1411+0.005</f>
        <v>8.2342532867662518E-3</v>
      </c>
      <c r="AE1411" s="10" t="b">
        <f t="shared" ref="AE1411:AE1474" si="772">ABS(AB1411-AC1411)&lt;AD1411</f>
        <v>1</v>
      </c>
      <c r="AJ1411" t="s">
        <v>4781</v>
      </c>
      <c r="AK1411" t="s">
        <v>4823</v>
      </c>
      <c r="AL1411">
        <v>38785.760000000002</v>
      </c>
      <c r="AM1411">
        <v>64215.45</v>
      </c>
      <c r="AN1411" s="10" cm="1">
        <f t="array" ref="AN1411">Lair(100000000/($AM1411-$AL1411))</f>
        <v>3931.2982494261155</v>
      </c>
      <c r="AO1411" s="10">
        <f>100000000/($AM1411-$AL1411)</f>
        <v>3932.4112877506577</v>
      </c>
      <c r="AP1411" s="12">
        <v>11100000</v>
      </c>
      <c r="AQ1411" s="3">
        <v>0.245</v>
      </c>
      <c r="AR1411" s="3">
        <f>LN(AU1411*100000000/($AM1411-$AL1411)/AP1411)</f>
        <v>-7.6796721810838813</v>
      </c>
      <c r="AS1411" s="13">
        <f>EXP(AR$4341*$AM1411+AR$4342)*$AP1411/(100000000/($AM1411-$AL1411))</f>
        <v>2.0147630704146127</v>
      </c>
      <c r="AT1411" s="3">
        <f>LN(AS1411/$C1411)</f>
        <v>-2.0075485955377652</v>
      </c>
      <c r="AU1411" s="16" cm="1">
        <f t="array" ref="AU1411">$C1411*EXP(poly_from_str(100000000/$E1411,AU$4342))</f>
        <v>1.3044420601805382</v>
      </c>
      <c r="AV1411" s="13">
        <f>LN(AS1411/AU1411)</f>
        <v>0.4347261963026533</v>
      </c>
    </row>
    <row r="1412" spans="1:48" x14ac:dyDescent="0.25">
      <c r="A1412">
        <v>3928.4659999999999</v>
      </c>
      <c r="B1412" s="2" t="str">
        <f t="shared" si="768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769"/>
        <v>3928.4659999999999</v>
      </c>
      <c r="AB1412" s="3">
        <f t="shared" si="770"/>
        <v>25448.02</v>
      </c>
      <c r="AC1412" s="3" cm="1">
        <f t="array" ref="AC1412">100000000/LvacE(AA1412)</f>
        <v>25448.023292803693</v>
      </c>
      <c r="AD1412" s="10">
        <f t="shared" si="771"/>
        <v>8.2389262491776305E-3</v>
      </c>
      <c r="AE1412" s="10" t="b">
        <f t="shared" si="772"/>
        <v>1</v>
      </c>
      <c r="AP1412"/>
      <c r="AQ1412"/>
      <c r="AU1412" s="16" cm="1">
        <f t="array" ref="AU1412">$C1412*EXP(poly_from_str(100000000/$E1412,AU$4342))</f>
        <v>0.17585327370584561</v>
      </c>
    </row>
    <row r="1413" spans="1:48" x14ac:dyDescent="0.25">
      <c r="A1413">
        <v>3926.5749999999998</v>
      </c>
      <c r="B1413" s="2" t="str">
        <f t="shared" si="768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769"/>
        <v>3926.5749999999998</v>
      </c>
      <c r="AB1413" s="3">
        <f t="shared" si="770"/>
        <v>25460.28</v>
      </c>
      <c r="AC1413" s="3" cm="1">
        <f t="array" ref="AC1413">100000000/LvacE(AA1413)</f>
        <v>25460.278536585236</v>
      </c>
      <c r="AD1413" s="10">
        <f t="shared" si="771"/>
        <v>8.2420466356284087E-3</v>
      </c>
      <c r="AE1413" s="10" t="b">
        <f t="shared" si="772"/>
        <v>1</v>
      </c>
      <c r="AP1413"/>
      <c r="AQ1413"/>
      <c r="AU1413" s="16" cm="1">
        <f t="array" ref="AU1413">$C1413*EXP(poly_from_str(100000000/$E1413,AU$4342))</f>
        <v>0.177155690150295</v>
      </c>
    </row>
    <row r="1414" spans="1:48" x14ac:dyDescent="0.25">
      <c r="A1414">
        <v>3921.1060000000002</v>
      </c>
      <c r="B1414" s="2" t="str">
        <f t="shared" si="768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769"/>
        <v>3921.1060000000002</v>
      </c>
      <c r="AB1414" s="3">
        <f t="shared" si="770"/>
        <v>25495.79</v>
      </c>
      <c r="AC1414" s="3" cm="1">
        <f t="array" ref="AC1414">100000000/LvacE(AA1414)</f>
        <v>25495.78870527069</v>
      </c>
      <c r="AD1414" s="10">
        <f t="shared" si="771"/>
        <v>8.2510965917869453E-3</v>
      </c>
      <c r="AE1414" s="10" t="b">
        <f t="shared" si="772"/>
        <v>1</v>
      </c>
      <c r="AJ1414" t="s">
        <v>4770</v>
      </c>
      <c r="AK1414" t="s">
        <v>4730</v>
      </c>
      <c r="AL1414">
        <v>35024.49</v>
      </c>
      <c r="AM1414">
        <v>60520.32</v>
      </c>
      <c r="AN1414" s="10" cm="1">
        <f t="array" ref="AN1414">Lair(100000000/($AM1414-$AL1414))</f>
        <v>3921.0996448289739</v>
      </c>
      <c r="AO1414" s="10">
        <f>100000000/($AM1414-$AL1414)</f>
        <v>3922.2100241490471</v>
      </c>
      <c r="AP1414" s="12">
        <v>5840000</v>
      </c>
      <c r="AQ1414" s="3">
        <v>7.8E-2</v>
      </c>
      <c r="AR1414" s="3">
        <f>LN(AU1414*100000000/($AM1414-$AL1414)/AP1414)</f>
        <v>-7.9164896962619045</v>
      </c>
      <c r="AS1414" s="13">
        <f>EXP(AR$4341*$AM1414+AR$4342)*$AP1414/(100000000/($AM1414-$AL1414))</f>
        <v>1.4024102286628157</v>
      </c>
      <c r="AT1414" s="3">
        <f>LN(AS1414/$C1414)</f>
        <v>-1.4535671209454994</v>
      </c>
      <c r="AU1414" s="16" cm="1">
        <f t="array" ref="AU1414">$C1414*EXP(poly_from_str(100000000/$E1414,AU$4342))</f>
        <v>0.54299297471182784</v>
      </c>
      <c r="AV1414" s="13">
        <f>LN(AS1414/AU1414)</f>
        <v>0.94885124533005527</v>
      </c>
    </row>
    <row r="1415" spans="1:48" x14ac:dyDescent="0.25">
      <c r="A1415">
        <v>3912.99</v>
      </c>
      <c r="B1415" s="2" t="str">
        <f t="shared" si="768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769"/>
        <v>3912.99</v>
      </c>
      <c r="AB1415" s="3">
        <f t="shared" si="770"/>
        <v>25548.67</v>
      </c>
      <c r="AC1415" s="3" cm="1">
        <f t="array" ref="AC1415">100000000/LvacE(AA1415)</f>
        <v>25548.668767095736</v>
      </c>
      <c r="AD1415" s="10">
        <f t="shared" si="771"/>
        <v>8.264596736395409E-3</v>
      </c>
      <c r="AE1415" s="10" t="b">
        <f t="shared" si="772"/>
        <v>1</v>
      </c>
      <c r="AP1415"/>
      <c r="AQ1415"/>
      <c r="AU1415" s="16" cm="1">
        <f t="array" ref="AU1415">$C1415*EXP(poly_from_str(100000000/$E1415,AU$4342))</f>
        <v>0.7476590339486503</v>
      </c>
    </row>
    <row r="1416" spans="1:48" x14ac:dyDescent="0.25">
      <c r="A1416">
        <v>3912.9409999999998</v>
      </c>
      <c r="B1416" s="2" t="str">
        <f t="shared" si="768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769"/>
        <v>3912.9409999999998</v>
      </c>
      <c r="AB1416" s="3">
        <f t="shared" si="770"/>
        <v>25548.99</v>
      </c>
      <c r="AC1416" s="3" cm="1">
        <f t="array" ref="AC1416">100000000/LvacE(AA1416)</f>
        <v>25548.988694355226</v>
      </c>
      <c r="AD1416" s="10">
        <f t="shared" si="771"/>
        <v>8.2646784981367256E-3</v>
      </c>
      <c r="AE1416" s="10" t="b">
        <f t="shared" si="772"/>
        <v>1</v>
      </c>
      <c r="AP1416"/>
      <c r="AQ1416"/>
      <c r="AU1416" s="16" cm="1">
        <f t="array" ref="AU1416">$C1416*EXP(poly_from_str(100000000/$E1416,AU$4342))</f>
        <v>0</v>
      </c>
    </row>
    <row r="1417" spans="1:48" x14ac:dyDescent="0.25">
      <c r="A1417">
        <v>3912.8960000000002</v>
      </c>
      <c r="B1417" s="2" t="str">
        <f t="shared" si="768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769"/>
        <v>3912.8960000000002</v>
      </c>
      <c r="AB1417" s="3">
        <f t="shared" si="770"/>
        <v>25549.279999999999</v>
      </c>
      <c r="AC1417" s="3" cm="1">
        <f t="array" ref="AC1417">100000000/LvacE(AA1417)</f>
        <v>25549.282512161724</v>
      </c>
      <c r="AD1417" s="10">
        <f t="shared" si="771"/>
        <v>8.2647535881558987E-3</v>
      </c>
      <c r="AE1417" s="10" t="b">
        <f t="shared" si="772"/>
        <v>1</v>
      </c>
      <c r="AP1417"/>
      <c r="AQ1417"/>
      <c r="AU1417" s="16" cm="1">
        <f t="array" ref="AU1417">$C1417*EXP(poly_from_str(100000000/$E1417,AU$4342))</f>
        <v>0</v>
      </c>
    </row>
    <row r="1418" spans="1:48" x14ac:dyDescent="0.25">
      <c r="A1418">
        <v>3912.857</v>
      </c>
      <c r="B1418" s="2" t="str">
        <f t="shared" si="768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769"/>
        <v>3912.857</v>
      </c>
      <c r="AB1418" s="3">
        <f t="shared" si="770"/>
        <v>25549.54</v>
      </c>
      <c r="AC1418" s="3" cm="1">
        <f t="array" ref="AC1418">100000000/LvacE(AA1418)</f>
        <v>25549.537159727071</v>
      </c>
      <c r="AD1418" s="10">
        <f t="shared" si="771"/>
        <v>8.2648186682681059E-3</v>
      </c>
      <c r="AE1418" s="10" t="b">
        <f t="shared" si="772"/>
        <v>1</v>
      </c>
      <c r="AP1418"/>
      <c r="AQ1418"/>
      <c r="AU1418" s="16" cm="1">
        <f t="array" ref="AU1418">$C1418*EXP(poly_from_str(100000000/$E1418,AU$4342))</f>
        <v>0</v>
      </c>
    </row>
    <row r="1419" spans="1:48" x14ac:dyDescent="0.25">
      <c r="A1419">
        <v>3911.8719999999998</v>
      </c>
      <c r="B1419" s="2" t="str">
        <f t="shared" si="768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769"/>
        <v>3911.8719999999998</v>
      </c>
      <c r="AB1419" s="3">
        <f t="shared" si="770"/>
        <v>25555.97</v>
      </c>
      <c r="AC1419" s="3" cm="1">
        <f t="array" ref="AC1419">100000000/LvacE(AA1419)</f>
        <v>25555.970326597904</v>
      </c>
      <c r="AD1419" s="10">
        <f t="shared" si="771"/>
        <v>8.2664630037227581E-3</v>
      </c>
      <c r="AE1419" s="10" t="b">
        <f t="shared" si="772"/>
        <v>1</v>
      </c>
      <c r="AP1419"/>
      <c r="AQ1419"/>
      <c r="AU1419" s="16" cm="1">
        <f t="array" ref="AU1419">$C1419*EXP(poly_from_str(100000000/$E1419,AU$4342))</f>
        <v>0.37550072812014562</v>
      </c>
    </row>
    <row r="1420" spans="1:48" x14ac:dyDescent="0.25">
      <c r="A1420">
        <v>3908.9969999999998</v>
      </c>
      <c r="B1420" s="2" t="str">
        <f t="shared" si="768"/>
        <v/>
      </c>
      <c r="C1420">
        <v>1</v>
      </c>
      <c r="D1420" t="s">
        <v>1156</v>
      </c>
      <c r="E1420">
        <v>25574.77</v>
      </c>
      <c r="R1420">
        <v>14</v>
      </c>
      <c r="S1420" t="s">
        <v>22</v>
      </c>
      <c r="AA1420" s="10">
        <f t="shared" si="769"/>
        <v>3908.9969999999998</v>
      </c>
      <c r="AB1420" s="3">
        <f t="shared" si="770"/>
        <v>25574.77</v>
      </c>
      <c r="AC1420" s="3" cm="1">
        <f t="array" ref="AC1420">100000000/LvacE(AA1420)</f>
        <v>25574.765877466452</v>
      </c>
      <c r="AD1420" s="10">
        <f t="shared" si="771"/>
        <v>8.2712695708728416E-3</v>
      </c>
      <c r="AE1420" s="10" t="b">
        <f t="shared" si="772"/>
        <v>1</v>
      </c>
      <c r="AP1420"/>
      <c r="AQ1420"/>
      <c r="AU1420" s="16" cm="1">
        <f t="array" ref="AU1420">$C1420*EXP(poly_from_str(100000000/$E1420,AU$4342))</f>
        <v>9.4961809913725589E-2</v>
      </c>
    </row>
    <row r="1421" spans="1:48" x14ac:dyDescent="0.25">
      <c r="A1421">
        <v>3905.3409999999999</v>
      </c>
      <c r="B1421" s="2" t="str">
        <f t="shared" si="768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773">$G1421&amp;""</f>
        <v>e</v>
      </c>
      <c r="N1421" t="str">
        <f t="shared" ref="N1421:N1422" si="774">$H1421&amp;""</f>
        <v>13/2</v>
      </c>
      <c r="O1421">
        <v>62240.83</v>
      </c>
      <c r="P1421" t="str">
        <f t="shared" ref="P1421:P1422" si="775">$J1421&amp;""</f>
        <v>o</v>
      </c>
      <c r="Q1421" t="str">
        <f t="shared" ref="Q1421:Q1422" si="776">$K1421&amp;""</f>
        <v>11/2</v>
      </c>
      <c r="R1421">
        <v>14</v>
      </c>
      <c r="AA1421" s="10">
        <f t="shared" si="769"/>
        <v>3905.3409999999999</v>
      </c>
      <c r="AB1421" s="3">
        <f t="shared" si="770"/>
        <v>25598.71</v>
      </c>
      <c r="AC1421" s="3" cm="1">
        <f t="array" ref="AC1421">100000000/LvacE(AA1421)</f>
        <v>25598.707250027393</v>
      </c>
      <c r="AD1421" s="10">
        <f t="shared" si="771"/>
        <v>8.2773971914395436E-3</v>
      </c>
      <c r="AE1421" s="10" t="b">
        <f t="shared" si="772"/>
        <v>1</v>
      </c>
      <c r="AJ1421" t="s">
        <v>4793</v>
      </c>
      <c r="AK1421" t="s">
        <v>4892</v>
      </c>
      <c r="AL1421">
        <v>36642.129999999997</v>
      </c>
      <c r="AM1421">
        <v>62240.83</v>
      </c>
      <c r="AN1421" s="10" cm="1">
        <f t="array" ref="AN1421">Lair(100000000/($AM1421-$AL1421))</f>
        <v>3905.3421018729932</v>
      </c>
      <c r="AO1421" s="10">
        <f t="shared" ref="AO1421:AO1422" si="777">100000000/($AM1421-$AL1421)</f>
        <v>3906.4483743315081</v>
      </c>
      <c r="AP1421" s="12">
        <v>2480000</v>
      </c>
      <c r="AQ1421" s="3">
        <v>8.2000000000000003E-2</v>
      </c>
      <c r="AR1421" s="3">
        <f>LN(AU1421*100000000/($AM1421-$AL1421)/AP1421)</f>
        <v>-6.4903818188435425</v>
      </c>
      <c r="AS1421" s="13">
        <f t="shared" ref="AS1421:AS1422" si="778">EXP(AR$4341*$AM1421+AR$4342)*$AP1421/(100000000/($AM1421-$AL1421))</f>
        <v>0.52551742534480439</v>
      </c>
      <c r="AT1421" s="3">
        <f t="shared" ref="AT1421" si="779">LN(AS1421/$C1421)</f>
        <v>-2.9459570226565082</v>
      </c>
      <c r="AU1421" s="16" cm="1">
        <f t="array" ref="AU1421">$C1421*EXP(poly_from_str(100000000/$E1421,AU$4342))</f>
        <v>0.96367941500808751</v>
      </c>
      <c r="AV1421" s="13">
        <f>LN(AS1421/AU1421)</f>
        <v>-0.60637533293596158</v>
      </c>
    </row>
    <row r="1422" spans="1:48" x14ac:dyDescent="0.25">
      <c r="A1422">
        <v>3899</v>
      </c>
      <c r="B1422" s="2" t="str">
        <f t="shared" si="768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773"/>
        <v>e</v>
      </c>
      <c r="N1422" t="str">
        <f t="shared" si="774"/>
        <v>5/2</v>
      </c>
      <c r="O1422">
        <v>53092.800000000003</v>
      </c>
      <c r="P1422" t="str">
        <f t="shared" si="775"/>
        <v>o</v>
      </c>
      <c r="Q1422" t="str">
        <f t="shared" si="776"/>
        <v>7/2</v>
      </c>
      <c r="R1422">
        <v>14</v>
      </c>
      <c r="AA1422" s="10">
        <f t="shared" si="769"/>
        <v>3899</v>
      </c>
      <c r="AB1422" s="3">
        <f t="shared" si="770"/>
        <v>25640.34</v>
      </c>
      <c r="AC1422" s="3" cm="1">
        <f t="array" ref="AC1422">100000000/LvacE(AA1422)</f>
        <v>25640.33785017873</v>
      </c>
      <c r="AD1422" s="10">
        <f t="shared" si="771"/>
        <v>8.2880658951242289E-3</v>
      </c>
      <c r="AE1422" s="10" t="b">
        <f t="shared" si="772"/>
        <v>1</v>
      </c>
      <c r="AJ1422" t="s">
        <v>4783</v>
      </c>
      <c r="AK1422" t="s">
        <v>4814</v>
      </c>
      <c r="AL1422">
        <v>27452.45</v>
      </c>
      <c r="AM1422">
        <v>53092.800000000003</v>
      </c>
      <c r="AN1422" s="10" cm="1">
        <f t="array" ref="AN1422">Lair(100000000/($AM1422-$AL1422))</f>
        <v>3898.9981481497703</v>
      </c>
      <c r="AO1422" s="10">
        <f t="shared" si="777"/>
        <v>3900.1027677079287</v>
      </c>
      <c r="AP1422" s="12">
        <v>945000</v>
      </c>
      <c r="AQ1422" s="3">
        <v>1.4E-2</v>
      </c>
      <c r="AR1422" s="3"/>
      <c r="AS1422" s="13">
        <f t="shared" si="778"/>
        <v>0.3985010615269175</v>
      </c>
      <c r="AT1422" s="3"/>
      <c r="AU1422" s="16" cm="1">
        <f t="array" ref="AU1422">$C1422*EXP(poly_from_str(100000000/$E1422,AU$4342))</f>
        <v>0.69211741495353363</v>
      </c>
    </row>
    <row r="1423" spans="1:48" x14ac:dyDescent="0.25">
      <c r="A1423">
        <v>3896.3670000000002</v>
      </c>
      <c r="B1423" s="2" t="str">
        <f t="shared" si="768"/>
        <v/>
      </c>
      <c r="C1423">
        <v>2</v>
      </c>
      <c r="D1423" t="s">
        <v>1156</v>
      </c>
      <c r="E1423">
        <v>25657.66</v>
      </c>
      <c r="R1423">
        <v>14</v>
      </c>
      <c r="S1423" t="s">
        <v>22</v>
      </c>
      <c r="AA1423" s="10">
        <f t="shared" si="769"/>
        <v>3896.3670000000002</v>
      </c>
      <c r="AB1423" s="3">
        <f t="shared" si="770"/>
        <v>25657.66</v>
      </c>
      <c r="AC1423" s="3" cm="1">
        <f t="array" ref="AC1423">100000000/LvacE(AA1423)</f>
        <v>25657.664110888094</v>
      </c>
      <c r="AD1423" s="10">
        <f t="shared" si="771"/>
        <v>8.2925112176147793E-3</v>
      </c>
      <c r="AE1423" s="10" t="b">
        <f t="shared" si="772"/>
        <v>1</v>
      </c>
      <c r="AP1423"/>
      <c r="AQ1423"/>
      <c r="AU1423" s="16" cm="1">
        <f t="array" ref="AU1423">$C1423*EXP(poly_from_str(100000000/$E1423,AU$4342))</f>
        <v>0.19987927733187894</v>
      </c>
    </row>
    <row r="1424" spans="1:48" x14ac:dyDescent="0.25">
      <c r="A1424">
        <v>3891.328</v>
      </c>
      <c r="B1424" s="2" t="str">
        <f t="shared" si="768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769"/>
        <v>3891.328</v>
      </c>
      <c r="AB1424" s="3">
        <f t="shared" si="770"/>
        <v>25690.89</v>
      </c>
      <c r="AC1424" s="3" cm="1">
        <f t="array" ref="AC1424">100000000/LvacE(AA1424)</f>
        <v>25690.888247855768</v>
      </c>
      <c r="AD1424" s="10">
        <f t="shared" si="771"/>
        <v>8.3010437886315118E-3</v>
      </c>
      <c r="AE1424" s="10" t="b">
        <f t="shared" si="772"/>
        <v>1</v>
      </c>
      <c r="AP1424"/>
      <c r="AQ1424"/>
      <c r="AU1424" s="16" cm="1">
        <f t="array" ref="AU1424">$C1424*EXP(poly_from_str(100000000/$E1424,AU$4342))</f>
        <v>0</v>
      </c>
    </row>
    <row r="1425" spans="1:48" x14ac:dyDescent="0.25">
      <c r="A1425">
        <v>3891.2710000000002</v>
      </c>
      <c r="B1425" s="2" t="str">
        <f t="shared" si="768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769"/>
        <v>3891.2710000000002</v>
      </c>
      <c r="AB1425" s="3">
        <f t="shared" si="770"/>
        <v>25691.26</v>
      </c>
      <c r="AC1425" s="3" cm="1">
        <f t="array" ref="AC1425">100000000/LvacE(AA1425)</f>
        <v>25691.264563751622</v>
      </c>
      <c r="AD1425" s="10">
        <f t="shared" si="771"/>
        <v>8.3011404967363658E-3</v>
      </c>
      <c r="AE1425" s="10" t="b">
        <f t="shared" si="772"/>
        <v>1</v>
      </c>
      <c r="AP1425"/>
      <c r="AQ1425"/>
      <c r="AU1425" s="16" cm="1">
        <f t="array" ref="AU1425">$C1425*EXP(poly_from_str(100000000/$E1425,AU$4342))</f>
        <v>0</v>
      </c>
    </row>
    <row r="1426" spans="1:48" x14ac:dyDescent="0.25">
      <c r="A1426">
        <v>3891.1950000000002</v>
      </c>
      <c r="B1426" s="2" t="str">
        <f t="shared" si="768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769"/>
        <v>3891.1950000000002</v>
      </c>
      <c r="AB1426" s="3">
        <f t="shared" si="770"/>
        <v>25691.77</v>
      </c>
      <c r="AC1426" s="3" cm="1">
        <f t="array" ref="AC1426">100000000/LvacE(AA1426)</f>
        <v>25691.766335428616</v>
      </c>
      <c r="AD1426" s="10">
        <f t="shared" si="771"/>
        <v>8.3012694474870335E-3</v>
      </c>
      <c r="AE1426" s="10" t="b">
        <f t="shared" si="772"/>
        <v>1</v>
      </c>
      <c r="AJ1426" t="s">
        <v>4971</v>
      </c>
      <c r="AK1426" t="s">
        <v>4860</v>
      </c>
      <c r="AL1426">
        <v>45844.65</v>
      </c>
      <c r="AM1426">
        <v>71536.38</v>
      </c>
      <c r="AN1426" s="10" cm="1">
        <f t="array" ref="AN1426">Lair(100000000/($AM1426-$AL1426))</f>
        <v>3891.200499104682</v>
      </c>
      <c r="AO1426" s="10">
        <f>100000000/($AM1426-$AL1426)</f>
        <v>3892.3030874137316</v>
      </c>
      <c r="AP1426" s="12">
        <v>15100000</v>
      </c>
      <c r="AQ1426" s="3">
        <v>0.35599999999999998</v>
      </c>
      <c r="AR1426" s="3">
        <f>LN(AU1426*100000000/($AM1426-$AL1426)/AP1426)</f>
        <v>-8.4660163682696989</v>
      </c>
      <c r="AS1426" s="13">
        <f>EXP(AR$4341*$AM1426+AR$4342)*$AP1426/(100000000/($AM1426-$AL1426))</f>
        <v>1.5985403417134432</v>
      </c>
      <c r="AT1426" s="3">
        <f>LN(AS1426/$C1426)</f>
        <v>-1.6103506152497244</v>
      </c>
      <c r="AU1426" s="16" cm="1">
        <f t="array" ref="AU1426">$C1426*EXP(poly_from_str(100000000/$E1426,AU$4342))</f>
        <v>0.8166314551185726</v>
      </c>
      <c r="AV1426" s="13">
        <f>LN(AS1426/AU1426)</f>
        <v>0.67165830765245438</v>
      </c>
    </row>
    <row r="1427" spans="1:48" x14ac:dyDescent="0.25">
      <c r="A1427">
        <v>3887.7890000000002</v>
      </c>
      <c r="B1427" s="2" t="str">
        <f t="shared" si="768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769"/>
        <v>3887.7890000000002</v>
      </c>
      <c r="AB1427" s="3">
        <f t="shared" si="770"/>
        <v>25714.27</v>
      </c>
      <c r="AC1427" s="3" cm="1">
        <f t="array" ref="AC1427">100000000/LvacE(AA1427)</f>
        <v>25714.273768691724</v>
      </c>
      <c r="AD1427" s="10">
        <f t="shared" si="771"/>
        <v>8.3070562431103809E-3</v>
      </c>
      <c r="AE1427" s="10" t="b">
        <f t="shared" si="772"/>
        <v>1</v>
      </c>
      <c r="AP1427"/>
      <c r="AQ1427"/>
      <c r="AU1427" s="16" cm="1">
        <f t="array" ref="AU1427">$C1427*EXP(poly_from_str(100000000/$E1427,AU$4342))</f>
        <v>0.31055964307439221</v>
      </c>
    </row>
    <row r="1428" spans="1:48" x14ac:dyDescent="0.25">
      <c r="A1428">
        <v>3884.962</v>
      </c>
      <c r="B1428" s="2" t="str">
        <f t="shared" si="768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769"/>
        <v>3884.962</v>
      </c>
      <c r="AB1428" s="3">
        <f t="shared" si="770"/>
        <v>25732.98</v>
      </c>
      <c r="AC1428" s="3" cm="1">
        <f t="array" ref="AC1428">100000000/LvacE(AA1428)</f>
        <v>25732.985041462016</v>
      </c>
      <c r="AD1428" s="10">
        <f t="shared" si="771"/>
        <v>8.3118708807785012E-3</v>
      </c>
      <c r="AE1428" s="10" t="b">
        <f t="shared" si="772"/>
        <v>1</v>
      </c>
      <c r="AJ1428" t="s">
        <v>4815</v>
      </c>
      <c r="AK1428" t="s">
        <v>4775</v>
      </c>
      <c r="AL1428">
        <v>10950.24</v>
      </c>
      <c r="AM1428">
        <v>36683.21</v>
      </c>
      <c r="AN1428" s="10" cm="1">
        <f t="array" ref="AN1428">Lair(100000000/($AM1428-$AL1428))</f>
        <v>3884.9642665867914</v>
      </c>
      <c r="AO1428" s="10">
        <f>100000000/($AM1428-$AL1428)</f>
        <v>3886.0652307137493</v>
      </c>
      <c r="AU1428" s="16" cm="1">
        <f t="array" ref="AU1428">$C1428*EXP(poly_from_str(100000000/$E1428,AU$4342))</f>
        <v>1.0473642012187747</v>
      </c>
    </row>
    <row r="1429" spans="1:48" x14ac:dyDescent="0.25">
      <c r="A1429">
        <v>3884.0320000000002</v>
      </c>
      <c r="B1429" s="2" t="str">
        <f t="shared" si="768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769"/>
        <v>3884.0320000000002</v>
      </c>
      <c r="AB1429" s="3">
        <f t="shared" si="770"/>
        <v>25739.15</v>
      </c>
      <c r="AC1429" s="3" cm="1">
        <f t="array" ref="AC1429">100000000/LvacE(AA1429)</f>
        <v>25739.146454759426</v>
      </c>
      <c r="AD1429" s="10">
        <f t="shared" si="771"/>
        <v>8.3134570537471662E-3</v>
      </c>
      <c r="AE1429" s="10" t="b">
        <f t="shared" si="772"/>
        <v>1</v>
      </c>
      <c r="AP1429"/>
      <c r="AQ1429"/>
      <c r="AU1429" s="16" cm="1">
        <f t="array" ref="AU1429">$C1429*EXP(poly_from_str(100000000/$E1429,AU$4342))</f>
        <v>0.21028255511818333</v>
      </c>
    </row>
    <row r="1430" spans="1:48" x14ac:dyDescent="0.25">
      <c r="A1430">
        <v>3883.335</v>
      </c>
      <c r="B1430" s="2" t="str">
        <f t="shared" si="768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769"/>
        <v>3883.335</v>
      </c>
      <c r="AB1430" s="3">
        <f t="shared" si="770"/>
        <v>25743.77</v>
      </c>
      <c r="AC1430" s="3" cm="1">
        <f t="array" ref="AC1430">100000000/LvacE(AA1430)</f>
        <v>25743.766136768645</v>
      </c>
      <c r="AD1430" s="10">
        <f t="shared" si="771"/>
        <v>8.3146465778472164E-3</v>
      </c>
      <c r="AE1430" s="10" t="b">
        <f t="shared" si="772"/>
        <v>1</v>
      </c>
      <c r="AP1430"/>
      <c r="AQ1430"/>
      <c r="AU1430" s="16" cm="1">
        <f t="array" ref="AU1430">$C1430*EXP(poly_from_str(100000000/$E1430,AU$4342))</f>
        <v>0.21089126020741647</v>
      </c>
    </row>
    <row r="1431" spans="1:48" x14ac:dyDescent="0.25">
      <c r="A1431">
        <v>3881.5709999999999</v>
      </c>
      <c r="B1431" s="2" t="str">
        <f t="shared" si="768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769"/>
        <v>3881.5709999999999</v>
      </c>
      <c r="AB1431" s="3">
        <f t="shared" si="770"/>
        <v>25755.46</v>
      </c>
      <c r="AC1431" s="3" cm="1">
        <f t="array" ref="AC1431">100000000/LvacE(AA1431)</f>
        <v>25755.465255259183</v>
      </c>
      <c r="AD1431" s="10">
        <f t="shared" si="771"/>
        <v>8.3176599442930689E-3</v>
      </c>
      <c r="AE1431" s="10" t="b">
        <f t="shared" si="772"/>
        <v>1</v>
      </c>
      <c r="AP1431"/>
      <c r="AQ1431"/>
      <c r="AU1431" s="16" cm="1">
        <f t="array" ref="AU1431">$C1431*EXP(poly_from_str(100000000/$E1431,AU$4342))</f>
        <v>0.10622035016189096</v>
      </c>
    </row>
    <row r="1432" spans="1:48" x14ac:dyDescent="0.25">
      <c r="A1432">
        <v>3881.29</v>
      </c>
      <c r="B1432" s="2" t="str">
        <f t="shared" si="768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769"/>
        <v>3881.29</v>
      </c>
      <c r="AB1432" s="3">
        <f t="shared" si="770"/>
        <v>25757.33</v>
      </c>
      <c r="AC1432" s="3" cm="1">
        <f t="array" ref="AC1432">100000000/LvacE(AA1432)</f>
        <v>25757.329872235117</v>
      </c>
      <c r="AD1432" s="10">
        <f t="shared" si="771"/>
        <v>8.3181403440911548E-3</v>
      </c>
      <c r="AE1432" s="10" t="b">
        <f t="shared" si="772"/>
        <v>1</v>
      </c>
      <c r="AP1432"/>
      <c r="AQ1432"/>
      <c r="AU1432" s="16" cm="1">
        <f t="array" ref="AU1432">$C1432*EXP(poly_from_str(100000000/$E1432,AU$4342))</f>
        <v>0.21268978982695444</v>
      </c>
    </row>
    <row r="1433" spans="1:48" x14ac:dyDescent="0.25">
      <c r="A1433">
        <v>3880.3119999999999</v>
      </c>
      <c r="B1433" s="2" t="str">
        <f t="shared" si="768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769"/>
        <v>3880.3119999999999</v>
      </c>
      <c r="AB1433" s="3">
        <f t="shared" si="770"/>
        <v>25763.82</v>
      </c>
      <c r="AC1433" s="3" cm="1">
        <f t="array" ref="AC1433">100000000/LvacE(AA1433)</f>
        <v>25763.821641135946</v>
      </c>
      <c r="AD1433" s="10">
        <f t="shared" si="771"/>
        <v>8.3198131543463453E-3</v>
      </c>
      <c r="AE1433" s="10" t="b">
        <f t="shared" si="772"/>
        <v>1</v>
      </c>
      <c r="AP1433"/>
      <c r="AQ1433"/>
      <c r="AU1433" s="16" cm="1">
        <f t="array" ref="AU1433">$C1433*EXP(poly_from_str(100000000/$E1433,AU$4342))</f>
        <v>0.32033538521144511</v>
      </c>
    </row>
    <row r="1434" spans="1:48" x14ac:dyDescent="0.25">
      <c r="A1434">
        <v>3879.95</v>
      </c>
      <c r="B1434" s="2" t="str">
        <f t="shared" si="768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769"/>
        <v>3879.95</v>
      </c>
      <c r="AB1434" s="3">
        <f t="shared" si="770"/>
        <v>25766.23</v>
      </c>
      <c r="AC1434" s="3" cm="1">
        <f t="array" ref="AC1434">100000000/LvacE(AA1434)</f>
        <v>25766.225354762719</v>
      </c>
      <c r="AD1434" s="10">
        <f t="shared" si="771"/>
        <v>8.320432654385073E-3</v>
      </c>
      <c r="AE1434" s="10" t="b">
        <f t="shared" si="772"/>
        <v>1</v>
      </c>
      <c r="AP1434"/>
      <c r="AQ1434"/>
      <c r="AU1434" s="16" cm="1">
        <f t="array" ref="AU1434">$C1434*EXP(poly_from_str(100000000/$E1434,AU$4342))</f>
        <v>0.21387997376709852</v>
      </c>
    </row>
    <row r="1435" spans="1:48" x14ac:dyDescent="0.25">
      <c r="A1435">
        <v>3878.7379999999998</v>
      </c>
      <c r="B1435" s="2" t="str">
        <f t="shared" si="768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769"/>
        <v>3878.7379999999998</v>
      </c>
      <c r="AB1435" s="3">
        <f t="shared" si="770"/>
        <v>25774.28</v>
      </c>
      <c r="AC1435" s="3" cm="1">
        <f t="array" ref="AC1435">100000000/LvacE(AA1435)</f>
        <v>25774.276413035484</v>
      </c>
      <c r="AD1435" s="10">
        <f t="shared" si="771"/>
        <v>8.3225080442447374E-3</v>
      </c>
      <c r="AE1435" s="10" t="b">
        <f t="shared" si="772"/>
        <v>1</v>
      </c>
      <c r="AP1435"/>
      <c r="AQ1435"/>
      <c r="AU1435" s="16" cm="1">
        <f t="array" ref="AU1435">$C1435*EXP(poly_from_str(100000000/$E1435,AU$4342))</f>
        <v>0.21496317151418914</v>
      </c>
    </row>
    <row r="1436" spans="1:48" x14ac:dyDescent="0.25">
      <c r="A1436">
        <v>3877.8209999999999</v>
      </c>
      <c r="B1436" s="2" t="str">
        <f t="shared" si="768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769"/>
        <v>3877.8209999999999</v>
      </c>
      <c r="AB1436" s="3">
        <f t="shared" si="770"/>
        <v>25780.37</v>
      </c>
      <c r="AC1436" s="3" cm="1">
        <f t="array" ref="AC1436">100000000/LvacE(AA1436)</f>
        <v>25780.371193231069</v>
      </c>
      <c r="AD1436" s="10">
        <f t="shared" si="771"/>
        <v>8.3240795788705919E-3</v>
      </c>
      <c r="AE1436" s="10" t="b">
        <f t="shared" si="772"/>
        <v>1</v>
      </c>
      <c r="AP1436"/>
      <c r="AQ1436"/>
      <c r="AU1436" s="16" cm="1">
        <f t="array" ref="AU1436">$C1436*EXP(poly_from_str(100000000/$E1436,AU$4342))</f>
        <v>0.10789343532274963</v>
      </c>
    </row>
    <row r="1437" spans="1:48" x14ac:dyDescent="0.25">
      <c r="A1437">
        <v>3876.7809999999999</v>
      </c>
      <c r="B1437" s="2" t="str">
        <f t="shared" si="768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769"/>
        <v>3876.7809999999999</v>
      </c>
      <c r="AB1437" s="3">
        <f t="shared" si="770"/>
        <v>25787.29</v>
      </c>
      <c r="AC1437" s="3" cm="1">
        <f t="array" ref="AC1437">100000000/LvacE(AA1437)</f>
        <v>25787.286974032791</v>
      </c>
      <c r="AD1437" s="10">
        <f t="shared" si="771"/>
        <v>8.3258632579494164E-3</v>
      </c>
      <c r="AE1437" s="10" t="b">
        <f t="shared" si="772"/>
        <v>1</v>
      </c>
      <c r="AJ1437" t="s">
        <v>4816</v>
      </c>
      <c r="AK1437" t="s">
        <v>4842</v>
      </c>
      <c r="AL1437">
        <v>38448.379999999997</v>
      </c>
      <c r="AM1437">
        <v>64235.61</v>
      </c>
      <c r="AN1437" s="10" cm="1">
        <f t="array" ref="AN1437">Lair(100000000/($AM1437-$AL1437))</f>
        <v>3876.7895611736176</v>
      </c>
      <c r="AO1437" s="10">
        <f>100000000/($AM1437-$AL1437)</f>
        <v>3877.8883966986755</v>
      </c>
      <c r="AP1437" s="12">
        <v>5470000</v>
      </c>
      <c r="AQ1437" s="3">
        <v>0.129</v>
      </c>
      <c r="AR1437" s="3">
        <f>LN(AU1437*100000000/($AM1437-$AL1437)/AP1437)</f>
        <v>-8.3753935083736106</v>
      </c>
      <c r="AS1437" s="13">
        <f>EXP(AR$4341*$AM1437+AR$4342)*$AP1437/(100000000/($AM1437-$AL1437))</f>
        <v>1.0052981760775457</v>
      </c>
      <c r="AT1437" s="3">
        <f>LN(AS1437/$C1437)</f>
        <v>-1.0933280985471474</v>
      </c>
      <c r="AU1437" s="16" cm="1">
        <f t="array" ref="AU1437">$C1437*EXP(poly_from_str(100000000/$E1437,AU$4342))</f>
        <v>0.32509091711900995</v>
      </c>
      <c r="AV1437" s="13">
        <f>LN(AS1437/AU1437)</f>
        <v>1.1289345809131244</v>
      </c>
    </row>
    <row r="1438" spans="1:48" x14ac:dyDescent="0.25">
      <c r="A1438">
        <v>3876.7069999999999</v>
      </c>
      <c r="B1438" s="2" t="str">
        <f t="shared" si="768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769"/>
        <v>3876.7069999999999</v>
      </c>
      <c r="AB1438" s="3">
        <f t="shared" si="770"/>
        <v>25787.78</v>
      </c>
      <c r="AC1438" s="3" cm="1">
        <f t="array" ref="AC1438">100000000/LvacE(AA1438)</f>
        <v>25787.779199834698</v>
      </c>
      <c r="AD1438" s="10">
        <f t="shared" si="771"/>
        <v>8.3259902282832692E-3</v>
      </c>
      <c r="AE1438" s="10" t="b">
        <f t="shared" si="772"/>
        <v>1</v>
      </c>
      <c r="AP1438"/>
      <c r="AQ1438"/>
      <c r="AU1438" s="16" cm="1">
        <f t="array" ref="AU1438">$C1438*EXP(poly_from_str(100000000/$E1438,AU$4342))</f>
        <v>0.32519107116749307</v>
      </c>
    </row>
    <row r="1439" spans="1:48" x14ac:dyDescent="0.25">
      <c r="A1439">
        <v>3875.5369999999998</v>
      </c>
      <c r="B1439" s="2" t="str">
        <f t="shared" si="768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769"/>
        <v>3875.5369999999998</v>
      </c>
      <c r="AB1439" s="3">
        <f t="shared" si="770"/>
        <v>25795.56</v>
      </c>
      <c r="AC1439" s="3" cm="1">
        <f t="array" ref="AC1439">100000000/LvacE(AA1439)</f>
        <v>25795.564186854408</v>
      </c>
      <c r="AD1439" s="10">
        <f t="shared" si="771"/>
        <v>8.3279986988712036E-3</v>
      </c>
      <c r="AE1439" s="10" t="b">
        <f t="shared" si="772"/>
        <v>1</v>
      </c>
      <c r="AJ1439" t="s">
        <v>4812</v>
      </c>
      <c r="AK1439" t="s">
        <v>4773</v>
      </c>
      <c r="AL1439">
        <v>10032.92</v>
      </c>
      <c r="AM1439">
        <v>35828.46</v>
      </c>
      <c r="AN1439" s="10" cm="1">
        <f t="array" ref="AN1439">Lair(100000000/($AM1439-$AL1439))</f>
        <v>3875.5406295827734</v>
      </c>
      <c r="AO1439" s="10">
        <f>100000000/($AM1439-$AL1439)</f>
        <v>3876.6391399443469</v>
      </c>
      <c r="AP1439" s="12">
        <v>180000</v>
      </c>
      <c r="AQ1439" s="3">
        <v>3.0000000000000001E-3</v>
      </c>
      <c r="AR1439" s="3"/>
      <c r="AS1439" s="13">
        <f>EXP(AR$4341*$AM1439+AR$4342)*$AP1439/(100000000/($AM1439-$AL1439))</f>
        <v>0.27898253749072821</v>
      </c>
      <c r="AT1439" s="3"/>
      <c r="AU1439" s="16" cm="1">
        <f t="array" ref="AU1439">$C1439*EXP(poly_from_str(100000000/$E1439,AU$4342))</f>
        <v>0.10892868863409332</v>
      </c>
    </row>
    <row r="1440" spans="1:48" x14ac:dyDescent="0.25">
      <c r="A1440">
        <v>3871.3580000000002</v>
      </c>
      <c r="B1440" s="2" t="str">
        <f t="shared" si="768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769"/>
        <v>3871.3580000000002</v>
      </c>
      <c r="AB1440" s="3">
        <f t="shared" si="770"/>
        <v>25823.41</v>
      </c>
      <c r="AC1440" s="3" cm="1">
        <f t="array" ref="AC1440">100000000/LvacE(AA1440)</f>
        <v>25823.40898178934</v>
      </c>
      <c r="AD1440" s="10">
        <f t="shared" si="771"/>
        <v>8.3351874176696324E-3</v>
      </c>
      <c r="AE1440" s="10" t="b">
        <f t="shared" si="772"/>
        <v>1</v>
      </c>
      <c r="AP1440"/>
      <c r="AQ1440"/>
      <c r="AU1440" s="16" cm="1">
        <f t="array" ref="AU1440">$C1440*EXP(poly_from_str(100000000/$E1440,AU$4342))</f>
        <v>0.22171340067845763</v>
      </c>
    </row>
    <row r="1441" spans="1:48" x14ac:dyDescent="0.25">
      <c r="A1441">
        <v>3868.3910000000001</v>
      </c>
      <c r="B1441" s="2" t="str">
        <f t="shared" si="768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769"/>
        <v>3868.3910000000001</v>
      </c>
      <c r="AB1441" s="3">
        <f t="shared" si="770"/>
        <v>25843.21</v>
      </c>
      <c r="AC1441" s="3" cm="1">
        <f t="array" ref="AC1441">100000000/LvacE(AA1441)</f>
        <v>25843.214704387465</v>
      </c>
      <c r="AD1441" s="10">
        <f t="shared" si="771"/>
        <v>8.3403054014430621E-3</v>
      </c>
      <c r="AE1441" s="10" t="b">
        <f t="shared" si="772"/>
        <v>1</v>
      </c>
      <c r="AP1441"/>
      <c r="AQ1441"/>
      <c r="AU1441" s="16" cm="1">
        <f t="array" ref="AU1441">$C1441*EXP(poly_from_str(100000000/$E1441,AU$4342))</f>
        <v>0.11225126914553242</v>
      </c>
    </row>
    <row r="1442" spans="1:48" x14ac:dyDescent="0.25">
      <c r="A1442">
        <v>3866.8029999999999</v>
      </c>
      <c r="B1442" s="2" t="str">
        <f t="shared" si="768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769"/>
        <v>3866.8029999999999</v>
      </c>
      <c r="AB1442" s="3">
        <f t="shared" si="770"/>
        <v>25853.83</v>
      </c>
      <c r="AC1442" s="3" cm="1">
        <f t="array" ref="AC1442">100000000/LvacE(AA1442)</f>
        <v>25853.827624902795</v>
      </c>
      <c r="AD1442" s="10">
        <f t="shared" si="771"/>
        <v>8.3430494939750986E-3</v>
      </c>
      <c r="AE1442" s="10" t="b">
        <f t="shared" si="772"/>
        <v>1</v>
      </c>
      <c r="AP1442"/>
      <c r="AQ1442"/>
      <c r="AU1442" s="16" cm="1">
        <f t="array" ref="AU1442">$C1442*EXP(poly_from_str(100000000/$E1442,AU$4342))</f>
        <v>0.11300752154552486</v>
      </c>
    </row>
    <row r="1443" spans="1:48" x14ac:dyDescent="0.25">
      <c r="A1443">
        <v>3865.8649999999998</v>
      </c>
      <c r="B1443" s="2" t="str">
        <f t="shared" si="768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769"/>
        <v>3865.8649999999998</v>
      </c>
      <c r="AB1443" s="3">
        <f t="shared" si="770"/>
        <v>25860.1</v>
      </c>
      <c r="AC1443" s="3" cm="1">
        <f t="array" ref="AC1443">100000000/LvacE(AA1443)</f>
        <v>25860.100561838335</v>
      </c>
      <c r="AD1443" s="10">
        <f t="shared" si="771"/>
        <v>8.3446719636922576E-3</v>
      </c>
      <c r="AE1443" s="10" t="b">
        <f t="shared" si="772"/>
        <v>1</v>
      </c>
      <c r="AP1443"/>
      <c r="AQ1443"/>
      <c r="AU1443" s="16" cm="1">
        <f t="array" ref="AU1443">$C1443*EXP(poly_from_str(100000000/$E1443,AU$4342))</f>
        <v>0.22691346989181077</v>
      </c>
    </row>
    <row r="1444" spans="1:48" x14ac:dyDescent="0.25">
      <c r="A1444">
        <v>3863.4859999999999</v>
      </c>
      <c r="B1444" s="2" t="str">
        <f t="shared" si="768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769"/>
        <v>3863.4859999999999</v>
      </c>
      <c r="AB1444" s="3">
        <f t="shared" si="770"/>
        <v>25876.02</v>
      </c>
      <c r="AC1444" s="3" cm="1">
        <f t="array" ref="AC1444">100000000/LvacE(AA1444)</f>
        <v>25876.023940209645</v>
      </c>
      <c r="AD1444" s="10">
        <f t="shared" si="771"/>
        <v>8.3487922487890023E-3</v>
      </c>
      <c r="AE1444" s="10" t="b">
        <f t="shared" si="772"/>
        <v>1</v>
      </c>
      <c r="AP1444"/>
      <c r="AQ1444"/>
      <c r="AU1444" s="16" cm="1">
        <f t="array" ref="AU1444">$C1444*EXP(poly_from_str(100000000/$E1444,AU$4342))</f>
        <v>0.68763881775255165</v>
      </c>
    </row>
    <row r="1445" spans="1:48" x14ac:dyDescent="0.25">
      <c r="A1445">
        <v>3861.9549999999999</v>
      </c>
      <c r="B1445" s="2" t="str">
        <f t="shared" si="768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769"/>
        <v>3861.9549999999999</v>
      </c>
      <c r="AB1445" s="3">
        <f t="shared" si="770"/>
        <v>25886.28</v>
      </c>
      <c r="AC1445" s="3" cm="1">
        <f t="array" ref="AC1445">100000000/LvacE(AA1445)</f>
        <v>25886.28176842531</v>
      </c>
      <c r="AD1445" s="10">
        <f t="shared" si="771"/>
        <v>8.3514478765839215E-3</v>
      </c>
      <c r="AE1445" s="10" t="b">
        <f t="shared" si="772"/>
        <v>1</v>
      </c>
      <c r="AP1445"/>
      <c r="AQ1445"/>
      <c r="AU1445" s="16" cm="1">
        <f t="array" ref="AU1445">$C1445*EXP(poly_from_str(100000000/$E1445,AU$4342))</f>
        <v>0</v>
      </c>
    </row>
    <row r="1446" spans="1:48" x14ac:dyDescent="0.25">
      <c r="A1446">
        <v>3861.9070000000002</v>
      </c>
      <c r="B1446" s="2" t="str">
        <f t="shared" si="768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769"/>
        <v>3861.9070000000002</v>
      </c>
      <c r="AB1446" s="3">
        <f t="shared" si="770"/>
        <v>25886.6</v>
      </c>
      <c r="AC1446" s="3" cm="1">
        <f t="array" ref="AC1446">100000000/LvacE(AA1446)</f>
        <v>25886.603503932871</v>
      </c>
      <c r="AD1446" s="10">
        <f t="shared" si="771"/>
        <v>8.3515311870447518E-3</v>
      </c>
      <c r="AE1446" s="10" t="b">
        <f t="shared" si="772"/>
        <v>1</v>
      </c>
      <c r="AP1446"/>
      <c r="AQ1446"/>
      <c r="AU1446" s="16" cm="1">
        <f t="array" ref="AU1446">$C1446*EXP(poly_from_str(100000000/$E1446,AU$4342))</f>
        <v>0</v>
      </c>
    </row>
    <row r="1447" spans="1:48" x14ac:dyDescent="0.25">
      <c r="A1447">
        <v>3861.8530000000001</v>
      </c>
      <c r="B1447" s="2" t="str">
        <f t="shared" si="768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769"/>
        <v>3861.8530000000001</v>
      </c>
      <c r="AB1447" s="3">
        <f t="shared" si="770"/>
        <v>25886.97</v>
      </c>
      <c r="AC1447" s="3" cm="1">
        <f t="array" ref="AC1447">100000000/LvacE(AA1447)</f>
        <v>25886.965465938472</v>
      </c>
      <c r="AD1447" s="10">
        <f t="shared" si="771"/>
        <v>8.3516249150263448E-3</v>
      </c>
      <c r="AE1447" s="10" t="b">
        <f t="shared" si="772"/>
        <v>1</v>
      </c>
      <c r="AP1447"/>
      <c r="AQ1447"/>
      <c r="AU1447" s="16" cm="1">
        <f t="array" ref="AU1447">$C1447*EXP(poly_from_str(100000000/$E1447,AU$4342))</f>
        <v>0</v>
      </c>
    </row>
    <row r="1448" spans="1:48" x14ac:dyDescent="0.25">
      <c r="A1448">
        <v>3861.799</v>
      </c>
      <c r="B1448" s="2" t="str">
        <f t="shared" si="768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769"/>
        <v>3861.799</v>
      </c>
      <c r="AB1448" s="3">
        <f t="shared" si="770"/>
        <v>25887.33</v>
      </c>
      <c r="AC1448" s="3" cm="1">
        <f t="array" ref="AC1448">100000000/LvacE(AA1448)</f>
        <v>25887.327438066408</v>
      </c>
      <c r="AD1448" s="10">
        <f t="shared" si="771"/>
        <v>8.3517186469397302E-3</v>
      </c>
      <c r="AE1448" s="10" t="b">
        <f t="shared" si="772"/>
        <v>1</v>
      </c>
      <c r="AP1448"/>
      <c r="AQ1448"/>
      <c r="AU1448" s="16" cm="1">
        <f t="array" ref="AU1448">$C1448*EXP(poly_from_str(100000000/$E1448,AU$4342))</f>
        <v>6.9258778972411834</v>
      </c>
    </row>
    <row r="1449" spans="1:48" x14ac:dyDescent="0.25">
      <c r="A1449">
        <v>3860.623</v>
      </c>
      <c r="B1449" s="2" t="str">
        <f t="shared" si="768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769"/>
        <v>3860.623</v>
      </c>
      <c r="AB1449" s="3">
        <f t="shared" si="770"/>
        <v>25895.21</v>
      </c>
      <c r="AC1449" s="3" cm="1">
        <f t="array" ref="AC1449">100000000/LvacE(AA1449)</f>
        <v>25895.212898053283</v>
      </c>
      <c r="AD1449" s="10">
        <f t="shared" si="771"/>
        <v>8.353760895333899E-3</v>
      </c>
      <c r="AE1449" s="10" t="b">
        <f t="shared" si="772"/>
        <v>1</v>
      </c>
      <c r="AJ1449" t="s">
        <v>4805</v>
      </c>
      <c r="AK1449" t="s">
        <v>4839</v>
      </c>
      <c r="AL1449">
        <v>36640.379999999997</v>
      </c>
      <c r="AM1449">
        <v>62535.62</v>
      </c>
      <c r="AN1449" s="10" cm="1">
        <f t="array" ref="AN1449">Lair(100000000/($AM1449-$AL1449))</f>
        <v>3860.618954967455</v>
      </c>
      <c r="AO1449" s="10">
        <f>100000000/($AM1449-$AL1449)</f>
        <v>3861.7135813377276</v>
      </c>
      <c r="AP1449" s="12">
        <v>593000</v>
      </c>
      <c r="AQ1449" s="3">
        <v>2.4E-2</v>
      </c>
      <c r="AR1449" s="3"/>
      <c r="AS1449" s="13">
        <f>EXP(AR$4341*$AM1449+AR$4342)*$AP1449/(100000000/($AM1449-$AL1449))</f>
        <v>0.12433238130692431</v>
      </c>
      <c r="AT1449" s="3"/>
      <c r="AU1449" s="16" cm="1">
        <f t="array" ref="AU1449">$C1449*EXP(poly_from_str(100000000/$E1449,AU$4342))</f>
        <v>0.46403978791478834</v>
      </c>
    </row>
    <row r="1450" spans="1:48" x14ac:dyDescent="0.25">
      <c r="A1450">
        <v>3858.2489999999998</v>
      </c>
      <c r="B1450" s="2" t="str">
        <f t="shared" si="768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769"/>
        <v>3858.2489999999998</v>
      </c>
      <c r="AB1450" s="3">
        <f t="shared" si="770"/>
        <v>25911.15</v>
      </c>
      <c r="AC1450" s="3" cm="1">
        <f t="array" ref="AC1450">100000000/LvacE(AA1450)</f>
        <v>25911.145981234615</v>
      </c>
      <c r="AD1450" s="10">
        <f t="shared" si="771"/>
        <v>8.3578892887984438E-3</v>
      </c>
      <c r="AE1450" s="10" t="b">
        <f t="shared" si="772"/>
        <v>1</v>
      </c>
      <c r="AP1450"/>
      <c r="AQ1450"/>
      <c r="AU1450" s="16" cm="1">
        <f t="array" ref="AU1450">$C1450*EXP(poly_from_str(100000000/$E1450,AU$4342))</f>
        <v>0.70314293422992069</v>
      </c>
    </row>
    <row r="1451" spans="1:48" x14ac:dyDescent="0.25">
      <c r="A1451">
        <v>3857.4459999999999</v>
      </c>
      <c r="B1451" s="2" t="str">
        <f t="shared" si="768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780">$G1451&amp;""</f>
        <v>e</v>
      </c>
      <c r="N1451" t="str">
        <f t="shared" ref="N1451:N1453" si="781">$H1451&amp;""</f>
        <v>13/2</v>
      </c>
      <c r="O1451">
        <v>62558.67</v>
      </c>
      <c r="P1451" t="str">
        <f t="shared" ref="P1451:P1453" si="782">$J1451&amp;""</f>
        <v>o</v>
      </c>
      <c r="Q1451" t="str">
        <f t="shared" ref="Q1451:Q1453" si="783">$K1451&amp;""</f>
        <v>11/2</v>
      </c>
      <c r="R1451">
        <v>14</v>
      </c>
      <c r="AA1451" s="10">
        <f t="shared" si="769"/>
        <v>3857.4459999999999</v>
      </c>
      <c r="AB1451" s="3">
        <f t="shared" si="770"/>
        <v>25916.54</v>
      </c>
      <c r="AC1451" s="3" cm="1">
        <f t="array" ref="AC1451">100000000/LvacE(AA1451)</f>
        <v>25916.539748199473</v>
      </c>
      <c r="AD1451" s="10">
        <f t="shared" si="771"/>
        <v>8.3592874337319913E-3</v>
      </c>
      <c r="AE1451" s="10" t="b">
        <f t="shared" si="772"/>
        <v>1</v>
      </c>
      <c r="AJ1451" t="s">
        <v>4793</v>
      </c>
      <c r="AK1451" t="s">
        <v>4821</v>
      </c>
      <c r="AL1451">
        <v>36642.129999999997</v>
      </c>
      <c r="AM1451">
        <v>62558.67</v>
      </c>
      <c r="AN1451" s="10" cm="1">
        <f t="array" ref="AN1451">Lair(100000000/($AM1451-$AL1451))</f>
        <v>3857.4459580953185</v>
      </c>
      <c r="AO1451" s="10">
        <f t="shared" ref="AO1451:AO1453" si="784">100000000/($AM1451-$AL1451)</f>
        <v>3858.5397587795283</v>
      </c>
      <c r="AP1451" s="12">
        <v>12800000</v>
      </c>
      <c r="AQ1451" s="3">
        <v>0.251</v>
      </c>
      <c r="AR1451" s="3">
        <f t="shared" ref="AR1451:AR1452" si="785">LN(AU1451*100000000/($AM1451-$AL1451)/AP1451)</f>
        <v>-7.5393894698783086</v>
      </c>
      <c r="AS1451" s="13">
        <f t="shared" ref="AS1451:AS1453" si="786">EXP(AR$4341*$AM1451+AR$4342)*$AP1451/(100000000/($AM1451-$AL1451))</f>
        <v>2.6812996604379555</v>
      </c>
      <c r="AT1451" s="3">
        <f t="shared" ref="AT1451:AT1452" si="787">LN(AS1451/$C1451)</f>
        <v>-1.7217485762040774</v>
      </c>
      <c r="AU1451" s="16" cm="1">
        <f t="array" ref="AU1451">$C1451*EXP(poly_from_str(100000000/$E1451,AU$4342))</f>
        <v>1.7638910082348636</v>
      </c>
      <c r="AV1451" s="13">
        <f t="shared" ref="AV1451:AV1452" si="788">LN(AS1451/AU1451)</f>
        <v>0.41877945593734084</v>
      </c>
    </row>
    <row r="1452" spans="1:48" x14ac:dyDescent="0.25">
      <c r="A1452">
        <v>3845.0529999999999</v>
      </c>
      <c r="B1452" s="2" t="str">
        <f t="shared" si="768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780"/>
        <v>e</v>
      </c>
      <c r="N1452" t="str">
        <f t="shared" si="781"/>
        <v>5/2</v>
      </c>
      <c r="O1452">
        <v>60520.32</v>
      </c>
      <c r="P1452" t="str">
        <f t="shared" si="782"/>
        <v>o</v>
      </c>
      <c r="Q1452" t="str">
        <f t="shared" si="783"/>
        <v>7/2</v>
      </c>
      <c r="R1452">
        <v>14</v>
      </c>
      <c r="AA1452" s="10">
        <f t="shared" si="769"/>
        <v>3845.0529999999999</v>
      </c>
      <c r="AB1452" s="3">
        <f t="shared" si="770"/>
        <v>26000.07</v>
      </c>
      <c r="AC1452" s="3" cm="1">
        <f t="array" ref="AC1452">100000000/LvacE(AA1452)</f>
        <v>26000.06945333007</v>
      </c>
      <c r="AD1452" s="10">
        <f t="shared" si="771"/>
        <v>8.3809767320931691E-3</v>
      </c>
      <c r="AE1452" s="10" t="b">
        <f t="shared" si="772"/>
        <v>1</v>
      </c>
      <c r="AJ1452" t="s">
        <v>4722</v>
      </c>
      <c r="AK1452" t="s">
        <v>4730</v>
      </c>
      <c r="AL1452">
        <v>34520.269999999997</v>
      </c>
      <c r="AM1452">
        <v>60520.32</v>
      </c>
      <c r="AN1452" s="10" cm="1">
        <f t="array" ref="AN1452">Lair(100000000/($AM1452-$AL1452))</f>
        <v>3845.0558724725397</v>
      </c>
      <c r="AO1452" s="10">
        <f t="shared" si="784"/>
        <v>3846.1464497183656</v>
      </c>
      <c r="AP1452" s="12">
        <v>3770000</v>
      </c>
      <c r="AQ1452" s="3">
        <v>8.8999999999999996E-2</v>
      </c>
      <c r="AR1452" s="3">
        <f t="shared" si="785"/>
        <v>-7.3655722836634867</v>
      </c>
      <c r="AS1452" s="13">
        <f t="shared" si="786"/>
        <v>0.92322722358170672</v>
      </c>
      <c r="AT1452" s="3">
        <f t="shared" si="787"/>
        <v>-1.6893178078154285</v>
      </c>
      <c r="AU1452" s="16" cm="1">
        <f t="array" ref="AU1452">$C1452*EXP(poly_from_str(100000000/$E1452,AU$4342))</f>
        <v>0.62013770044381877</v>
      </c>
      <c r="AV1452" s="13">
        <f t="shared" si="788"/>
        <v>0.39793383273163774</v>
      </c>
    </row>
    <row r="1453" spans="1:48" x14ac:dyDescent="0.25">
      <c r="A1453">
        <v>3843.864</v>
      </c>
      <c r="B1453" s="2" t="str">
        <f t="shared" si="768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780"/>
        <v>e</v>
      </c>
      <c r="N1453" t="str">
        <f t="shared" si="781"/>
        <v>11/2</v>
      </c>
      <c r="O1453">
        <v>62678.7</v>
      </c>
      <c r="P1453" t="str">
        <f t="shared" si="782"/>
        <v>o</v>
      </c>
      <c r="Q1453" t="str">
        <f t="shared" si="783"/>
        <v>13/2</v>
      </c>
      <c r="R1453">
        <v>14</v>
      </c>
      <c r="AA1453" s="10">
        <f t="shared" si="769"/>
        <v>3843.864</v>
      </c>
      <c r="AB1453" s="3">
        <f t="shared" si="770"/>
        <v>26008.11</v>
      </c>
      <c r="AC1453" s="3" cm="1">
        <f t="array" ref="AC1453">100000000/LvacE(AA1453)</f>
        <v>26008.111713824634</v>
      </c>
      <c r="AD1453" s="10">
        <f t="shared" si="771"/>
        <v>8.3830686665585241E-3</v>
      </c>
      <c r="AE1453" s="10" t="b">
        <f t="shared" si="772"/>
        <v>1</v>
      </c>
      <c r="AJ1453" t="s">
        <v>4772</v>
      </c>
      <c r="AK1453" t="s">
        <v>4888</v>
      </c>
      <c r="AL1453">
        <v>36670.57</v>
      </c>
      <c r="AM1453">
        <v>62678.7</v>
      </c>
      <c r="AN1453" s="10" cm="1">
        <f t="array" ref="AN1453">Lair(100000000/($AM1453-$AL1453))</f>
        <v>3843.8612928540701</v>
      </c>
      <c r="AO1453" s="10">
        <f t="shared" si="784"/>
        <v>3844.9515593777796</v>
      </c>
      <c r="AP1453" s="12">
        <v>159000</v>
      </c>
      <c r="AQ1453" s="3">
        <v>3.1E-2</v>
      </c>
      <c r="AR1453" s="3"/>
      <c r="AS1453" s="13">
        <f t="shared" si="786"/>
        <v>3.3124745462820085E-2</v>
      </c>
      <c r="AT1453" s="3"/>
      <c r="AU1453" s="16" cm="1">
        <f t="array" ref="AU1453">$C1453*EXP(poly_from_str(100000000/$E1453,AU$4342))</f>
        <v>0.24933441268412393</v>
      </c>
    </row>
    <row r="1454" spans="1:48" x14ac:dyDescent="0.25">
      <c r="A1454">
        <v>3843.5949999999998</v>
      </c>
      <c r="B1454" s="2" t="str">
        <f t="shared" si="768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769"/>
        <v>3843.5949999999998</v>
      </c>
      <c r="AB1454" s="3">
        <f t="shared" si="770"/>
        <v>26009.93</v>
      </c>
      <c r="AC1454" s="3" cm="1">
        <f t="array" ref="AC1454">100000000/LvacE(AA1454)</f>
        <v>26009.931889330921</v>
      </c>
      <c r="AD1454" s="10">
        <f t="shared" si="771"/>
        <v>8.3835422162494913E-3</v>
      </c>
      <c r="AE1454" s="10" t="b">
        <f t="shared" si="772"/>
        <v>1</v>
      </c>
      <c r="AP1454"/>
      <c r="AQ1454"/>
      <c r="AU1454" s="16" cm="1">
        <f t="array" ref="AU1454">$C1454*EXP(poly_from_str(100000000/$E1454,AU$4342))</f>
        <v>0.24962501944534887</v>
      </c>
    </row>
    <row r="1455" spans="1:48" x14ac:dyDescent="0.25">
      <c r="A1455">
        <v>3839.66</v>
      </c>
      <c r="B1455" s="2" t="str">
        <f t="shared" si="768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769"/>
        <v>3839.66</v>
      </c>
      <c r="AB1455" s="3">
        <f t="shared" si="770"/>
        <v>26036.59</v>
      </c>
      <c r="AC1455" s="3" cm="1">
        <f t="array" ref="AC1455">100000000/LvacE(AA1455)</f>
        <v>26036.587028121245</v>
      </c>
      <c r="AD1455" s="10">
        <f t="shared" si="771"/>
        <v>8.3904808014409141E-3</v>
      </c>
      <c r="AE1455" s="10" t="b">
        <f t="shared" si="772"/>
        <v>1</v>
      </c>
      <c r="AJ1455" t="s">
        <v>4793</v>
      </c>
      <c r="AK1455" t="s">
        <v>4888</v>
      </c>
      <c r="AL1455">
        <v>36642.129999999997</v>
      </c>
      <c r="AM1455">
        <v>62678.7</v>
      </c>
      <c r="AN1455" s="10" cm="1">
        <f t="array" ref="AN1455">Lair(100000000/($AM1455-$AL1455))</f>
        <v>3839.6625067272421</v>
      </c>
      <c r="AO1455" s="10">
        <f>100000000/($AM1455-$AL1455)</f>
        <v>3840.7516811930295</v>
      </c>
      <c r="AP1455" s="12">
        <v>888000</v>
      </c>
      <c r="AQ1455" s="3">
        <v>4.4999999999999998E-2</v>
      </c>
      <c r="AR1455" s="3"/>
      <c r="AS1455" s="13">
        <f>EXP(AR$4341*$AM1455+AR$4342)*$AP1455/(100000000/($AM1455-$AL1455))</f>
        <v>0.18520087516071965</v>
      </c>
      <c r="AT1455" s="3"/>
      <c r="AU1455" s="16" cm="1">
        <f t="array" ref="AU1455">$C1455*EXP(poly_from_str(100000000/$E1455,AU$4342))</f>
        <v>0.25392480598638234</v>
      </c>
    </row>
    <row r="1456" spans="1:48" x14ac:dyDescent="0.25">
      <c r="A1456">
        <v>3826.0050000000001</v>
      </c>
      <c r="B1456" s="2" t="str">
        <f t="shared" si="768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769"/>
        <v>3826.0050000000001</v>
      </c>
      <c r="AB1456" s="3">
        <f t="shared" si="770"/>
        <v>26129.51</v>
      </c>
      <c r="AC1456" s="3" cm="1">
        <f t="array" ref="AC1456">100000000/LvacE(AA1456)</f>
        <v>26129.509322663333</v>
      </c>
      <c r="AD1456" s="10">
        <f t="shared" si="771"/>
        <v>8.4147249314445918E-3</v>
      </c>
      <c r="AE1456" s="10" t="b">
        <f t="shared" si="772"/>
        <v>1</v>
      </c>
      <c r="AP1456"/>
      <c r="AQ1456"/>
      <c r="AU1456" s="16" cm="1">
        <f t="array" ref="AU1456">$C1456*EXP(poly_from_str(100000000/$E1456,AU$4342))</f>
        <v>0</v>
      </c>
    </row>
    <row r="1457" spans="1:48" x14ac:dyDescent="0.25">
      <c r="A1457">
        <v>3825.9520000000002</v>
      </c>
      <c r="B1457" s="2" t="str">
        <f t="shared" si="768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769"/>
        <v>3825.9520000000002</v>
      </c>
      <c r="AB1457" s="3">
        <f t="shared" si="770"/>
        <v>26129.87</v>
      </c>
      <c r="AC1457" s="3" cm="1">
        <f t="array" ref="AC1457">100000000/LvacE(AA1457)</f>
        <v>26129.8712799155</v>
      </c>
      <c r="AD1457" s="10">
        <f t="shared" si="771"/>
        <v>8.4148195377144706E-3</v>
      </c>
      <c r="AE1457" s="10" t="b">
        <f t="shared" si="772"/>
        <v>1</v>
      </c>
      <c r="AP1457"/>
      <c r="AQ1457"/>
      <c r="AU1457" s="16" cm="1">
        <f t="array" ref="AU1457">$C1457*EXP(poly_from_str(100000000/$E1457,AU$4342))</f>
        <v>0</v>
      </c>
    </row>
    <row r="1458" spans="1:48" x14ac:dyDescent="0.25">
      <c r="A1458">
        <v>3825.89</v>
      </c>
      <c r="B1458" s="2" t="str">
        <f t="shared" si="768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769"/>
        <v>3825.89</v>
      </c>
      <c r="AB1458" s="3">
        <f t="shared" si="770"/>
        <v>26130.29</v>
      </c>
      <c r="AC1458" s="3" cm="1">
        <f t="array" ref="AC1458">100000000/LvacE(AA1458)</f>
        <v>26130.294714333591</v>
      </c>
      <c r="AD1458" s="10">
        <f t="shared" si="771"/>
        <v>8.4149302141898474E-3</v>
      </c>
      <c r="AE1458" s="10" t="b">
        <f t="shared" si="772"/>
        <v>1</v>
      </c>
      <c r="AP1458"/>
      <c r="AQ1458"/>
      <c r="AU1458" s="16" cm="1">
        <f t="array" ref="AU1458">$C1458*EXP(poly_from_str(100000000/$E1458,AU$4342))</f>
        <v>0</v>
      </c>
    </row>
    <row r="1459" spans="1:48" x14ac:dyDescent="0.25">
      <c r="A1459">
        <v>3825.8139999999999</v>
      </c>
      <c r="B1459" s="2" t="str">
        <f t="shared" si="768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789">$G1459&amp;""</f>
        <v>e</v>
      </c>
      <c r="N1459" t="str">
        <f t="shared" ref="N1459:N1460" si="790">$H1459&amp;""</f>
        <v>7/2</v>
      </c>
      <c r="O1459">
        <v>64857.15</v>
      </c>
      <c r="P1459" t="str">
        <f t="shared" ref="P1459:P1460" si="791">$J1459&amp;""</f>
        <v>o</v>
      </c>
      <c r="Q1459" t="str">
        <f t="shared" ref="Q1459:Q1460" si="792">$K1459&amp;""</f>
        <v>9/2</v>
      </c>
      <c r="R1459">
        <v>14</v>
      </c>
      <c r="AA1459" s="10">
        <f t="shared" si="769"/>
        <v>3825.8139999999999</v>
      </c>
      <c r="AB1459" s="3">
        <f t="shared" si="770"/>
        <v>26130.81</v>
      </c>
      <c r="AC1459" s="3" cm="1">
        <f t="array" ref="AC1459">100000000/LvacE(AA1459)</f>
        <v>26130.813781696859</v>
      </c>
      <c r="AD1459" s="10">
        <f t="shared" si="771"/>
        <v>8.4150658894678182E-3</v>
      </c>
      <c r="AE1459" s="10" t="b">
        <f t="shared" si="772"/>
        <v>1</v>
      </c>
      <c r="AJ1459" t="s">
        <v>4750</v>
      </c>
      <c r="AK1459" t="s">
        <v>4854</v>
      </c>
      <c r="AL1459">
        <v>38726.5</v>
      </c>
      <c r="AM1459">
        <v>64857.15</v>
      </c>
      <c r="AN1459" s="10" cm="1">
        <f t="array" ref="AN1459">Lair(100000000/($AM1459-$AL1459))</f>
        <v>3825.8379754521407</v>
      </c>
      <c r="AO1459" s="10">
        <f t="shared" ref="AO1459:AO1460" si="793">100000000/($AM1459-$AL1459)</f>
        <v>3826.9235552885211</v>
      </c>
      <c r="AP1459" s="12">
        <v>16700000</v>
      </c>
      <c r="AQ1459" s="3">
        <v>1.9E-2</v>
      </c>
      <c r="AR1459" s="3"/>
      <c r="AS1459" s="13">
        <f>EXP(AR$4341*$AM1459+AR$4342)*$AP1459/(100000000/($AM1459-$AL1459))</f>
        <v>2.9683293218995153</v>
      </c>
      <c r="AT1459" s="3"/>
      <c r="AU1459" s="16" cm="1">
        <f t="array" ref="AU1459">$C1459*EXP(poly_from_str(100000000/$E1459,AU$4342))</f>
        <v>1.2140033345361383</v>
      </c>
    </row>
    <row r="1460" spans="1:48" x14ac:dyDescent="0.25">
      <c r="A1460">
        <v>3822.585</v>
      </c>
      <c r="B1460" s="2" t="str">
        <f t="shared" si="768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789"/>
        <v>o</v>
      </c>
      <c r="N1460" t="str">
        <f t="shared" si="790"/>
        <v>7/2</v>
      </c>
      <c r="O1460">
        <v>37011.919999999998</v>
      </c>
      <c r="P1460" t="str">
        <f t="shared" si="791"/>
        <v>e</v>
      </c>
      <c r="Q1460" t="str">
        <f t="shared" si="792"/>
        <v>5/2</v>
      </c>
      <c r="R1460">
        <v>14</v>
      </c>
      <c r="AA1460" s="10">
        <f t="shared" si="769"/>
        <v>3822.585</v>
      </c>
      <c r="AB1460" s="3">
        <f t="shared" si="770"/>
        <v>26152.89</v>
      </c>
      <c r="AC1460" s="3" cm="1">
        <f t="array" ref="AC1460">100000000/LvacE(AA1460)</f>
        <v>26152.886381502598</v>
      </c>
      <c r="AD1460" s="10">
        <f t="shared" si="771"/>
        <v>8.4208377814362009E-3</v>
      </c>
      <c r="AE1460" s="10" t="b">
        <f t="shared" si="772"/>
        <v>1</v>
      </c>
      <c r="AJ1460" t="s">
        <v>4817</v>
      </c>
      <c r="AK1460" t="s">
        <v>4768</v>
      </c>
      <c r="AL1460">
        <v>10859.06</v>
      </c>
      <c r="AM1460">
        <v>37011.919999999998</v>
      </c>
      <c r="AN1460" s="10" cm="1">
        <f t="array" ref="AN1460">Lair(100000000/($AM1460-$AL1460))</f>
        <v>3822.588851526622</v>
      </c>
      <c r="AO1460" s="10">
        <f t="shared" si="793"/>
        <v>3823.6735867511238</v>
      </c>
      <c r="AU1460" s="16" cm="1">
        <f t="array" ref="AU1460">$C1460*EXP(poly_from_str(100000000/$E1460,AU$4342))</f>
        <v>0.13682295210335074</v>
      </c>
    </row>
    <row r="1461" spans="1:48" x14ac:dyDescent="0.25">
      <c r="A1461">
        <v>3821.84</v>
      </c>
      <c r="B1461" s="2" t="str">
        <f t="shared" si="768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769"/>
        <v>3821.84</v>
      </c>
      <c r="AB1461" s="3">
        <f t="shared" si="770"/>
        <v>26157.98</v>
      </c>
      <c r="AC1461" s="3" cm="1">
        <f t="array" ref="AC1461">100000000/LvacE(AA1461)</f>
        <v>26157.984301901375</v>
      </c>
      <c r="AD1461" s="10">
        <f t="shared" si="771"/>
        <v>8.4221715589743919E-3</v>
      </c>
      <c r="AE1461" s="10" t="b">
        <f t="shared" si="772"/>
        <v>1</v>
      </c>
      <c r="AP1461"/>
      <c r="AQ1461"/>
      <c r="AU1461" s="16" cm="1">
        <f t="array" ref="AU1461">$C1461*EXP(poly_from_str(100000000/$E1461,AU$4342))</f>
        <v>1.0981832262718654</v>
      </c>
    </row>
    <row r="1462" spans="1:48" x14ac:dyDescent="0.25">
      <c r="A1462">
        <v>3821.0230000000001</v>
      </c>
      <c r="B1462" s="2" t="str">
        <f t="shared" si="768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794">$G1462&amp;""</f>
        <v>e</v>
      </c>
      <c r="N1462" t="str">
        <f t="shared" ref="N1462:N1465" si="795">$H1462&amp;""</f>
        <v>13/2</v>
      </c>
      <c r="O1462">
        <v>64865.15</v>
      </c>
      <c r="P1462" t="str">
        <f t="shared" ref="P1462:P1465" si="796">$J1462&amp;""</f>
        <v>o</v>
      </c>
      <c r="Q1462" t="str">
        <f t="shared" ref="Q1462:Q1465" si="797">$K1462&amp;""</f>
        <v>11/2</v>
      </c>
      <c r="R1462">
        <v>14</v>
      </c>
      <c r="AA1462" s="10">
        <f t="shared" si="769"/>
        <v>3821.0230000000001</v>
      </c>
      <c r="AB1462" s="3">
        <f t="shared" si="770"/>
        <v>26163.58</v>
      </c>
      <c r="AC1462" s="3" cm="1">
        <f t="array" ref="AC1462">100000000/LvacE(AA1462)</f>
        <v>26163.577192524714</v>
      </c>
      <c r="AD1462" s="10">
        <f t="shared" si="771"/>
        <v>8.4236351354761169E-3</v>
      </c>
      <c r="AE1462" s="10" t="b">
        <f t="shared" si="772"/>
        <v>1</v>
      </c>
      <c r="AJ1462" t="s">
        <v>4751</v>
      </c>
      <c r="AK1462" t="s">
        <v>4896</v>
      </c>
      <c r="AL1462">
        <v>38701.589999999997</v>
      </c>
      <c r="AM1462">
        <v>64865.15</v>
      </c>
      <c r="AN1462" s="10" cm="1">
        <f t="array" ref="AN1462">Lair(100000000/($AM1462-$AL1462))</f>
        <v>3821.0255063440691</v>
      </c>
      <c r="AO1462" s="10">
        <f t="shared" ref="AO1462:AO1465" si="798">100000000/($AM1462-$AL1462)</f>
        <v>3822.1098352059116</v>
      </c>
      <c r="AP1462" s="12">
        <v>4170000</v>
      </c>
      <c r="AQ1462" s="3">
        <v>7.9000000000000001E-2</v>
      </c>
      <c r="AR1462" s="3">
        <f t="shared" ref="AR1462:AR1465" si="799">LN(AU1462*100000000/($AM1462-$AL1462)/AP1462)</f>
        <v>-7.0311299723517742</v>
      </c>
      <c r="AS1462" s="13">
        <f t="shared" ref="AS1462:AS1465" si="800">EXP(AR$4341*$AM1462+AR$4342)*$AP1462/(100000000/($AM1462-$AL1462))</f>
        <v>0.74168167825132902</v>
      </c>
      <c r="AT1462" s="3">
        <f t="shared" ref="AT1462:AT1465" si="801">LN(AS1462/$C1462)</f>
        <v>-2.2447452819711819</v>
      </c>
      <c r="AU1462" s="16" cm="1">
        <f t="array" ref="AU1462">$C1462*EXP(poly_from_str(100000000/$E1462,AU$4342))</f>
        <v>0.96438832319766121</v>
      </c>
      <c r="AV1462" s="13">
        <f t="shared" ref="AV1462:AV1465" si="802">LN(AS1462/AU1462)</f>
        <v>-0.2625738923259508</v>
      </c>
    </row>
    <row r="1463" spans="1:48" x14ac:dyDescent="0.25">
      <c r="A1463">
        <v>3819.7109999999998</v>
      </c>
      <c r="B1463" s="2" t="str">
        <f t="shared" si="768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794"/>
        <v>e</v>
      </c>
      <c r="N1463" t="str">
        <f t="shared" si="795"/>
        <v>9/2</v>
      </c>
      <c r="O1463">
        <v>71978.52</v>
      </c>
      <c r="P1463" t="str">
        <f t="shared" si="796"/>
        <v>o</v>
      </c>
      <c r="Q1463" t="str">
        <f t="shared" si="797"/>
        <v>7/2</v>
      </c>
      <c r="R1463">
        <v>14</v>
      </c>
      <c r="S1463" t="s">
        <v>2205</v>
      </c>
      <c r="AA1463" s="10">
        <f t="shared" si="769"/>
        <v>3819.7109999999998</v>
      </c>
      <c r="AB1463" s="3">
        <f t="shared" si="770"/>
        <v>26172.560000000001</v>
      </c>
      <c r="AC1463" s="3" cm="1">
        <f t="array" ref="AC1463">100000000/LvacE(AA1463)</f>
        <v>26172.563682442273</v>
      </c>
      <c r="AD1463" s="10">
        <f t="shared" si="771"/>
        <v>8.4259874218811683E-3</v>
      </c>
      <c r="AE1463" s="10" t="b">
        <f t="shared" si="772"/>
        <v>1</v>
      </c>
      <c r="AJ1463" t="s">
        <v>4802</v>
      </c>
      <c r="AK1463" t="s">
        <v>4716</v>
      </c>
      <c r="AL1463">
        <v>45805.95</v>
      </c>
      <c r="AM1463">
        <v>71978.52</v>
      </c>
      <c r="AN1463" s="10" cm="1">
        <f t="array" ref="AN1463">Lair(100000000/($AM1463-$AL1463))</f>
        <v>3819.7100733919037</v>
      </c>
      <c r="AO1463" s="10">
        <f t="shared" si="798"/>
        <v>3820.7940603463844</v>
      </c>
      <c r="AP1463" s="12">
        <v>5860000</v>
      </c>
      <c r="AQ1463" s="3">
        <v>0.216</v>
      </c>
      <c r="AR1463" s="3">
        <f t="shared" si="799"/>
        <v>-7.2323810837991411</v>
      </c>
      <c r="AS1463" s="13">
        <f t="shared" si="800"/>
        <v>0.61134573873015974</v>
      </c>
      <c r="AT1463" s="3">
        <f t="shared" si="801"/>
        <v>-2.5715341643583387</v>
      </c>
      <c r="AU1463" s="16" cm="1">
        <f t="array" ref="AU1463">$C1463*EXP(poly_from_str(100000000/$E1463,AU$4342))</f>
        <v>1.1085640492958282</v>
      </c>
      <c r="AV1463" s="13">
        <f t="shared" si="802"/>
        <v>-0.59515815123312021</v>
      </c>
    </row>
    <row r="1464" spans="1:48" x14ac:dyDescent="0.25">
      <c r="A1464">
        <v>3817.2539999999999</v>
      </c>
      <c r="B1464" s="2" t="str">
        <f t="shared" si="768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794"/>
        <v>e</v>
      </c>
      <c r="N1464" t="str">
        <f t="shared" si="795"/>
        <v>11/2</v>
      </c>
      <c r="O1464">
        <v>65922.42</v>
      </c>
      <c r="P1464" t="str">
        <f t="shared" si="796"/>
        <v>o</v>
      </c>
      <c r="Q1464" t="str">
        <f t="shared" si="797"/>
        <v>11/2</v>
      </c>
      <c r="R1464">
        <v>14</v>
      </c>
      <c r="AA1464" s="10">
        <f t="shared" si="769"/>
        <v>3817.2539999999999</v>
      </c>
      <c r="AB1464" s="3">
        <f t="shared" si="770"/>
        <v>26189.41</v>
      </c>
      <c r="AC1464" s="3" cm="1">
        <f t="array" ref="AC1464">100000000/LvacE(AA1464)</f>
        <v>26189.40941839372</v>
      </c>
      <c r="AD1464" s="10">
        <f t="shared" si="771"/>
        <v>8.4303991060581413E-3</v>
      </c>
      <c r="AE1464" s="10" t="b">
        <f t="shared" si="772"/>
        <v>1</v>
      </c>
      <c r="AJ1464" t="s">
        <v>4725</v>
      </c>
      <c r="AK1464" t="s">
        <v>4833</v>
      </c>
      <c r="AL1464">
        <v>39732.99</v>
      </c>
      <c r="AM1464">
        <v>65922.42</v>
      </c>
      <c r="AN1464" s="10" cm="1">
        <f t="array" ref="AN1464">Lair(100000000/($AM1464-$AL1464))</f>
        <v>3817.2509954548036</v>
      </c>
      <c r="AO1464" s="10">
        <f t="shared" si="798"/>
        <v>3818.3343432827669</v>
      </c>
      <c r="AP1464" s="12">
        <v>10700000</v>
      </c>
      <c r="AQ1464" s="3">
        <v>0.34599999999999997</v>
      </c>
      <c r="AR1464" s="3">
        <f t="shared" si="799"/>
        <v>-5.8093361523191378</v>
      </c>
      <c r="AS1464" s="13">
        <f t="shared" si="800"/>
        <v>1.7596873939713629</v>
      </c>
      <c r="AT1464" s="3">
        <f t="shared" si="801"/>
        <v>-3.5292083860095445</v>
      </c>
      <c r="AU1464" s="16" cm="1">
        <f t="array" ref="AU1464">$C1464*EXP(poly_from_str(100000000/$E1464,AU$4342))</f>
        <v>8.4051833111229577</v>
      </c>
      <c r="AV1464" s="13">
        <f t="shared" si="802"/>
        <v>-1.5637124001809195</v>
      </c>
    </row>
    <row r="1465" spans="1:48" x14ac:dyDescent="0.25">
      <c r="A1465">
        <v>3814.0940000000001</v>
      </c>
      <c r="B1465" s="2" t="str">
        <f t="shared" si="768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794"/>
        <v>o</v>
      </c>
      <c r="N1465" t="str">
        <f t="shared" si="795"/>
        <v>7/2</v>
      </c>
      <c r="O1465">
        <v>40098.660000000003</v>
      </c>
      <c r="P1465" t="str">
        <f t="shared" si="796"/>
        <v>e</v>
      </c>
      <c r="Q1465" t="str">
        <f t="shared" si="797"/>
        <v>5/2</v>
      </c>
      <c r="R1465">
        <v>14</v>
      </c>
      <c r="AA1465" s="10">
        <f t="shared" si="769"/>
        <v>3814.0940000000001</v>
      </c>
      <c r="AB1465" s="3">
        <f t="shared" si="770"/>
        <v>26211.11</v>
      </c>
      <c r="AC1465" s="3" cm="1">
        <f t="array" ref="AC1465">100000000/LvacE(AA1465)</f>
        <v>26211.10698365459</v>
      </c>
      <c r="AD1465" s="10">
        <f t="shared" si="771"/>
        <v>8.4360856056057594E-3</v>
      </c>
      <c r="AE1465" s="10" t="b">
        <f t="shared" si="772"/>
        <v>1</v>
      </c>
      <c r="AJ1465" t="s">
        <v>4818</v>
      </c>
      <c r="AK1465" t="s">
        <v>4737</v>
      </c>
      <c r="AL1465">
        <v>13887.6</v>
      </c>
      <c r="AM1465">
        <v>40098.660000000003</v>
      </c>
      <c r="AN1465" s="10" cm="1">
        <f t="array" ref="AN1465">Lair(100000000/($AM1465-$AL1465))</f>
        <v>3814.100832371797</v>
      </c>
      <c r="AO1465" s="10">
        <f t="shared" si="798"/>
        <v>3815.1833615275377</v>
      </c>
      <c r="AP1465" s="12">
        <v>598000</v>
      </c>
      <c r="AQ1465" s="3">
        <v>7.6999999999999999E-2</v>
      </c>
      <c r="AR1465" s="3">
        <f t="shared" si="799"/>
        <v>-6.3129289173245979</v>
      </c>
      <c r="AS1465" s="13">
        <f t="shared" si="800"/>
        <v>0.68354894950741119</v>
      </c>
      <c r="AT1465" s="3">
        <f t="shared" si="801"/>
        <v>-1.0736041899842055</v>
      </c>
      <c r="AU1465" s="16" cm="1">
        <f t="array" ref="AU1465">$C1465*EXP(poly_from_str(100000000/$E1465,AU$4342))</f>
        <v>0.28412900805010549</v>
      </c>
      <c r="AV1465" s="13">
        <f t="shared" si="802"/>
        <v>0.8778698808410933</v>
      </c>
    </row>
    <row r="1466" spans="1:48" x14ac:dyDescent="0.25">
      <c r="A1466">
        <v>3812.6260000000002</v>
      </c>
      <c r="B1466" s="2" t="str">
        <f t="shared" si="768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769"/>
        <v>3812.6260000000002</v>
      </c>
      <c r="AB1466" s="3">
        <f t="shared" si="770"/>
        <v>26221.200000000001</v>
      </c>
      <c r="AC1466" s="3" cm="1">
        <f t="array" ref="AC1466">100000000/LvacE(AA1466)</f>
        <v>26221.198973601804</v>
      </c>
      <c r="AD1466" s="10">
        <f t="shared" si="771"/>
        <v>8.4387321197518204E-3</v>
      </c>
      <c r="AE1466" s="10" t="b">
        <f t="shared" si="772"/>
        <v>1</v>
      </c>
      <c r="AP1466"/>
      <c r="AQ1466"/>
      <c r="AU1466" s="16" cm="1">
        <f t="array" ref="AU1466">$C1466*EXP(poly_from_str(100000000/$E1466,AU$4342))</f>
        <v>0</v>
      </c>
    </row>
    <row r="1467" spans="1:48" x14ac:dyDescent="0.25">
      <c r="A1467">
        <v>3812.5720000000001</v>
      </c>
      <c r="B1467" s="2" t="str">
        <f t="shared" si="768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803">$G1467&amp;""</f>
        <v>e</v>
      </c>
      <c r="N1467" t="str">
        <f t="shared" ref="N1467:N1469" si="804">$H1467&amp;""</f>
        <v>5/2</v>
      </c>
      <c r="O1467">
        <v>61605.66</v>
      </c>
      <c r="P1467" t="str">
        <f t="shared" ref="P1467:P1469" si="805">$J1467&amp;""</f>
        <v>o</v>
      </c>
      <c r="Q1467" t="str">
        <f t="shared" ref="Q1467:Q1469" si="806">$K1467&amp;""</f>
        <v>7/2</v>
      </c>
      <c r="R1467">
        <v>14</v>
      </c>
      <c r="AA1467" s="10">
        <f t="shared" si="769"/>
        <v>3812.5720000000001</v>
      </c>
      <c r="AB1467" s="3">
        <f t="shared" si="770"/>
        <v>26221.57</v>
      </c>
      <c r="AC1467" s="3" cm="1">
        <f t="array" ref="AC1467">100000000/LvacE(AA1467)</f>
        <v>26221.570353031399</v>
      </c>
      <c r="AD1467" s="10">
        <f t="shared" si="771"/>
        <v>8.4388295293874316E-3</v>
      </c>
      <c r="AE1467" s="10" t="b">
        <f t="shared" si="772"/>
        <v>1</v>
      </c>
      <c r="AJ1467" t="s">
        <v>4728</v>
      </c>
      <c r="AK1467" t="s">
        <v>4822</v>
      </c>
      <c r="AL1467">
        <v>35384.17</v>
      </c>
      <c r="AM1467">
        <v>61605.66</v>
      </c>
      <c r="AN1467" s="10" cm="1">
        <f t="array" ref="AN1467">Lair(100000000/($AM1467-$AL1467))</f>
        <v>3812.5836789013315</v>
      </c>
      <c r="AO1467" s="10">
        <f t="shared" ref="AO1467:AO1469" si="807">100000000/($AM1467-$AL1467)</f>
        <v>3813.6658138038679</v>
      </c>
      <c r="AP1467" s="12">
        <v>4090000</v>
      </c>
      <c r="AQ1467" s="3">
        <v>8.6999999999999994E-2</v>
      </c>
      <c r="AR1467" s="3">
        <f>LN(AU1467*100000000/($AM1467-$AL1467)/AP1467)</f>
        <v>-7.5361262402796694</v>
      </c>
      <c r="AS1467" s="13">
        <f>EXP(AR$4341*$AM1467+AR$4342)*$AP1467/(100000000/($AM1467-$AL1467))</f>
        <v>0.9311076922241005</v>
      </c>
      <c r="AT1467" s="3">
        <f>LN(AS1467/$C1467)</f>
        <v>-1.4576746958045512</v>
      </c>
      <c r="AU1467" s="16" cm="1">
        <f t="array" ref="AU1467">$C1467*EXP(poly_from_str(100000000/$E1467,AU$4342))</f>
        <v>0.57211407614870691</v>
      </c>
      <c r="AV1467" s="13">
        <f>LN(AS1467/AU1467)</f>
        <v>0.48703653897554977</v>
      </c>
    </row>
    <row r="1468" spans="1:48" x14ac:dyDescent="0.25">
      <c r="A1468">
        <v>3808.82</v>
      </c>
      <c r="B1468" s="2" t="str">
        <f t="shared" si="768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803"/>
        <v>o</v>
      </c>
      <c r="N1468" t="str">
        <f t="shared" si="804"/>
        <v>3/2</v>
      </c>
      <c r="O1468">
        <v>37197.64</v>
      </c>
      <c r="P1468" t="str">
        <f t="shared" si="805"/>
        <v>e</v>
      </c>
      <c r="Q1468" t="str">
        <f t="shared" si="806"/>
        <v>3/2</v>
      </c>
      <c r="R1468">
        <v>14</v>
      </c>
      <c r="AA1468" s="10">
        <f t="shared" si="769"/>
        <v>3808.82</v>
      </c>
      <c r="AB1468" s="3">
        <f t="shared" si="770"/>
        <v>26247.4</v>
      </c>
      <c r="AC1468" s="3" cm="1">
        <f t="array" ref="AC1468">100000000/LvacE(AA1468)</f>
        <v>26247.400129864727</v>
      </c>
      <c r="AD1468" s="10">
        <f t="shared" si="771"/>
        <v>8.4456078430937571E-3</v>
      </c>
      <c r="AE1468" s="10" t="b">
        <f t="shared" si="772"/>
        <v>1</v>
      </c>
      <c r="AJ1468" t="s">
        <v>4815</v>
      </c>
      <c r="AK1468" t="s">
        <v>4787</v>
      </c>
      <c r="AL1468">
        <v>10950.24</v>
      </c>
      <c r="AM1468">
        <v>37197.64</v>
      </c>
      <c r="AN1468" s="10" cm="1">
        <f t="array" ref="AN1468">Lair(100000000/($AM1468-$AL1468))</f>
        <v>3808.8200142211563</v>
      </c>
      <c r="AO1468" s="10">
        <f t="shared" si="807"/>
        <v>3809.9011711636199</v>
      </c>
      <c r="AU1468" s="16" cm="1">
        <f t="array" ref="AU1468">$C1468*EXP(poly_from_str(100000000/$E1468,AU$4342))</f>
        <v>1.4543864250111074</v>
      </c>
    </row>
    <row r="1469" spans="1:48" x14ac:dyDescent="0.25">
      <c r="A1469">
        <v>3808.0160000000001</v>
      </c>
      <c r="B1469" s="2" t="str">
        <f t="shared" si="768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803"/>
        <v>e</v>
      </c>
      <c r="N1469" t="str">
        <f t="shared" si="804"/>
        <v>7/2</v>
      </c>
      <c r="O1469">
        <v>64979.55</v>
      </c>
      <c r="P1469" t="str">
        <f t="shared" si="805"/>
        <v>o</v>
      </c>
      <c r="Q1469" t="str">
        <f t="shared" si="806"/>
        <v>7/2</v>
      </c>
      <c r="R1469">
        <v>14</v>
      </c>
      <c r="AA1469" s="10">
        <f t="shared" si="769"/>
        <v>3808.0160000000001</v>
      </c>
      <c r="AB1469" s="3">
        <f t="shared" si="770"/>
        <v>26252.94</v>
      </c>
      <c r="AC1469" s="3" cm="1">
        <f t="array" ref="AC1469">100000000/LvacE(AA1469)</f>
        <v>26252.941703929551</v>
      </c>
      <c r="AD1469" s="10">
        <f t="shared" si="771"/>
        <v>8.4470629461548419E-3</v>
      </c>
      <c r="AE1469" s="10" t="b">
        <f t="shared" si="772"/>
        <v>1</v>
      </c>
      <c r="AJ1469" t="s">
        <v>4750</v>
      </c>
      <c r="AK1469" t="s">
        <v>4912</v>
      </c>
      <c r="AL1469">
        <v>38726.5</v>
      </c>
      <c r="AM1469">
        <v>64979.55</v>
      </c>
      <c r="AN1469" s="10" cm="1">
        <f t="array" ref="AN1469">Lair(100000000/($AM1469-$AL1469))</f>
        <v>3808.0002866042491</v>
      </c>
      <c r="AO1469" s="10">
        <f t="shared" si="807"/>
        <v>3809.0812305617819</v>
      </c>
      <c r="AP1469" s="12">
        <v>2600000</v>
      </c>
      <c r="AQ1469" s="3">
        <v>7.0000000000000001E-3</v>
      </c>
      <c r="AR1469" s="3"/>
      <c r="AS1469" s="13">
        <f>EXP(AR$4341*$AM1469+AR$4342)*$AP1469/(100000000/($AM1469-$AL1469))</f>
        <v>0.46005441490529392</v>
      </c>
      <c r="AT1469" s="3"/>
      <c r="AU1469" s="16" cm="1">
        <f t="array" ref="AU1469">$C1469*EXP(poly_from_str(100000000/$E1469,AU$4342))</f>
        <v>0.14596108743077063</v>
      </c>
    </row>
    <row r="1470" spans="1:48" x14ac:dyDescent="0.25">
      <c r="A1470">
        <v>3806.86</v>
      </c>
      <c r="B1470" s="2" t="str">
        <f t="shared" si="768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769"/>
        <v>3806.86</v>
      </c>
      <c r="AB1470" s="3">
        <f t="shared" si="770"/>
        <v>26260.91</v>
      </c>
      <c r="AC1470" s="3" cm="1">
        <f t="array" ref="AC1470">100000000/LvacE(AA1470)</f>
        <v>26260.913541880844</v>
      </c>
      <c r="AD1470" s="10">
        <f t="shared" si="771"/>
        <v>8.4491567252119662E-3</v>
      </c>
      <c r="AE1470" s="10" t="b">
        <f t="shared" si="772"/>
        <v>1</v>
      </c>
      <c r="AP1470"/>
      <c r="AQ1470"/>
      <c r="AU1470" s="16" cm="1">
        <f t="array" ref="AU1470">$C1470*EXP(poly_from_str(100000000/$E1470,AU$4342))</f>
        <v>0</v>
      </c>
    </row>
    <row r="1471" spans="1:48" x14ac:dyDescent="0.25">
      <c r="A1471">
        <v>3806.8150000000001</v>
      </c>
      <c r="B1471" s="2" t="str">
        <f t="shared" si="768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769"/>
        <v>3806.8150000000001</v>
      </c>
      <c r="AB1471" s="3">
        <f t="shared" si="770"/>
        <v>26261.22</v>
      </c>
      <c r="AC1471" s="3" cm="1">
        <f t="array" ref="AC1471">100000000/LvacE(AA1471)</f>
        <v>26261.223962191212</v>
      </c>
      <c r="AD1471" s="10">
        <f t="shared" si="771"/>
        <v>8.4492382690242642E-3</v>
      </c>
      <c r="AE1471" s="10" t="b">
        <f t="shared" si="772"/>
        <v>1</v>
      </c>
      <c r="AP1471"/>
      <c r="AQ1471"/>
      <c r="AU1471" s="16" cm="1">
        <f t="array" ref="AU1471">$C1471*EXP(poly_from_str(100000000/$E1471,AU$4342))</f>
        <v>0</v>
      </c>
    </row>
    <row r="1472" spans="1:48" x14ac:dyDescent="0.25">
      <c r="A1472">
        <v>3806.7559999999999</v>
      </c>
      <c r="B1472" s="2" t="str">
        <f t="shared" si="768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769"/>
        <v>3806.7559999999999</v>
      </c>
      <c r="AB1472" s="3">
        <f t="shared" si="770"/>
        <v>26261.63</v>
      </c>
      <c r="AC1472" s="3" cm="1">
        <f t="array" ref="AC1472">100000000/LvacE(AA1472)</f>
        <v>26261.630968827874</v>
      </c>
      <c r="AD1472" s="10">
        <f t="shared" si="771"/>
        <v>8.4493451864038407E-3</v>
      </c>
      <c r="AE1472" s="10" t="b">
        <f t="shared" si="772"/>
        <v>1</v>
      </c>
      <c r="AJ1472" t="s">
        <v>4810</v>
      </c>
      <c r="AK1472" t="s">
        <v>4848</v>
      </c>
      <c r="AL1472">
        <v>35801.120000000003</v>
      </c>
      <c r="AM1472">
        <v>62062.63</v>
      </c>
      <c r="AN1472" s="10" cm="1">
        <f t="array" ref="AN1472">Lair(100000000/($AM1472-$AL1472))</f>
        <v>3806.773530912466</v>
      </c>
      <c r="AO1472" s="10">
        <f>100000000/($AM1472-$AL1472)</f>
        <v>3807.8541561395373</v>
      </c>
      <c r="AP1472" s="12">
        <v>3410000</v>
      </c>
      <c r="AQ1472" s="3">
        <v>0.10299999999999999</v>
      </c>
      <c r="AR1472" s="3">
        <f>LN(AU1472*100000000/($AM1472-$AL1472)/AP1472)</f>
        <v>-7.6175788949356855</v>
      </c>
      <c r="AS1472" s="13">
        <f>EXP(AR$4341*$AM1472+AR$4342)*$AP1472/(100000000/($AM1472-$AL1472))</f>
        <v>0.75127608939685009</v>
      </c>
      <c r="AT1472" s="3">
        <f>LN(AS1472/$C1472)</f>
        <v>-1.3845943544213359</v>
      </c>
      <c r="AU1472" s="16" cm="1">
        <f t="array" ref="AU1472">$C1472*EXP(poly_from_str(100000000/$E1472,AU$4342))</f>
        <v>0.44035364268272637</v>
      </c>
      <c r="AV1472" s="13">
        <f>LN(AS1472/AU1472)</f>
        <v>0.53419507576747327</v>
      </c>
    </row>
    <row r="1473" spans="1:48" x14ac:dyDescent="0.25">
      <c r="A1473">
        <v>3803.3020000000001</v>
      </c>
      <c r="B1473" s="2" t="str">
        <f t="shared" si="768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769"/>
        <v>3803.3020000000001</v>
      </c>
      <c r="AB1473" s="3">
        <f t="shared" si="770"/>
        <v>26285.48</v>
      </c>
      <c r="AC1473" s="3" cm="1">
        <f t="array" ref="AC1473">100000000/LvacE(AA1473)</f>
        <v>26285.480110681459</v>
      </c>
      <c r="AD1473" s="10">
        <f t="shared" si="771"/>
        <v>8.4556130581638616E-3</v>
      </c>
      <c r="AE1473" s="10" t="b">
        <f t="shared" si="772"/>
        <v>1</v>
      </c>
      <c r="AP1473"/>
      <c r="AQ1473"/>
      <c r="AU1473" s="16" cm="1">
        <f t="array" ref="AU1473">$C1473*EXP(poly_from_str(100000000/$E1473,AU$4342))</f>
        <v>0</v>
      </c>
    </row>
    <row r="1474" spans="1:48" x14ac:dyDescent="0.25">
      <c r="A1474">
        <v>3803.241</v>
      </c>
      <c r="B1474" s="2" t="str">
        <f t="shared" si="768"/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769"/>
        <v>3803.241</v>
      </c>
      <c r="AB1474" s="3">
        <f t="shared" si="770"/>
        <v>26285.9</v>
      </c>
      <c r="AC1474" s="3" cm="1">
        <f t="array" ref="AC1474">100000000/LvacE(AA1474)</f>
        <v>26285.901692077234</v>
      </c>
      <c r="AD1474" s="10">
        <f t="shared" si="771"/>
        <v>8.4557239065414513E-3</v>
      </c>
      <c r="AE1474" s="10" t="b">
        <f t="shared" si="772"/>
        <v>1</v>
      </c>
      <c r="AJ1474" t="s">
        <v>4777</v>
      </c>
      <c r="AK1474" t="s">
        <v>4872</v>
      </c>
      <c r="AL1474">
        <v>52026.9</v>
      </c>
      <c r="AM1474">
        <v>78312.91</v>
      </c>
      <c r="AN1474" s="10" cm="1">
        <f t="array" ref="AN1474">Lair(100000000/($AM1474-$AL1474))</f>
        <v>3803.2253242397596</v>
      </c>
      <c r="AO1474" s="10">
        <f>100000000/($AM1474-$AL1474)</f>
        <v>3804.305027655395</v>
      </c>
      <c r="AP1474" s="12">
        <v>5280000</v>
      </c>
      <c r="AQ1474" s="3">
        <v>4.2999999999999997E-2</v>
      </c>
      <c r="AR1474" s="3"/>
      <c r="AS1474" s="13">
        <f>EXP(AR$4341*$AM1474+AR$4342)*$AP1474/(100000000/($AM1474-$AL1474))</f>
        <v>0.34391297572040586</v>
      </c>
      <c r="AT1474" s="3"/>
      <c r="AU1474" s="16" cm="1">
        <f t="array" ref="AU1474">$C1474*EXP(poly_from_str(100000000/$E1474,AU$4342))</f>
        <v>0.59644051275274435</v>
      </c>
    </row>
    <row r="1475" spans="1:48" x14ac:dyDescent="0.25">
      <c r="A1475">
        <v>3802.55</v>
      </c>
      <c r="B1475" s="2" t="str">
        <f t="shared" ref="B1475:B1538" si="808">IF(OR(A1475=A1474,A1475=A1476),IF(B1474="",1,B1474+1),"")</f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809">ROUND($A1475,3)+0</f>
        <v>3802.55</v>
      </c>
      <c r="AB1475" s="3">
        <f t="shared" ref="AB1475:AB1538" si="810">ROUND($E1475,2)+0</f>
        <v>26290.68</v>
      </c>
      <c r="AC1475" s="3" cm="1">
        <f t="array" ref="AC1475">100000000/LvacE(AA1475)</f>
        <v>26290.678255237905</v>
      </c>
      <c r="AD1475" s="10">
        <f t="shared" ref="AD1475:AD1538" si="811">0.0005/$AA1475*AC1475+0.005</f>
        <v>8.4569799549299683E-3</v>
      </c>
      <c r="AE1475" s="10" t="b">
        <f t="shared" ref="AE1475:AE1538" si="812">ABS(AB1475-AC1475)&lt;AD1475</f>
        <v>1</v>
      </c>
      <c r="AP1475"/>
      <c r="AQ1475"/>
      <c r="AU1475" s="16" cm="1">
        <f t="array" ref="AU1475">$C1475*EXP(poly_from_str(100000000/$E1475,AU$4342))</f>
        <v>0.14957265519497817</v>
      </c>
    </row>
    <row r="1476" spans="1:48" x14ac:dyDescent="0.25">
      <c r="A1476">
        <v>3799.5360000000001</v>
      </c>
      <c r="B1476" s="2" t="str">
        <f t="shared" si="808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809"/>
        <v>3799.5360000000001</v>
      </c>
      <c r="AB1476" s="3">
        <f t="shared" si="810"/>
        <v>26311.53</v>
      </c>
      <c r="AC1476" s="3" cm="1">
        <f t="array" ref="AC1476">100000000/LvacE(AA1476)</f>
        <v>26311.532957367879</v>
      </c>
      <c r="AD1476" s="10">
        <f t="shared" si="811"/>
        <v>8.4624665955748118E-3</v>
      </c>
      <c r="AE1476" s="10" t="b">
        <f t="shared" si="812"/>
        <v>1</v>
      </c>
      <c r="AP1476"/>
      <c r="AQ1476"/>
      <c r="AU1476" s="16" cm="1">
        <f t="array" ref="AU1476">$C1476*EXP(poly_from_str(100000000/$E1476,AU$4342))</f>
        <v>0.15160763414735901</v>
      </c>
    </row>
    <row r="1477" spans="1:48" x14ac:dyDescent="0.25">
      <c r="A1477">
        <v>3799.0749999999998</v>
      </c>
      <c r="B1477" s="2" t="str">
        <f t="shared" si="808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809"/>
        <v>3799.0749999999998</v>
      </c>
      <c r="AB1477" s="3">
        <f t="shared" si="810"/>
        <v>26314.73</v>
      </c>
      <c r="AC1477" s="3" cm="1">
        <f t="array" ref="AC1477">100000000/LvacE(AA1477)</f>
        <v>26314.725661827146</v>
      </c>
      <c r="AD1477" s="10">
        <f t="shared" si="811"/>
        <v>8.4633069446940559E-3</v>
      </c>
      <c r="AE1477" s="10" t="b">
        <f t="shared" si="812"/>
        <v>1</v>
      </c>
      <c r="AP1477"/>
      <c r="AQ1477"/>
      <c r="AU1477" s="16" cm="1">
        <f t="array" ref="AU1477">$C1477*EXP(poly_from_str(100000000/$E1477,AU$4342))</f>
        <v>0.15192248540033182</v>
      </c>
    </row>
    <row r="1478" spans="1:48" x14ac:dyDescent="0.25">
      <c r="A1478">
        <v>3796.5039999999999</v>
      </c>
      <c r="B1478" s="2" t="str">
        <f t="shared" si="808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809"/>
        <v>3796.5039999999999</v>
      </c>
      <c r="AB1478" s="3">
        <f t="shared" si="810"/>
        <v>26332.55</v>
      </c>
      <c r="AC1478" s="3" cm="1">
        <f t="array" ref="AC1478">100000000/LvacE(AA1478)</f>
        <v>26332.545614992596</v>
      </c>
      <c r="AD1478" s="10">
        <f t="shared" si="811"/>
        <v>8.4679991928090417E-3</v>
      </c>
      <c r="AE1478" s="10" t="b">
        <f t="shared" si="812"/>
        <v>1</v>
      </c>
      <c r="AJ1478" t="s">
        <v>4770</v>
      </c>
      <c r="AK1478" t="s">
        <v>4903</v>
      </c>
      <c r="AL1478">
        <v>35024.49</v>
      </c>
      <c r="AM1478">
        <v>61357.04</v>
      </c>
      <c r="AN1478" s="10" cm="1">
        <f t="array" ref="AN1478">Lair(100000000/($AM1478-$AL1478))</f>
        <v>3796.5033631023944</v>
      </c>
      <c r="AO1478" s="10">
        <f>100000000/($AM1478-$AL1478)</f>
        <v>3797.5813204570004</v>
      </c>
      <c r="AP1478" s="12">
        <v>3830000</v>
      </c>
      <c r="AQ1478" s="3">
        <v>0.13200000000000001</v>
      </c>
      <c r="AR1478" s="3">
        <f>LN(AU1478*100000000/($AM1478-$AL1478)/AP1478)</f>
        <v>-6.9973256094458511</v>
      </c>
      <c r="AS1478" s="13">
        <f>EXP(AR$4341*$AM1478+AR$4342)*$AP1478/(100000000/($AM1478-$AL1478))</f>
        <v>0.89210105438093812</v>
      </c>
      <c r="AT1478" s="3">
        <f>LN(AS1478/$C1478)</f>
        <v>-1.9059353323822434</v>
      </c>
      <c r="AU1478" s="16" cm="1">
        <f t="array" ref="AU1478">$C1478*EXP(poly_from_str(100000000/$E1478,AU$4342))</f>
        <v>0.92212923536622327</v>
      </c>
      <c r="AV1478" s="13">
        <f>LN(AS1478/AU1478)</f>
        <v>-3.3105966415960926E-2</v>
      </c>
    </row>
    <row r="1479" spans="1:48" x14ac:dyDescent="0.25">
      <c r="A1479">
        <v>3785.5</v>
      </c>
      <c r="B1479" s="2" t="str">
        <f t="shared" si="808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809"/>
        <v>3785.5</v>
      </c>
      <c r="AB1479" s="3">
        <f t="shared" si="810"/>
        <v>26409.09</v>
      </c>
      <c r="AC1479" s="3" cm="1">
        <f t="array" ref="AC1479">100000000/LvacE(AA1479)</f>
        <v>26409.089344389678</v>
      </c>
      <c r="AD1479" s="10">
        <f t="shared" si="811"/>
        <v>8.4881903770162043E-3</v>
      </c>
      <c r="AE1479" s="10" t="b">
        <f t="shared" si="812"/>
        <v>1</v>
      </c>
      <c r="AP1479"/>
      <c r="AQ1479"/>
      <c r="AU1479" s="16" cm="1">
        <f t="array" ref="AU1479">$C1479*EXP(poly_from_str(100000000/$E1479,AU$4342))</f>
        <v>0.80757571342302326</v>
      </c>
    </row>
    <row r="1480" spans="1:48" x14ac:dyDescent="0.25">
      <c r="A1480">
        <v>3784.605</v>
      </c>
      <c r="B1480" s="2" t="str">
        <f t="shared" si="808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813">$G1480&amp;""</f>
        <v>e</v>
      </c>
      <c r="N1480" t="str">
        <f t="shared" ref="N1480:N1481" si="814">$H1480&amp;""</f>
        <v>11/2</v>
      </c>
      <c r="O1480">
        <v>66148.399999999994</v>
      </c>
      <c r="P1480" t="str">
        <f t="shared" ref="P1480:P1481" si="815">$J1480&amp;""</f>
        <v>o</v>
      </c>
      <c r="Q1480" t="str">
        <f t="shared" ref="Q1480:Q1481" si="816">$K1480&amp;""</f>
        <v>13/2</v>
      </c>
      <c r="R1480">
        <v>14</v>
      </c>
      <c r="AA1480" s="10">
        <f t="shared" si="809"/>
        <v>3784.605</v>
      </c>
      <c r="AB1480" s="3">
        <f t="shared" si="810"/>
        <v>26415.33</v>
      </c>
      <c r="AC1480" s="3" cm="1">
        <f t="array" ref="AC1480">100000000/LvacE(AA1480)</f>
        <v>26415.334529570264</v>
      </c>
      <c r="AD1480" s="10">
        <f t="shared" si="811"/>
        <v>8.4898403571271319E-3</v>
      </c>
      <c r="AE1480" s="10" t="b">
        <f t="shared" si="812"/>
        <v>1</v>
      </c>
      <c r="AJ1480" t="s">
        <v>4725</v>
      </c>
      <c r="AK1480" t="s">
        <v>4694</v>
      </c>
      <c r="AL1480">
        <v>39732.99</v>
      </c>
      <c r="AM1480">
        <v>66148.399999999994</v>
      </c>
      <c r="AN1480" s="10" cm="1">
        <f t="array" ref="AN1480">Lair(100000000/($AM1480-$AL1480))</f>
        <v>3784.5941821721462</v>
      </c>
      <c r="AO1480" s="10">
        <f t="shared" ref="AO1480:AO1481" si="817">100000000/($AM1480-$AL1480)</f>
        <v>3785.6690469691748</v>
      </c>
      <c r="AP1480" s="12">
        <v>335000</v>
      </c>
      <c r="AQ1480" s="3">
        <v>2.9000000000000001E-2</v>
      </c>
      <c r="AR1480" s="3"/>
      <c r="AS1480" s="13">
        <f t="shared" ref="AS1480:AS1481" si="818">EXP(AR$4341*$AM1480+AR$4342)*$AP1480/(100000000/($AM1480-$AL1480))</f>
        <v>5.4633953994398868E-2</v>
      </c>
      <c r="AT1480" s="3"/>
      <c r="AU1480" s="16" cm="1">
        <f t="array" ref="AU1480">$C1480*EXP(poly_from_str(100000000/$E1480,AU$4342))</f>
        <v>0.64868360400000935</v>
      </c>
    </row>
    <row r="1481" spans="1:48" x14ac:dyDescent="0.25">
      <c r="A1481">
        <v>3783.5949999999998</v>
      </c>
      <c r="B1481" s="2" t="str">
        <f t="shared" si="808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813"/>
        <v>e</v>
      </c>
      <c r="N1481" t="str">
        <f t="shared" si="814"/>
        <v>15/2</v>
      </c>
      <c r="O1481">
        <v>66148.399999999994</v>
      </c>
      <c r="P1481" t="str">
        <f t="shared" si="815"/>
        <v>o</v>
      </c>
      <c r="Q1481" t="str">
        <f t="shared" si="816"/>
        <v>13/2</v>
      </c>
      <c r="R1481">
        <v>14</v>
      </c>
      <c r="AA1481" s="10">
        <f t="shared" si="809"/>
        <v>3783.5949999999998</v>
      </c>
      <c r="AB1481" s="3">
        <f t="shared" si="810"/>
        <v>26422.39</v>
      </c>
      <c r="AC1481" s="3" cm="1">
        <f t="array" ref="AC1481">100000000/LvacE(AA1481)</f>
        <v>26422.385716982189</v>
      </c>
      <c r="AD1481" s="10">
        <f t="shared" si="811"/>
        <v>8.4917037522491429E-3</v>
      </c>
      <c r="AE1481" s="10" t="b">
        <f t="shared" si="812"/>
        <v>1</v>
      </c>
      <c r="AJ1481" t="s">
        <v>4745</v>
      </c>
      <c r="AK1481" t="s">
        <v>4694</v>
      </c>
      <c r="AL1481">
        <v>39725.99</v>
      </c>
      <c r="AM1481">
        <v>66148.399999999994</v>
      </c>
      <c r="AN1481" s="10" cm="1">
        <f t="array" ref="AN1481">Lair(100000000/($AM1481-$AL1481))</f>
        <v>3783.5915179515964</v>
      </c>
      <c r="AO1481" s="10">
        <f t="shared" si="817"/>
        <v>3784.666122431679</v>
      </c>
      <c r="AP1481" s="12">
        <v>8860000</v>
      </c>
      <c r="AQ1481" s="3">
        <v>0.36</v>
      </c>
      <c r="AR1481" s="3">
        <f>LN(AU1481*100000000/($AM1481-$AL1481)/AP1481)</f>
        <v>-7.3756397896312951</v>
      </c>
      <c r="AS1481" s="13">
        <f t="shared" si="818"/>
        <v>1.4453286743823541</v>
      </c>
      <c r="AT1481" s="3">
        <f t="shared" ref="AT1481" si="819">LN(AS1481/$C1481)</f>
        <v>-1.8288878253161225</v>
      </c>
      <c r="AU1481" s="16" cm="1">
        <f t="array" ref="AU1481">$C1481*EXP(poly_from_str(100000000/$E1481,AU$4342))</f>
        <v>1.466244810513269</v>
      </c>
      <c r="AV1481" s="13">
        <f>LN(AS1481/AU1481)</f>
        <v>-1.4367829667299784E-2</v>
      </c>
    </row>
    <row r="1482" spans="1:48" x14ac:dyDescent="0.25">
      <c r="A1482">
        <v>3779.4870000000001</v>
      </c>
      <c r="B1482" s="2" t="str">
        <f t="shared" si="808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809"/>
        <v>3779.4870000000001</v>
      </c>
      <c r="AB1482" s="3">
        <f t="shared" si="810"/>
        <v>26451.1</v>
      </c>
      <c r="AC1482" s="3" cm="1">
        <f t="array" ref="AC1482">100000000/LvacE(AA1482)</f>
        <v>26451.104034862215</v>
      </c>
      <c r="AD1482" s="10">
        <f t="shared" si="811"/>
        <v>8.4992981897890132E-3</v>
      </c>
      <c r="AE1482" s="10" t="b">
        <f t="shared" si="812"/>
        <v>1</v>
      </c>
      <c r="AP1482"/>
      <c r="AQ1482"/>
      <c r="AU1482" s="16" cm="1">
        <f t="array" ref="AU1482">$C1482*EXP(poly_from_str(100000000/$E1482,AU$4342))</f>
        <v>0.33196464667486103</v>
      </c>
    </row>
    <row r="1483" spans="1:48" x14ac:dyDescent="0.25">
      <c r="A1483">
        <v>3774.3530000000001</v>
      </c>
      <c r="B1483" s="2" t="str">
        <f t="shared" si="808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809"/>
        <v>3774.3530000000001</v>
      </c>
      <c r="AB1483" s="3">
        <f t="shared" si="810"/>
        <v>26487.08</v>
      </c>
      <c r="AC1483" s="3" cm="1">
        <f t="array" ref="AC1483">100000000/LvacE(AA1483)</f>
        <v>26487.082821457971</v>
      </c>
      <c r="AD1483" s="10">
        <f t="shared" si="811"/>
        <v>8.5088242702071014E-3</v>
      </c>
      <c r="AE1483" s="10" t="b">
        <f t="shared" si="812"/>
        <v>1</v>
      </c>
      <c r="AP1483"/>
      <c r="AQ1483"/>
      <c r="AU1483" s="16" cm="1">
        <f t="array" ref="AU1483">$C1483*EXP(poly_from_str(100000000/$E1483,AU$4342))</f>
        <v>0.50972168359148373</v>
      </c>
    </row>
    <row r="1484" spans="1:48" x14ac:dyDescent="0.25">
      <c r="A1484">
        <v>3773.77</v>
      </c>
      <c r="B1484" s="2" t="str">
        <f t="shared" si="808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809"/>
        <v>3773.77</v>
      </c>
      <c r="AB1484" s="3">
        <f t="shared" si="810"/>
        <v>26491.17</v>
      </c>
      <c r="AC1484" s="3" cm="1">
        <f t="array" ref="AC1484">100000000/LvacE(AA1484)</f>
        <v>26491.174642247799</v>
      </c>
      <c r="AD1484" s="10">
        <f t="shared" si="811"/>
        <v>8.5099084790869334E-3</v>
      </c>
      <c r="AE1484" s="10" t="b">
        <f t="shared" si="812"/>
        <v>1</v>
      </c>
      <c r="AP1484"/>
      <c r="AQ1484"/>
      <c r="AU1484" s="16" cm="1">
        <f t="array" ref="AU1484">$C1484*EXP(poly_from_str(100000000/$E1484,AU$4342))</f>
        <v>0.1703592423226932</v>
      </c>
    </row>
    <row r="1485" spans="1:48" x14ac:dyDescent="0.25">
      <c r="A1485">
        <v>3771.413</v>
      </c>
      <c r="B1485" s="2" t="str">
        <f t="shared" si="808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809"/>
        <v>3771.413</v>
      </c>
      <c r="AB1485" s="3">
        <f t="shared" si="810"/>
        <v>26507.73</v>
      </c>
      <c r="AC1485" s="3" cm="1">
        <f t="array" ref="AC1485">100000000/LvacE(AA1485)</f>
        <v>26507.730284776706</v>
      </c>
      <c r="AD1485" s="10">
        <f t="shared" si="811"/>
        <v>8.5142969339047081E-3</v>
      </c>
      <c r="AE1485" s="10" t="b">
        <f t="shared" si="812"/>
        <v>1</v>
      </c>
      <c r="AP1485"/>
      <c r="AQ1485"/>
      <c r="AU1485" s="16" cm="1">
        <f t="array" ref="AU1485">$C1485*EXP(poly_from_str(100000000/$E1485,AU$4342))</f>
        <v>1.2054120931681038</v>
      </c>
    </row>
    <row r="1486" spans="1:48" x14ac:dyDescent="0.25">
      <c r="A1486">
        <v>3768.8209999999999</v>
      </c>
      <c r="B1486" s="2" t="str">
        <f t="shared" si="808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809"/>
        <v>3768.8209999999999</v>
      </c>
      <c r="AB1486" s="3">
        <f t="shared" si="810"/>
        <v>26525.96</v>
      </c>
      <c r="AC1486" s="3" cm="1">
        <f t="array" ref="AC1486">100000000/LvacE(AA1486)</f>
        <v>26525.960481228198</v>
      </c>
      <c r="AD1486" s="10">
        <f t="shared" si="811"/>
        <v>8.51913243972428E-3</v>
      </c>
      <c r="AE1486" s="10" t="b">
        <f t="shared" si="812"/>
        <v>1</v>
      </c>
      <c r="AP1486"/>
      <c r="AQ1486"/>
      <c r="AU1486" s="16" cm="1">
        <f t="array" ref="AU1486">$C1486*EXP(poly_from_str(100000000/$E1486,AU$4342))</f>
        <v>0.69701206155033024</v>
      </c>
    </row>
    <row r="1487" spans="1:48" x14ac:dyDescent="0.25">
      <c r="A1487">
        <v>3768.29</v>
      </c>
      <c r="B1487" s="2" t="str">
        <f t="shared" si="808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820">$G1487&amp;""</f>
        <v>o</v>
      </c>
      <c r="N1487" t="str">
        <f t="shared" ref="N1487:N1489" si="821">$H1487&amp;""</f>
        <v>11/2</v>
      </c>
      <c r="O1487">
        <v>39024.269999999997</v>
      </c>
      <c r="P1487" t="str">
        <f t="shared" ref="P1487:P1489" si="822">$J1487&amp;""</f>
        <v>e</v>
      </c>
      <c r="Q1487" t="str">
        <f t="shared" ref="Q1487:Q1489" si="823">$K1487&amp;""</f>
        <v>9/2</v>
      </c>
      <c r="R1487">
        <v>14</v>
      </c>
      <c r="AA1487" s="10">
        <f t="shared" si="809"/>
        <v>3768.29</v>
      </c>
      <c r="AB1487" s="3">
        <f t="shared" si="810"/>
        <v>26529.7</v>
      </c>
      <c r="AC1487" s="3" cm="1">
        <f t="array" ref="AC1487">100000000/LvacE(AA1487)</f>
        <v>26529.698234531326</v>
      </c>
      <c r="AD1487" s="10">
        <f t="shared" si="811"/>
        <v>8.5201242784567165E-3</v>
      </c>
      <c r="AE1487" s="10" t="b">
        <f t="shared" si="812"/>
        <v>1</v>
      </c>
      <c r="AJ1487" t="s">
        <v>4760</v>
      </c>
      <c r="AK1487" t="s">
        <v>4702</v>
      </c>
      <c r="AL1487">
        <v>12494.63</v>
      </c>
      <c r="AM1487">
        <v>39024.269999999997</v>
      </c>
      <c r="AN1487" s="10" cm="1">
        <f t="array" ref="AN1487">Lair(100000000/($AM1487-$AL1487))</f>
        <v>3768.2982671008772</v>
      </c>
      <c r="AO1487" s="10">
        <f t="shared" ref="AO1487:AO1489" si="824">100000000/($AM1487-$AL1487)</f>
        <v>3769.3689021034588</v>
      </c>
      <c r="AP1487" s="12">
        <v>426000</v>
      </c>
      <c r="AQ1487" s="3">
        <v>5.0000000000000001E-3</v>
      </c>
      <c r="AR1487" s="3"/>
      <c r="AS1487" s="13">
        <f t="shared" ref="AS1487:AS1488" si="825">EXP(AR$4341*$AM1487+AR$4342)*$AP1487/(100000000/($AM1487-$AL1487))</f>
        <v>0.53424657837791045</v>
      </c>
      <c r="AT1487" s="3"/>
      <c r="AU1487" s="16" cm="1">
        <f t="array" ref="AU1487">$C1487*EXP(poly_from_str(100000000/$E1487,AU$4342))</f>
        <v>0.69870738939209764</v>
      </c>
    </row>
    <row r="1488" spans="1:48" x14ac:dyDescent="0.25">
      <c r="A1488">
        <v>3763.38</v>
      </c>
      <c r="B1488" s="2" t="str">
        <f t="shared" si="808"/>
        <v/>
      </c>
      <c r="C1488">
        <v>1</v>
      </c>
      <c r="D1488" t="s">
        <v>1156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820"/>
        <v>e</v>
      </c>
      <c r="N1488" t="str">
        <f t="shared" si="821"/>
        <v>5/2</v>
      </c>
      <c r="O1488">
        <v>63576.27</v>
      </c>
      <c r="P1488" t="str">
        <f t="shared" si="822"/>
        <v>o</v>
      </c>
      <c r="Q1488" t="str">
        <f t="shared" si="823"/>
        <v>5/2</v>
      </c>
      <c r="R1488">
        <v>14</v>
      </c>
      <c r="AA1488" s="10">
        <f t="shared" si="809"/>
        <v>3763.38</v>
      </c>
      <c r="AB1488" s="3">
        <f t="shared" si="810"/>
        <v>26564.31</v>
      </c>
      <c r="AC1488" s="3" cm="1">
        <f t="array" ref="AC1488">100000000/LvacE(AA1488)</f>
        <v>26564.310100887633</v>
      </c>
      <c r="AD1488" s="10">
        <f t="shared" si="811"/>
        <v>8.529315416047227E-3</v>
      </c>
      <c r="AE1488" s="10" t="b">
        <f t="shared" si="812"/>
        <v>1</v>
      </c>
      <c r="AJ1488" t="s">
        <v>4768</v>
      </c>
      <c r="AK1488" t="s">
        <v>4843</v>
      </c>
      <c r="AL1488">
        <v>37011.919999999998</v>
      </c>
      <c r="AM1488">
        <v>63576.27</v>
      </c>
      <c r="AN1488" s="10" cm="1">
        <f t="array" ref="AN1488">Lair(100000000/($AM1488-$AL1488))</f>
        <v>3763.3743425429602</v>
      </c>
      <c r="AO1488" s="10">
        <f t="shared" si="824"/>
        <v>3764.4436999211352</v>
      </c>
      <c r="AP1488" s="12">
        <v>650000</v>
      </c>
      <c r="AQ1488" s="3">
        <v>0.02</v>
      </c>
      <c r="AR1488" s="3"/>
      <c r="AS1488" s="13">
        <f t="shared" si="825"/>
        <v>0.12930189614997037</v>
      </c>
      <c r="AT1488" s="3"/>
      <c r="AU1488" s="16" cm="1">
        <f t="array" ref="AU1488">$C1488*EXP(poly_from_str(100000000/$E1488,AU$4342))</f>
        <v>0.17864783518061</v>
      </c>
    </row>
    <row r="1489" spans="1:48" x14ac:dyDescent="0.25">
      <c r="A1489">
        <v>3762.7130000000002</v>
      </c>
      <c r="B1489" s="2" t="str">
        <f t="shared" si="808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820"/>
        <v>e</v>
      </c>
      <c r="N1489" t="str">
        <f t="shared" si="821"/>
        <v>5/2</v>
      </c>
      <c r="O1489">
        <v>63221.279999999999</v>
      </c>
      <c r="P1489" t="str">
        <f t="shared" si="822"/>
        <v>o</v>
      </c>
      <c r="Q1489" t="str">
        <f t="shared" si="823"/>
        <v>3/2</v>
      </c>
      <c r="R1489">
        <v>14</v>
      </c>
      <c r="AA1489" s="10">
        <f t="shared" si="809"/>
        <v>3762.7130000000002</v>
      </c>
      <c r="AB1489" s="3">
        <f t="shared" si="810"/>
        <v>26569.02</v>
      </c>
      <c r="AC1489" s="3" cm="1">
        <f t="array" ref="AC1489">100000000/LvacE(AA1489)</f>
        <v>26569.018925966826</v>
      </c>
      <c r="AD1489" s="10">
        <f t="shared" si="811"/>
        <v>8.5305667647209375E-3</v>
      </c>
      <c r="AE1489" s="10" t="b">
        <f t="shared" si="812"/>
        <v>1</v>
      </c>
      <c r="AJ1489" t="s">
        <v>4771</v>
      </c>
      <c r="AK1489" t="s">
        <v>4707</v>
      </c>
      <c r="AL1489">
        <v>36652.29</v>
      </c>
      <c r="AM1489">
        <v>63221.279999999999</v>
      </c>
      <c r="AN1489" s="10" cm="1">
        <f t="array" ref="AN1489">Lair(100000000/($AM1489-$AL1489))</f>
        <v>3762.7170918104944</v>
      </c>
      <c r="AO1489" s="10">
        <f t="shared" si="824"/>
        <v>3763.7862786654669</v>
      </c>
      <c r="AU1489" s="16" cm="1">
        <f t="array" ref="AU1489">$C1489*EXP(poly_from_str(100000000/$E1489,AU$4342))</f>
        <v>1.0751705914029148</v>
      </c>
    </row>
    <row r="1490" spans="1:48" x14ac:dyDescent="0.25">
      <c r="A1490">
        <v>3761.1619999999998</v>
      </c>
      <c r="B1490" s="2" t="str">
        <f t="shared" si="808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809"/>
        <v>3761.1619999999998</v>
      </c>
      <c r="AB1490" s="3">
        <f t="shared" si="810"/>
        <v>26579.97</v>
      </c>
      <c r="AC1490" s="3" cm="1">
        <f t="array" ref="AC1490">100000000/LvacE(AA1490)</f>
        <v>26579.97498955546</v>
      </c>
      <c r="AD1490" s="10">
        <f t="shared" si="811"/>
        <v>8.5334791468109402E-3</v>
      </c>
      <c r="AE1490" s="10" t="b">
        <f t="shared" si="812"/>
        <v>1</v>
      </c>
      <c r="AP1490"/>
      <c r="AQ1490"/>
      <c r="AU1490" s="16" cm="1">
        <f t="array" ref="AU1490">$C1490*EXP(poly_from_str(100000000/$E1490,AU$4342))</f>
        <v>0.36094759955889028</v>
      </c>
    </row>
    <row r="1491" spans="1:48" x14ac:dyDescent="0.25">
      <c r="A1491">
        <v>3760.9879999999998</v>
      </c>
      <c r="B1491" s="2" t="str">
        <f t="shared" si="808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809"/>
        <v>3760.9879999999998</v>
      </c>
      <c r="AB1491" s="3">
        <f t="shared" si="810"/>
        <v>26581.200000000001</v>
      </c>
      <c r="AC1491" s="3" cm="1">
        <f t="array" ref="AC1491">100000000/LvacE(AA1491)</f>
        <v>26581.204666789643</v>
      </c>
      <c r="AD1491" s="10">
        <f t="shared" si="811"/>
        <v>8.5338060991938351E-3</v>
      </c>
      <c r="AE1491" s="10" t="b">
        <f t="shared" si="812"/>
        <v>1</v>
      </c>
      <c r="AJ1491" t="s">
        <v>4770</v>
      </c>
      <c r="AK1491" t="s">
        <v>4822</v>
      </c>
      <c r="AL1491">
        <v>35024.49</v>
      </c>
      <c r="AM1491">
        <v>61605.66</v>
      </c>
      <c r="AN1491" s="10" cm="1">
        <f t="array" ref="AN1491">Lair(100000000/($AM1491-$AL1491))</f>
        <v>3760.9929003429725</v>
      </c>
      <c r="AO1491" s="10">
        <f>100000000/($AM1491-$AL1491)</f>
        <v>3762.061639875144</v>
      </c>
      <c r="AP1491" s="12">
        <v>417000</v>
      </c>
      <c r="AQ1491" s="3">
        <v>6.0000000000000001E-3</v>
      </c>
      <c r="AR1491" s="3"/>
      <c r="AS1491" s="13">
        <f>EXP(AR$4341*$AM1491+AR$4342)*$AP1491/(100000000/($AM1491-$AL1491))</f>
        <v>9.6234188453345915E-2</v>
      </c>
      <c r="AT1491" s="3"/>
      <c r="AU1491" s="16" cm="1">
        <f t="array" ref="AU1491">$C1491*EXP(poly_from_str(100000000/$E1491,AU$4342))</f>
        <v>0.36123599076377388</v>
      </c>
    </row>
    <row r="1492" spans="1:48" x14ac:dyDescent="0.25">
      <c r="A1492">
        <v>3758.6410000000001</v>
      </c>
      <c r="B1492" s="2" t="str">
        <f t="shared" si="808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809"/>
        <v>3758.6410000000001</v>
      </c>
      <c r="AB1492" s="3">
        <f t="shared" si="810"/>
        <v>26597.8</v>
      </c>
      <c r="AC1492" s="3" cm="1">
        <f t="array" ref="AC1492">100000000/LvacE(AA1492)</f>
        <v>26597.802299699288</v>
      </c>
      <c r="AD1492" s="10">
        <f t="shared" si="811"/>
        <v>8.5382206360888543E-3</v>
      </c>
      <c r="AE1492" s="10" t="b">
        <f t="shared" si="812"/>
        <v>1</v>
      </c>
      <c r="AP1492"/>
      <c r="AQ1492"/>
      <c r="AU1492" s="16" cm="1">
        <f t="array" ref="AU1492">$C1492*EXP(poly_from_str(100000000/$E1492,AU$4342))</f>
        <v>0.18257517512069421</v>
      </c>
    </row>
    <row r="1493" spans="1:48" x14ac:dyDescent="0.25">
      <c r="A1493">
        <v>3753.67</v>
      </c>
      <c r="B1493" s="2" t="str">
        <f t="shared" si="808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826">$G1493&amp;""</f>
        <v>e</v>
      </c>
      <c r="N1493" t="str">
        <f t="shared" ref="N1493:N1495" si="827">$H1493&amp;""</f>
        <v>5/2</v>
      </c>
      <c r="O1493">
        <v>71536.38</v>
      </c>
      <c r="P1493" t="str">
        <f t="shared" ref="P1493:P1495" si="828">$J1493&amp;""</f>
        <v>o</v>
      </c>
      <c r="Q1493" t="str">
        <f t="shared" ref="Q1493:Q1495" si="829">$K1493&amp;""</f>
        <v>5/2</v>
      </c>
      <c r="R1493">
        <v>14</v>
      </c>
      <c r="AA1493" s="10">
        <f t="shared" si="809"/>
        <v>3753.67</v>
      </c>
      <c r="AB1493" s="3">
        <f t="shared" si="810"/>
        <v>26633.02</v>
      </c>
      <c r="AC1493" s="3" cm="1">
        <f t="array" ref="AC1493">100000000/LvacE(AA1493)</f>
        <v>26633.025000401311</v>
      </c>
      <c r="AD1493" s="10">
        <f t="shared" si="811"/>
        <v>8.5475980840619067E-3</v>
      </c>
      <c r="AE1493" s="10" t="b">
        <f t="shared" si="812"/>
        <v>1</v>
      </c>
      <c r="AJ1493" t="s">
        <v>4765</v>
      </c>
      <c r="AK1493" t="s">
        <v>4860</v>
      </c>
      <c r="AL1493">
        <v>44903.42</v>
      </c>
      <c r="AM1493">
        <v>71536.38</v>
      </c>
      <c r="AN1493" s="10" cm="1">
        <f t="array" ref="AN1493">Lair(100000000/($AM1493-$AL1493))</f>
        <v>3753.6791566016409</v>
      </c>
      <c r="AO1493" s="10">
        <f t="shared" ref="AO1493:AO1495" si="830">100000000/($AM1493-$AL1493)</f>
        <v>3754.7459989426625</v>
      </c>
      <c r="AP1493" s="12">
        <v>1380000</v>
      </c>
      <c r="AQ1493" s="3">
        <v>3.5000000000000003E-2</v>
      </c>
      <c r="AR1493" s="3"/>
      <c r="AS1493" s="13">
        <f t="shared" ref="AS1493:AS1495" si="831">EXP(AR$4341*$AM1493+AR$4342)*$AP1493/(100000000/($AM1493-$AL1493))</f>
        <v>0.15144391479140171</v>
      </c>
      <c r="AT1493" s="3"/>
      <c r="AU1493" s="16" cm="1">
        <f t="array" ref="AU1493">$C1493*EXP(poly_from_str(100000000/$E1493,AU$4342))</f>
        <v>0.74718740115358673</v>
      </c>
    </row>
    <row r="1494" spans="1:48" x14ac:dyDescent="0.25">
      <c r="A1494">
        <v>3751.864</v>
      </c>
      <c r="B1494" s="2" t="str">
        <f t="shared" si="808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826"/>
        <v>e</v>
      </c>
      <c r="N1494" t="str">
        <f t="shared" si="827"/>
        <v>7/2</v>
      </c>
      <c r="O1494">
        <v>53092.800000000003</v>
      </c>
      <c r="P1494" t="str">
        <f t="shared" si="828"/>
        <v>o</v>
      </c>
      <c r="Q1494" t="str">
        <f t="shared" si="829"/>
        <v>7/2</v>
      </c>
      <c r="R1494">
        <v>14</v>
      </c>
      <c r="S1494" t="s">
        <v>743</v>
      </c>
      <c r="AA1494" s="10">
        <f t="shared" si="809"/>
        <v>3751.864</v>
      </c>
      <c r="AB1494" s="3">
        <f t="shared" si="810"/>
        <v>26645.84</v>
      </c>
      <c r="AC1494" s="3" cm="1">
        <f t="array" ref="AC1494">100000000/LvacE(AA1494)</f>
        <v>26645.844774213892</v>
      </c>
      <c r="AD1494" s="10">
        <f t="shared" si="811"/>
        <v>8.551014212430659E-3</v>
      </c>
      <c r="AE1494" s="10" t="b">
        <f t="shared" si="812"/>
        <v>1</v>
      </c>
      <c r="AJ1494" t="s">
        <v>4736</v>
      </c>
      <c r="AK1494" t="s">
        <v>4814</v>
      </c>
      <c r="AL1494">
        <v>26446.97</v>
      </c>
      <c r="AM1494">
        <v>53092.800000000003</v>
      </c>
      <c r="AN1494" s="10" cm="1">
        <f t="array" ref="AN1494">Lair(100000000/($AM1494-$AL1494))</f>
        <v>3751.8660754944826</v>
      </c>
      <c r="AO1494" s="10">
        <f t="shared" si="830"/>
        <v>3752.9324475912363</v>
      </c>
      <c r="AP1494" s="12">
        <v>745000</v>
      </c>
      <c r="AQ1494" s="3">
        <v>7.0000000000000001E-3</v>
      </c>
      <c r="AR1494" s="3"/>
      <c r="AS1494" s="13">
        <f t="shared" si="831"/>
        <v>0.32648200618966983</v>
      </c>
      <c r="AT1494" s="3"/>
      <c r="AU1494" s="16" cm="1">
        <f t="array" ref="AU1494">$C1494*EXP(poly_from_str(100000000/$E1494,AU$4342))</f>
        <v>0.37671418459553152</v>
      </c>
    </row>
    <row r="1495" spans="1:48" x14ac:dyDescent="0.25">
      <c r="A1495">
        <v>3745.165</v>
      </c>
      <c r="B1495" s="2" t="str">
        <f t="shared" si="808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826"/>
        <v>e</v>
      </c>
      <c r="N1495" t="str">
        <f t="shared" si="827"/>
        <v>7/2</v>
      </c>
      <c r="O1495">
        <v>61717.98</v>
      </c>
      <c r="P1495" t="str">
        <f t="shared" si="828"/>
        <v>o</v>
      </c>
      <c r="Q1495" t="str">
        <f t="shared" si="829"/>
        <v>5/2</v>
      </c>
      <c r="R1495">
        <v>14</v>
      </c>
      <c r="AA1495" s="10">
        <f t="shared" si="809"/>
        <v>3745.165</v>
      </c>
      <c r="AB1495" s="3">
        <f t="shared" si="810"/>
        <v>26693.5</v>
      </c>
      <c r="AC1495" s="3" cm="1">
        <f t="array" ref="AC1495">100000000/LvacE(AA1495)</f>
        <v>26693.505174716636</v>
      </c>
      <c r="AD1495" s="10">
        <f t="shared" si="811"/>
        <v>8.5637288577027505E-3</v>
      </c>
      <c r="AE1495" s="10" t="b">
        <f t="shared" si="812"/>
        <v>1</v>
      </c>
      <c r="AJ1495" t="s">
        <v>4770</v>
      </c>
      <c r="AK1495" t="s">
        <v>4880</v>
      </c>
      <c r="AL1495">
        <v>35024.49</v>
      </c>
      <c r="AM1495">
        <v>61717.98</v>
      </c>
      <c r="AN1495" s="10" cm="1">
        <f t="array" ref="AN1495">Lair(100000000/($AM1495-$AL1495))</f>
        <v>3745.1671242415346</v>
      </c>
      <c r="AO1495" s="10">
        <f t="shared" si="830"/>
        <v>3746.2317591292849</v>
      </c>
      <c r="AP1495" s="12">
        <v>1380000</v>
      </c>
      <c r="AQ1495" s="3">
        <v>4.5999999999999999E-2</v>
      </c>
      <c r="AR1495" s="3"/>
      <c r="AS1495" s="13">
        <f t="shared" si="831"/>
        <v>0.31713407475814587</v>
      </c>
      <c r="AT1495" s="3"/>
      <c r="AU1495" s="16" cm="1">
        <f t="array" ref="AU1495">$C1495*EXP(poly_from_str(100000000/$E1495,AU$4342))</f>
        <v>0.38853867786432167</v>
      </c>
    </row>
    <row r="1496" spans="1:48" x14ac:dyDescent="0.25">
      <c r="A1496">
        <v>3743.5450000000001</v>
      </c>
      <c r="B1496" s="2" t="str">
        <f t="shared" si="808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809"/>
        <v>3743.5450000000001</v>
      </c>
      <c r="AB1496" s="3">
        <f t="shared" si="810"/>
        <v>26705.06</v>
      </c>
      <c r="AC1496" s="3" cm="1">
        <f t="array" ref="AC1496">100000000/LvacE(AA1496)</f>
        <v>26705.056364362536</v>
      </c>
      <c r="AD1496" s="10">
        <f t="shared" si="811"/>
        <v>8.5668138575017184E-3</v>
      </c>
      <c r="AE1496" s="10" t="b">
        <f t="shared" si="812"/>
        <v>1</v>
      </c>
      <c r="AP1496"/>
      <c r="AQ1496"/>
      <c r="AU1496" s="16" cm="1">
        <f t="array" ref="AU1496">$C1496*EXP(poly_from_str(100000000/$E1496,AU$4342))</f>
        <v>0.78292082560859744</v>
      </c>
    </row>
    <row r="1497" spans="1:48" x14ac:dyDescent="0.25">
      <c r="A1497">
        <v>3740.0169999999998</v>
      </c>
      <c r="B1497" s="2" t="str">
        <f t="shared" si="808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809"/>
        <v>3740.0169999999998</v>
      </c>
      <c r="AB1497" s="3">
        <f t="shared" si="810"/>
        <v>26730.25</v>
      </c>
      <c r="AC1497" s="3" cm="1">
        <f t="array" ref="AC1497">100000000/LvacE(AA1497)</f>
        <v>26730.246913286686</v>
      </c>
      <c r="AD1497" s="10">
        <f t="shared" si="811"/>
        <v>8.5735461781706723E-3</v>
      </c>
      <c r="AE1497" s="10" t="b">
        <f t="shared" si="812"/>
        <v>1</v>
      </c>
      <c r="AJ1497" t="s">
        <v>4773</v>
      </c>
      <c r="AK1497" t="s">
        <v>4821</v>
      </c>
      <c r="AL1497">
        <v>35828.46</v>
      </c>
      <c r="AM1497">
        <v>62558.67</v>
      </c>
      <c r="AN1497" s="10" cm="1">
        <f t="array" ref="AN1497">Lair(100000000/($AM1497-$AL1497))</f>
        <v>3740.0221600528239</v>
      </c>
      <c r="AO1497" s="10">
        <f>100000000/($AM1497-$AL1497)</f>
        <v>3741.0854609821622</v>
      </c>
      <c r="AP1497" s="12">
        <v>4910000</v>
      </c>
      <c r="AQ1497" s="3">
        <v>0.124</v>
      </c>
      <c r="AR1497" s="3">
        <f>LN(AU1497*100000000/($AM1497-$AL1497)/AP1497)</f>
        <v>-6.8484436252511003</v>
      </c>
      <c r="AS1497" s="13">
        <f>EXP(AR$4341*$AM1497+AR$4342)*$AP1497/(100000000/($AM1497-$AL1497))</f>
        <v>1.0608212871505545</v>
      </c>
      <c r="AT1497" s="3">
        <f>LN(AS1497/$C1497)</f>
        <v>-1.8868667417346494</v>
      </c>
      <c r="AU1497" s="16" cm="1">
        <f t="array" ref="AU1497">$C1497*EXP(poly_from_str(100000000/$E1497,AU$4342))</f>
        <v>1.3926519344819046</v>
      </c>
      <c r="AV1497" s="13">
        <f>LN(AS1497/AU1497)</f>
        <v>-0.27216638868986759</v>
      </c>
    </row>
    <row r="1498" spans="1:48" x14ac:dyDescent="0.25">
      <c r="A1498">
        <v>3738.614</v>
      </c>
      <c r="B1498" s="2" t="str">
        <f t="shared" si="808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809"/>
        <v>3738.614</v>
      </c>
      <c r="AB1498" s="3">
        <f t="shared" si="810"/>
        <v>26740.28</v>
      </c>
      <c r="AC1498" s="3" cm="1">
        <f t="array" ref="AC1498">100000000/LvacE(AA1498)</f>
        <v>26740.277795535381</v>
      </c>
      <c r="AD1498" s="10">
        <f t="shared" si="811"/>
        <v>8.5762287569050161E-3</v>
      </c>
      <c r="AE1498" s="10" t="b">
        <f t="shared" si="812"/>
        <v>1</v>
      </c>
      <c r="AP1498"/>
      <c r="AQ1498"/>
      <c r="AU1498" s="16" cm="1">
        <f t="array" ref="AU1498">$C1498*EXP(poly_from_str(100000000/$E1498,AU$4342))</f>
        <v>0.40049307836641307</v>
      </c>
    </row>
    <row r="1499" spans="1:48" x14ac:dyDescent="0.25">
      <c r="A1499">
        <v>3736.3090000000002</v>
      </c>
      <c r="B1499" s="2" t="str">
        <f t="shared" si="808"/>
        <v/>
      </c>
      <c r="C1499">
        <v>3</v>
      </c>
      <c r="D1499" t="s">
        <v>1156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809"/>
        <v>3736.3090000000002</v>
      </c>
      <c r="AB1499" s="3">
        <f t="shared" si="810"/>
        <v>26756.77</v>
      </c>
      <c r="AC1499" s="3" cm="1">
        <f t="array" ref="AC1499">100000000/LvacE(AA1499)</f>
        <v>26756.773967050933</v>
      </c>
      <c r="AD1499" s="10">
        <f t="shared" si="811"/>
        <v>8.5806425495122234E-3</v>
      </c>
      <c r="AE1499" s="10" t="b">
        <f t="shared" si="812"/>
        <v>1</v>
      </c>
      <c r="AJ1499" t="s">
        <v>4768</v>
      </c>
      <c r="AK1499" t="s">
        <v>4850</v>
      </c>
      <c r="AL1499">
        <v>37011.919999999998</v>
      </c>
      <c r="AM1499">
        <v>63768.66</v>
      </c>
      <c r="AN1499" s="10" cm="1">
        <f t="array" ref="AN1499">Lair(100000000/($AM1499-$AL1499))</f>
        <v>3736.3137383808544</v>
      </c>
      <c r="AO1499" s="10">
        <f>100000000/($AM1499-$AL1499)</f>
        <v>3737.3760779526947</v>
      </c>
      <c r="AP1499" s="12">
        <v>8800000</v>
      </c>
      <c r="AQ1499" s="3">
        <v>0.14299999999999999</v>
      </c>
      <c r="AR1499" s="3">
        <f>LN(AU1499*100000000/($AM1499-$AL1499)/AP1499)</f>
        <v>-8.2630435662985775</v>
      </c>
      <c r="AS1499" s="13">
        <f>EXP(AR$4341*$AM1499+AR$4342)*$AP1499/(100000000/($AM1499-$AL1499))</f>
        <v>1.7379519430940555</v>
      </c>
      <c r="AT1499" s="3">
        <f>LN(AS1499/$C1499)</f>
        <v>-0.54590491290106602</v>
      </c>
      <c r="AU1499" s="16" cm="1">
        <f t="array" ref="AU1499">$C1499*EXP(poly_from_str(100000000/$E1499,AU$4342))</f>
        <v>0.60718585562408045</v>
      </c>
      <c r="AV1499" s="13">
        <f>LN(AS1499/AU1499)</f>
        <v>1.0516277233658251</v>
      </c>
    </row>
    <row r="1500" spans="1:48" x14ac:dyDescent="0.25">
      <c r="A1500">
        <v>3732.4940000000001</v>
      </c>
      <c r="B1500" s="2" t="str">
        <f t="shared" si="808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809"/>
        <v>3732.4940000000001</v>
      </c>
      <c r="AB1500" s="3">
        <f t="shared" si="810"/>
        <v>26784.12</v>
      </c>
      <c r="AC1500" s="3" cm="1">
        <f t="array" ref="AC1500">100000000/LvacE(AA1500)</f>
        <v>26784.121506424261</v>
      </c>
      <c r="AD1500" s="10">
        <f t="shared" si="811"/>
        <v>8.5879657819174331E-3</v>
      </c>
      <c r="AE1500" s="10" t="b">
        <f t="shared" si="812"/>
        <v>1</v>
      </c>
      <c r="AP1500"/>
      <c r="AQ1500"/>
      <c r="AU1500" s="16" cm="1">
        <f t="array" ref="AU1500">$C1500*EXP(poly_from_str(100000000/$E1500,AU$4342))</f>
        <v>0.2060077813243022</v>
      </c>
    </row>
    <row r="1501" spans="1:48" x14ac:dyDescent="0.25">
      <c r="A1501">
        <v>3727.1529999999998</v>
      </c>
      <c r="B1501" s="2" t="str">
        <f t="shared" si="808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809"/>
        <v>3727.1529999999998</v>
      </c>
      <c r="AB1501" s="3">
        <f t="shared" si="810"/>
        <v>26822.5</v>
      </c>
      <c r="AC1501" s="3" cm="1">
        <f t="array" ref="AC1501">100000000/LvacE(AA1501)</f>
        <v>26822.502111120386</v>
      </c>
      <c r="AD1501" s="10">
        <f t="shared" si="811"/>
        <v>8.5982561101087592E-3</v>
      </c>
      <c r="AE1501" s="10" t="b">
        <f t="shared" si="812"/>
        <v>1</v>
      </c>
      <c r="AP1501"/>
      <c r="AQ1501"/>
      <c r="AU1501" s="16" cm="1">
        <f t="array" ref="AU1501">$C1501*EXP(poly_from_str(100000000/$E1501,AU$4342))</f>
        <v>0.21118064548138266</v>
      </c>
    </row>
    <row r="1502" spans="1:48" x14ac:dyDescent="0.25">
      <c r="A1502">
        <v>3717.779</v>
      </c>
      <c r="B1502" s="2" t="str">
        <f t="shared" si="808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809"/>
        <v>3717.779</v>
      </c>
      <c r="AB1502" s="3">
        <f t="shared" si="810"/>
        <v>26890.13</v>
      </c>
      <c r="AC1502" s="3" cm="1">
        <f t="array" ref="AC1502">100000000/LvacE(AA1502)</f>
        <v>26890.130596497584</v>
      </c>
      <c r="AD1502" s="10">
        <f t="shared" si="811"/>
        <v>8.6164240258091718E-3</v>
      </c>
      <c r="AE1502" s="10" t="b">
        <f t="shared" si="812"/>
        <v>1</v>
      </c>
      <c r="AP1502"/>
      <c r="AQ1502"/>
      <c r="AU1502" s="16" cm="1">
        <f t="array" ref="AU1502">$C1502*EXP(poly_from_str(100000000/$E1502,AU$4342))</f>
        <v>0.22059530339300609</v>
      </c>
    </row>
    <row r="1503" spans="1:48" x14ac:dyDescent="0.25">
      <c r="A1503">
        <v>3716.674</v>
      </c>
      <c r="B1503" s="2" t="str">
        <f t="shared" si="808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809"/>
        <v>3716.674</v>
      </c>
      <c r="AB1503" s="3">
        <f t="shared" si="810"/>
        <v>26898.12</v>
      </c>
      <c r="AC1503" s="3" cm="1">
        <f t="array" ref="AC1503">100000000/LvacE(AA1503)</f>
        <v>26898.12506673723</v>
      </c>
      <c r="AD1503" s="10">
        <f t="shared" si="811"/>
        <v>8.6185747077544648E-3</v>
      </c>
      <c r="AE1503" s="10" t="b">
        <f t="shared" si="812"/>
        <v>1</v>
      </c>
      <c r="AJ1503" t="s">
        <v>4702</v>
      </c>
      <c r="AK1503" t="s">
        <v>4833</v>
      </c>
      <c r="AL1503">
        <v>39024.269999999997</v>
      </c>
      <c r="AM1503">
        <v>65922.42</v>
      </c>
      <c r="AN1503" s="10" cm="1">
        <f t="array" ref="AN1503">Lair(100000000/($AM1503-$AL1503))</f>
        <v>3716.6705497765952</v>
      </c>
      <c r="AO1503" s="10">
        <f>100000000/($AM1503-$AL1503)</f>
        <v>3717.7277991237315</v>
      </c>
      <c r="AP1503" s="12">
        <v>2510000</v>
      </c>
      <c r="AQ1503" s="3">
        <v>7.1999999999999995E-2</v>
      </c>
      <c r="AR1503" s="3">
        <f>LN(AU1503*100000000/($AM1503-$AL1503)/AP1503)</f>
        <v>-6.9225934829570859</v>
      </c>
      <c r="AS1503" s="13">
        <f>EXP(AR$4341*$AM1503+AR$4342)*$AP1503/(100000000/($AM1503-$AL1503))</f>
        <v>0.42395702061858276</v>
      </c>
      <c r="AT1503" s="3">
        <f>LN(AS1503/$C1503)</f>
        <v>-1.9567354840218232</v>
      </c>
      <c r="AU1503" s="16" cm="1">
        <f t="array" ref="AU1503">$C1503*EXP(poly_from_str(100000000/$E1503,AU$4342))</f>
        <v>0.66519960477328199</v>
      </c>
      <c r="AV1503" s="13">
        <f>LN(AS1503/AU1503)</f>
        <v>-0.4504550695429716</v>
      </c>
    </row>
    <row r="1504" spans="1:48" x14ac:dyDescent="0.25">
      <c r="A1504">
        <v>3711.1950000000002</v>
      </c>
      <c r="B1504" s="2" t="str">
        <f t="shared" si="808"/>
        <v/>
      </c>
      <c r="C1504">
        <v>2</v>
      </c>
      <c r="D1504" t="s">
        <v>1156</v>
      </c>
      <c r="E1504">
        <v>26937.83</v>
      </c>
      <c r="R1504">
        <v>14</v>
      </c>
      <c r="S1504" t="s">
        <v>22</v>
      </c>
      <c r="AA1504" s="10">
        <f t="shared" si="809"/>
        <v>3711.1950000000002</v>
      </c>
      <c r="AB1504" s="3">
        <f t="shared" si="810"/>
        <v>26937.83</v>
      </c>
      <c r="AC1504" s="3" cm="1">
        <f t="array" ref="AC1504">100000000/LvacE(AA1504)</f>
        <v>26937.834937701802</v>
      </c>
      <c r="AD1504" s="10">
        <f t="shared" si="811"/>
        <v>8.629266979733187E-3</v>
      </c>
      <c r="AE1504" s="10" t="b">
        <f t="shared" si="812"/>
        <v>1</v>
      </c>
      <c r="AP1504"/>
      <c r="AQ1504"/>
      <c r="AU1504" s="16" cm="1">
        <f t="array" ref="AU1504">$C1504*EXP(poly_from_str(100000000/$E1504,AU$4342))</f>
        <v>0.45494011821431013</v>
      </c>
    </row>
    <row r="1505" spans="1:48" x14ac:dyDescent="0.25">
      <c r="A1505">
        <v>3709.2109999999998</v>
      </c>
      <c r="B1505" s="2" t="str">
        <f t="shared" si="808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809"/>
        <v>3709.2109999999998</v>
      </c>
      <c r="AB1505" s="3">
        <f t="shared" si="810"/>
        <v>26952.240000000002</v>
      </c>
      <c r="AC1505" s="3" cm="1">
        <f t="array" ref="AC1505">100000000/LvacE(AA1505)</f>
        <v>26952.243204346083</v>
      </c>
      <c r="AD1505" s="10">
        <f t="shared" si="811"/>
        <v>8.6331504468667442E-3</v>
      </c>
      <c r="AE1505" s="10" t="b">
        <f t="shared" si="812"/>
        <v>1</v>
      </c>
      <c r="AP1505"/>
      <c r="AQ1505"/>
      <c r="AU1505" s="16" cm="1">
        <f t="array" ref="AU1505">$C1505*EXP(poly_from_str(100000000/$E1505,AU$4342))</f>
        <v>0</v>
      </c>
    </row>
    <row r="1506" spans="1:48" x14ac:dyDescent="0.25">
      <c r="A1506">
        <v>3709.1550000000002</v>
      </c>
      <c r="B1506" s="2" t="str">
        <f t="shared" si="808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809"/>
        <v>3709.1550000000002</v>
      </c>
      <c r="AB1506" s="3">
        <f t="shared" si="810"/>
        <v>26952.65</v>
      </c>
      <c r="AC1506" s="3" cm="1">
        <f t="array" ref="AC1506">100000000/LvacE(AA1506)</f>
        <v>26952.650112955129</v>
      </c>
      <c r="AD1506" s="10">
        <f t="shared" si="811"/>
        <v>8.6332601512952578E-3</v>
      </c>
      <c r="AE1506" s="10" t="b">
        <f t="shared" si="812"/>
        <v>1</v>
      </c>
      <c r="AP1506"/>
      <c r="AQ1506"/>
      <c r="AU1506" s="16" cm="1">
        <f t="array" ref="AU1506">$C1506*EXP(poly_from_str(100000000/$E1506,AU$4342))</f>
        <v>0</v>
      </c>
    </row>
    <row r="1507" spans="1:48" x14ac:dyDescent="0.25">
      <c r="A1507">
        <v>3709.1089999999999</v>
      </c>
      <c r="B1507" s="2" t="str">
        <f t="shared" si="808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809"/>
        <v>3709.1089999999999</v>
      </c>
      <c r="AB1507" s="3">
        <f t="shared" si="810"/>
        <v>26952.98</v>
      </c>
      <c r="AC1507" s="3" cm="1">
        <f t="array" ref="AC1507">100000000/LvacE(AA1507)</f>
        <v>26952.984368503905</v>
      </c>
      <c r="AD1507" s="10">
        <f t="shared" si="811"/>
        <v>8.633350269364409E-3</v>
      </c>
      <c r="AE1507" s="10" t="b">
        <f t="shared" si="812"/>
        <v>1</v>
      </c>
      <c r="AP1507"/>
      <c r="AQ1507"/>
      <c r="AU1507" s="16" cm="1">
        <f t="array" ref="AU1507">$C1507*EXP(poly_from_str(100000000/$E1507,AU$4342))</f>
        <v>0</v>
      </c>
    </row>
    <row r="1508" spans="1:48" x14ac:dyDescent="0.25">
      <c r="A1508">
        <v>3709.0410000000002</v>
      </c>
      <c r="B1508" s="2" t="str">
        <f t="shared" si="808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809"/>
        <v>3709.0410000000002</v>
      </c>
      <c r="AB1508" s="3">
        <f t="shared" si="810"/>
        <v>26953.48</v>
      </c>
      <c r="AC1508" s="3" cm="1">
        <f t="array" ref="AC1508">100000000/LvacE(AA1508)</f>
        <v>26953.478500588488</v>
      </c>
      <c r="AD1508" s="10">
        <f t="shared" si="811"/>
        <v>8.6334834935214363E-3</v>
      </c>
      <c r="AE1508" s="10" t="b">
        <f t="shared" si="812"/>
        <v>1</v>
      </c>
      <c r="AJ1508" t="s">
        <v>4774</v>
      </c>
      <c r="AK1508" t="s">
        <v>4849</v>
      </c>
      <c r="AL1508">
        <v>33466.410000000003</v>
      </c>
      <c r="AM1508">
        <v>60419.73</v>
      </c>
      <c r="AN1508" s="10" cm="1">
        <f t="array" ref="AN1508">Lair(100000000/($AM1508-$AL1508))</f>
        <v>3709.0628068039109</v>
      </c>
      <c r="AO1508" s="10">
        <f>100000000/($AM1508-$AL1508)</f>
        <v>3710.1180856384299</v>
      </c>
      <c r="AP1508" s="12">
        <v>16300000</v>
      </c>
      <c r="AQ1508" s="3">
        <v>1.7999999999999999E-2</v>
      </c>
      <c r="AR1508" s="3"/>
      <c r="AS1508" s="13">
        <f>EXP(AR$4341*$AM1508+AR$4342)*$AP1508/(100000000/($AM1508-$AL1508))</f>
        <v>4.1693793354526587</v>
      </c>
      <c r="AT1508" s="3"/>
      <c r="AU1508" s="16" cm="1">
        <f t="array" ref="AU1508">$C1508*EXP(poly_from_str(100000000/$E1508,AU$4342))</f>
        <v>2.0679173903198529</v>
      </c>
    </row>
    <row r="1509" spans="1:48" x14ac:dyDescent="0.25">
      <c r="A1509">
        <v>3705.9360000000001</v>
      </c>
      <c r="B1509" s="2" t="str">
        <f t="shared" si="808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809"/>
        <v>3705.9360000000001</v>
      </c>
      <c r="AB1509" s="3">
        <f t="shared" si="810"/>
        <v>26976.06</v>
      </c>
      <c r="AC1509" s="3" cm="1">
        <f t="array" ref="AC1509">100000000/LvacE(AA1509)</f>
        <v>26976.060761009503</v>
      </c>
      <c r="AD1509" s="10">
        <f t="shared" si="811"/>
        <v>8.6395745583584694E-3</v>
      </c>
      <c r="AE1509" s="10" t="b">
        <f t="shared" si="812"/>
        <v>1</v>
      </c>
      <c r="AP1509"/>
      <c r="AQ1509"/>
      <c r="AU1509" s="16" cm="1">
        <f t="array" ref="AU1509">$C1509*EXP(poly_from_str(100000000/$E1509,AU$4342))</f>
        <v>0.23312279487197174</v>
      </c>
    </row>
    <row r="1510" spans="1:48" x14ac:dyDescent="0.25">
      <c r="A1510">
        <v>3705.527</v>
      </c>
      <c r="B1510" s="2" t="str">
        <f t="shared" si="808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809"/>
        <v>3705.527</v>
      </c>
      <c r="AB1510" s="3">
        <f t="shared" si="810"/>
        <v>26979.040000000001</v>
      </c>
      <c r="AC1510" s="3" cm="1">
        <f t="array" ref="AC1510">100000000/LvacE(AA1510)</f>
        <v>26979.038185453999</v>
      </c>
      <c r="AD1510" s="10">
        <f t="shared" si="811"/>
        <v>8.6403780333342596E-3</v>
      </c>
      <c r="AE1510" s="10" t="b">
        <f t="shared" si="812"/>
        <v>1</v>
      </c>
      <c r="AP1510"/>
      <c r="AQ1510"/>
      <c r="AU1510" s="16" cm="1">
        <f t="array" ref="AU1510">$C1510*EXP(poly_from_str(100000000/$E1510,AU$4342))</f>
        <v>0.23356882129881454</v>
      </c>
    </row>
    <row r="1511" spans="1:48" x14ac:dyDescent="0.25">
      <c r="A1511">
        <v>3705.0309999999999</v>
      </c>
      <c r="B1511" s="2" t="str">
        <f t="shared" si="808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832">$G1511&amp;""</f>
        <v>e</v>
      </c>
      <c r="N1511" t="str">
        <f t="shared" ref="N1511:N1512" si="833">$H1511&amp;""</f>
        <v>9/2</v>
      </c>
      <c r="O1511">
        <v>66852.87</v>
      </c>
      <c r="P1511" t="str">
        <f t="shared" ref="P1511:P1512" si="834">$J1511&amp;""</f>
        <v>o</v>
      </c>
      <c r="Q1511" t="str">
        <f t="shared" ref="Q1511:Q1512" si="835">$K1511&amp;""</f>
        <v>7/2</v>
      </c>
      <c r="R1511">
        <v>14</v>
      </c>
      <c r="S1511" t="s">
        <v>2205</v>
      </c>
      <c r="AA1511" s="10">
        <f t="shared" si="809"/>
        <v>3705.0309999999999</v>
      </c>
      <c r="AB1511" s="3">
        <f t="shared" si="810"/>
        <v>26982.65</v>
      </c>
      <c r="AC1511" s="3" cm="1">
        <f t="array" ref="AC1511">100000000/LvacE(AA1511)</f>
        <v>26982.649831509425</v>
      </c>
      <c r="AD1511" s="10">
        <f t="shared" si="811"/>
        <v>8.6413527756595589E-3</v>
      </c>
      <c r="AE1511" s="10" t="b">
        <f t="shared" si="812"/>
        <v>1</v>
      </c>
      <c r="AJ1511" t="s">
        <v>4731</v>
      </c>
      <c r="AK1511" t="s">
        <v>4830</v>
      </c>
      <c r="AL1511">
        <v>39870.17</v>
      </c>
      <c r="AM1511">
        <v>66852.87</v>
      </c>
      <c r="AN1511" s="10" cm="1">
        <f t="array" ref="AN1511">Lair(100000000/($AM1511-$AL1511))</f>
        <v>3705.0241061199936</v>
      </c>
      <c r="AO1511" s="10">
        <f t="shared" ref="AO1511:AO1512" si="836">100000000/($AM1511-$AL1511)</f>
        <v>3706.078339083932</v>
      </c>
      <c r="AP1511" s="12">
        <v>804000</v>
      </c>
      <c r="AQ1511" s="3">
        <v>3.6999999999999998E-2</v>
      </c>
      <c r="AR1511" s="3"/>
      <c r="AS1511" s="13">
        <f t="shared" ref="AS1511:AS1512" si="837">EXP(AR$4341*$AM1511+AR$4342)*$AP1511/(100000000/($AM1511-$AL1511))</f>
        <v>0.1270403143407676</v>
      </c>
      <c r="AT1511" s="3"/>
      <c r="AU1511" s="16" cm="1">
        <f t="array" ref="AU1511">$C1511*EXP(poly_from_str(100000000/$E1511,AU$4342))</f>
        <v>0.23411019380133469</v>
      </c>
    </row>
    <row r="1512" spans="1:48" x14ac:dyDescent="0.25">
      <c r="A1512">
        <v>3701.297</v>
      </c>
      <c r="B1512" s="2" t="str">
        <f t="shared" si="808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832"/>
        <v>e</v>
      </c>
      <c r="N1512" t="str">
        <f t="shared" si="833"/>
        <v>15/2</v>
      </c>
      <c r="O1512">
        <v>66735.88</v>
      </c>
      <c r="P1512" t="str">
        <f t="shared" si="834"/>
        <v>o</v>
      </c>
      <c r="Q1512" t="str">
        <f t="shared" si="835"/>
        <v>13/2</v>
      </c>
      <c r="R1512">
        <v>14</v>
      </c>
      <c r="AA1512" s="10">
        <f t="shared" si="809"/>
        <v>3701.297</v>
      </c>
      <c r="AB1512" s="3">
        <f t="shared" si="810"/>
        <v>27009.87</v>
      </c>
      <c r="AC1512" s="3" cm="1">
        <f t="array" ref="AC1512">100000000/LvacE(AA1512)</f>
        <v>27009.870190310514</v>
      </c>
      <c r="AD1512" s="10">
        <f t="shared" si="811"/>
        <v>8.6487034396740547E-3</v>
      </c>
      <c r="AE1512" s="10" t="b">
        <f t="shared" si="812"/>
        <v>1</v>
      </c>
      <c r="AJ1512" t="s">
        <v>4745</v>
      </c>
      <c r="AK1512" t="s">
        <v>4909</v>
      </c>
      <c r="AL1512">
        <v>39725.99</v>
      </c>
      <c r="AM1512">
        <v>66735.88</v>
      </c>
      <c r="AN1512" s="10" cm="1">
        <f t="array" ref="AN1512">Lair(100000000/($AM1512-$AL1512))</f>
        <v>3701.2942802992679</v>
      </c>
      <c r="AO1512" s="10">
        <f t="shared" si="836"/>
        <v>3702.3475475094483</v>
      </c>
      <c r="AP1512" s="12">
        <v>2150000</v>
      </c>
      <c r="AQ1512" s="3">
        <v>0.109</v>
      </c>
      <c r="AR1512" s="3">
        <f>LN(AU1512*100000000/($AM1512-$AL1512)/AP1512)</f>
        <v>-7.1056296640410492</v>
      </c>
      <c r="AS1512" s="13">
        <f t="shared" si="837"/>
        <v>0.34306338278363963</v>
      </c>
      <c r="AT1512" s="3">
        <f t="shared" ref="AT1512" si="838">LN(AS1512/$C1512)</f>
        <v>-1.7629872399909357</v>
      </c>
      <c r="AU1512" s="16" cm="1">
        <f t="array" ref="AU1512">$C1512*EXP(poly_from_str(100000000/$E1512,AU$4342))</f>
        <v>0.47645898569875966</v>
      </c>
      <c r="AV1512" s="13">
        <f>LN(AS1512/AU1512)</f>
        <v>-0.32846642575407381</v>
      </c>
    </row>
    <row r="1513" spans="1:48" x14ac:dyDescent="0.25">
      <c r="A1513" t="s">
        <v>2206</v>
      </c>
      <c r="B1513" s="2" t="str">
        <f t="shared" si="808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809"/>
        <v>3694.8470000000002</v>
      </c>
      <c r="AB1513" s="3">
        <f t="shared" si="810"/>
        <v>27057.02</v>
      </c>
      <c r="AC1513" s="3" cm="1">
        <f t="array" ref="AC1513">100000000/LvacE(AA1513)</f>
        <v>27057.019417917691</v>
      </c>
      <c r="AD1513" s="10">
        <f t="shared" si="811"/>
        <v>8.6614532912888797E-3</v>
      </c>
      <c r="AE1513" s="10" t="b">
        <f t="shared" si="812"/>
        <v>1</v>
      </c>
      <c r="AP1513"/>
      <c r="AQ1513"/>
      <c r="AU1513" s="16" cm="1">
        <f t="array" ref="AU1513">$C1513*EXP(poly_from_str(100000000/$E1513,AU$4342))</f>
        <v>0.49104408376639053</v>
      </c>
    </row>
    <row r="1514" spans="1:48" x14ac:dyDescent="0.25">
      <c r="A1514" t="s">
        <v>2207</v>
      </c>
      <c r="B1514" s="2" t="str">
        <f t="shared" si="808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839">$G1514&amp;""</f>
        <v>o</v>
      </c>
      <c r="N1514" t="str">
        <f t="shared" ref="N1514:N1515" si="840">$H1514&amp;""</f>
        <v>5/2</v>
      </c>
      <c r="O1514">
        <v>37197.64</v>
      </c>
      <c r="P1514" t="str">
        <f t="shared" ref="P1514:P1515" si="841">$J1514&amp;""</f>
        <v>e</v>
      </c>
      <c r="Q1514" t="str">
        <f t="shared" ref="Q1514:Q1515" si="842">$K1514&amp;""</f>
        <v>3/2</v>
      </c>
      <c r="R1514">
        <v>15</v>
      </c>
      <c r="S1514" t="s">
        <v>6</v>
      </c>
      <c r="AA1514" s="10">
        <f t="shared" si="809"/>
        <v>3694.5129999999999</v>
      </c>
      <c r="AB1514" s="3">
        <f t="shared" si="810"/>
        <v>27059.47</v>
      </c>
      <c r="AC1514" s="3" cm="1">
        <f t="array" ref="AC1514">100000000/LvacE(AA1514)</f>
        <v>27059.465426841198</v>
      </c>
      <c r="AD1514" s="10">
        <f t="shared" si="811"/>
        <v>8.662115335206725E-3</v>
      </c>
      <c r="AE1514" s="10" t="b">
        <f t="shared" si="812"/>
        <v>1</v>
      </c>
      <c r="AJ1514" t="s">
        <v>4715</v>
      </c>
      <c r="AK1514" t="s">
        <v>4787</v>
      </c>
      <c r="AL1514">
        <v>10138.18</v>
      </c>
      <c r="AM1514">
        <v>37197.64</v>
      </c>
      <c r="AN1514" s="10" cm="1">
        <f t="array" ref="AN1514">Lair(100000000/($AM1514-$AL1514))</f>
        <v>3694.5137359280925</v>
      </c>
      <c r="AO1514" s="10">
        <f t="shared" ref="AO1514:AO1515" si="843">100000000/($AM1514-$AL1514)</f>
        <v>3695.5652477913454</v>
      </c>
      <c r="AU1514" s="16" cm="1">
        <f t="array" ref="AU1514">$C1514*EXP(poly_from_str(100000000/$E1514,AU$4342))</f>
        <v>0.98362589252335408</v>
      </c>
    </row>
    <row r="1515" spans="1:48" x14ac:dyDescent="0.25">
      <c r="A1515" t="s">
        <v>2208</v>
      </c>
      <c r="B1515" s="2" t="str">
        <f t="shared" si="808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839"/>
        <v>e</v>
      </c>
      <c r="N1515" t="str">
        <f t="shared" si="840"/>
        <v>7/2</v>
      </c>
      <c r="O1515">
        <v>64979.55</v>
      </c>
      <c r="P1515" t="str">
        <f t="shared" si="841"/>
        <v>o</v>
      </c>
      <c r="Q1515" t="str">
        <f t="shared" si="842"/>
        <v>7/2</v>
      </c>
      <c r="R1515">
        <v>15</v>
      </c>
      <c r="AA1515" s="10">
        <f t="shared" si="809"/>
        <v>3694.451</v>
      </c>
      <c r="AB1515" s="3">
        <f t="shared" si="810"/>
        <v>27059.919999999998</v>
      </c>
      <c r="AC1515" s="3" cm="1">
        <f t="array" ref="AC1515">100000000/LvacE(AA1515)</f>
        <v>27059.919525068344</v>
      </c>
      <c r="AD1515" s="10">
        <f t="shared" si="811"/>
        <v>8.6622382493458903E-3</v>
      </c>
      <c r="AE1515" s="10" t="b">
        <f t="shared" si="812"/>
        <v>1</v>
      </c>
      <c r="AJ1515" t="s">
        <v>4764</v>
      </c>
      <c r="AK1515" t="s">
        <v>4912</v>
      </c>
      <c r="AL1515">
        <v>37919.58</v>
      </c>
      <c r="AM1515">
        <v>64979.55</v>
      </c>
      <c r="AN1515" s="10" cm="1">
        <f t="array" ref="AN1515">Lair(100000000/($AM1515-$AL1515))</f>
        <v>3694.4441035323398</v>
      </c>
      <c r="AO1515" s="10">
        <f t="shared" si="843"/>
        <v>3695.4955973713199</v>
      </c>
      <c r="AP1515" s="12">
        <v>445000</v>
      </c>
      <c r="AQ1515" s="3">
        <v>4.0000000000000001E-3</v>
      </c>
      <c r="AR1515" s="3"/>
      <c r="AS1515" s="13">
        <f>EXP(AR$4341*$AM1515+AR$4342)*$AP1515/(100000000/($AM1515-$AL1515))</f>
        <v>8.1160256489445831E-2</v>
      </c>
      <c r="AT1515" s="3"/>
      <c r="AU1515" s="16" cm="1">
        <f t="array" ref="AU1515">$C1515*EXP(poly_from_str(100000000/$E1515,AU$4342))</f>
        <v>0.49195428466910751</v>
      </c>
    </row>
    <row r="1516" spans="1:48" x14ac:dyDescent="0.25">
      <c r="A1516" t="s">
        <v>2209</v>
      </c>
      <c r="B1516" s="2" t="str">
        <f t="shared" si="808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809"/>
        <v>3692.634</v>
      </c>
      <c r="AB1516" s="3">
        <f t="shared" si="810"/>
        <v>27073.23</v>
      </c>
      <c r="AC1516" s="3" cm="1">
        <f t="array" ref="AC1516">100000000/LvacE(AA1516)</f>
        <v>27073.234304292833</v>
      </c>
      <c r="AD1516" s="10">
        <f t="shared" si="811"/>
        <v>8.6658431764822658E-3</v>
      </c>
      <c r="AE1516" s="10" t="b">
        <f t="shared" si="812"/>
        <v>1</v>
      </c>
      <c r="AP1516"/>
      <c r="AQ1516"/>
      <c r="AU1516" s="16" cm="1">
        <f t="array" ref="AU1516">$C1516*EXP(poly_from_str(100000000/$E1516,AU$4342))</f>
        <v>0.49615146000292648</v>
      </c>
    </row>
    <row r="1517" spans="1:48" x14ac:dyDescent="0.25">
      <c r="A1517" t="s">
        <v>2210</v>
      </c>
      <c r="B1517" s="2" t="str">
        <f t="shared" si="808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809"/>
        <v>3692.3820000000001</v>
      </c>
      <c r="AB1517" s="3">
        <f t="shared" si="810"/>
        <v>27075.08</v>
      </c>
      <c r="AC1517" s="3" cm="1">
        <f t="array" ref="AC1517">100000000/LvacE(AA1517)</f>
        <v>27075.081967703234</v>
      </c>
      <c r="AD1517" s="10">
        <f t="shared" si="811"/>
        <v>8.6663435646289078E-3</v>
      </c>
      <c r="AE1517" s="10" t="b">
        <f t="shared" si="812"/>
        <v>1</v>
      </c>
      <c r="AJ1517" t="s">
        <v>4765</v>
      </c>
      <c r="AK1517" t="s">
        <v>4716</v>
      </c>
      <c r="AL1517">
        <v>44903.42</v>
      </c>
      <c r="AM1517">
        <v>71978.52</v>
      </c>
      <c r="AN1517" s="10" cm="1">
        <f t="array" ref="AN1517">Lair(100000000/($AM1517-$AL1517))</f>
        <v>3692.3795357304748</v>
      </c>
      <c r="AO1517" s="10">
        <f>100000000/($AM1517-$AL1517)</f>
        <v>3693.4304951782256</v>
      </c>
      <c r="AP1517" s="12">
        <v>801000</v>
      </c>
      <c r="AQ1517" s="3">
        <v>2.1999999999999999E-2</v>
      </c>
      <c r="AR1517" s="3"/>
      <c r="AS1517" s="13">
        <f>EXP(AR$4341*$AM1517+AR$4342)*$AP1517/(100000000/($AM1517-$AL1517))</f>
        <v>8.6446116686241137E-2</v>
      </c>
      <c r="AT1517" s="3"/>
      <c r="AU1517" s="16" cm="1">
        <f t="array" ref="AU1517">$C1517*EXP(poly_from_str(100000000/$E1517,AU$4342))</f>
        <v>0.24836870044970222</v>
      </c>
    </row>
    <row r="1518" spans="1:48" x14ac:dyDescent="0.25">
      <c r="A1518" t="s">
        <v>2211</v>
      </c>
      <c r="B1518" s="2" t="str">
        <f t="shared" si="808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809"/>
        <v>3692.203</v>
      </c>
      <c r="AB1518" s="3">
        <f t="shared" si="810"/>
        <v>27076.39</v>
      </c>
      <c r="AC1518" s="3" cm="1">
        <f t="array" ref="AC1518">100000000/LvacE(AA1518)</f>
        <v>27076.394548480832</v>
      </c>
      <c r="AD1518" s="10">
        <f t="shared" si="811"/>
        <v>8.6666990613030806E-3</v>
      </c>
      <c r="AE1518" s="10" t="b">
        <f t="shared" si="812"/>
        <v>1</v>
      </c>
      <c r="AP1518"/>
      <c r="AQ1518"/>
      <c r="AU1518" s="16" cm="1">
        <f t="array" ref="AU1518">$C1518*EXP(poly_from_str(100000000/$E1518,AU$4342))</f>
        <v>0.24857634463049438</v>
      </c>
    </row>
    <row r="1519" spans="1:48" x14ac:dyDescent="0.25">
      <c r="A1519" t="s">
        <v>2212</v>
      </c>
      <c r="B1519" s="2" t="str">
        <f t="shared" si="808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844">$G1519&amp;""</f>
        <v>e</v>
      </c>
      <c r="N1519" t="str">
        <f t="shared" ref="N1519:N1520" si="845">$H1519&amp;""</f>
        <v>5/2</v>
      </c>
      <c r="O1519">
        <v>61605.66</v>
      </c>
      <c r="P1519" t="str">
        <f t="shared" ref="P1519:P1520" si="846">$J1519&amp;""</f>
        <v>o</v>
      </c>
      <c r="Q1519" t="str">
        <f t="shared" ref="Q1519:Q1520" si="847">$K1519&amp;""</f>
        <v>7/2</v>
      </c>
      <c r="R1519">
        <v>15</v>
      </c>
      <c r="AA1519" s="10">
        <f t="shared" si="809"/>
        <v>3690.9780000000001</v>
      </c>
      <c r="AB1519" s="3">
        <f t="shared" si="810"/>
        <v>27085.38</v>
      </c>
      <c r="AC1519" s="3" cm="1">
        <f t="array" ref="AC1519">100000000/LvacE(AA1519)</f>
        <v>27085.380710799804</v>
      </c>
      <c r="AD1519" s="10">
        <f t="shared" si="811"/>
        <v>8.6691333178902444E-3</v>
      </c>
      <c r="AE1519" s="10" t="b">
        <f t="shared" si="812"/>
        <v>1</v>
      </c>
      <c r="AJ1519" t="s">
        <v>4722</v>
      </c>
      <c r="AK1519" t="s">
        <v>4822</v>
      </c>
      <c r="AL1519">
        <v>34520.269999999997</v>
      </c>
      <c r="AM1519">
        <v>61605.66</v>
      </c>
      <c r="AN1519" s="10" cm="1">
        <f t="array" ref="AN1519">Lair(100000000/($AM1519-$AL1519))</f>
        <v>3690.9767290642512</v>
      </c>
      <c r="AO1519" s="10">
        <f t="shared" ref="AO1519:AO1520" si="848">100000000/($AM1519-$AL1519)</f>
        <v>3692.0273254326403</v>
      </c>
      <c r="AP1519" s="12">
        <v>5930000</v>
      </c>
      <c r="AQ1519" s="3">
        <v>0.108</v>
      </c>
      <c r="AR1519" s="3">
        <f>LN(AU1519*100000000/($AM1519-$AL1519)/AP1519)</f>
        <v>-6.4652907789108331</v>
      </c>
      <c r="AS1519" s="13">
        <f>EXP(AR$4341*$AM1519+AR$4342)*$AP1519/(100000000/($AM1519-$AL1519))</f>
        <v>1.3944695231649535</v>
      </c>
      <c r="AT1519" s="3">
        <f>LN(AS1519/$C1519)</f>
        <v>-1.9700710201743885</v>
      </c>
      <c r="AU1519" s="16" cm="1">
        <f t="array" ref="AU1519">$C1519*EXP(poly_from_str(100000000/$E1519,AU$4342))</f>
        <v>2.5000556589665459</v>
      </c>
      <c r="AV1519" s="13">
        <f>LN(AS1519/AU1519)</f>
        <v>-0.58379892239328601</v>
      </c>
    </row>
    <row r="1520" spans="1:48" x14ac:dyDescent="0.25">
      <c r="A1520" t="s">
        <v>2213</v>
      </c>
      <c r="B1520" s="2" t="str">
        <f t="shared" si="808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844"/>
        <v>e</v>
      </c>
      <c r="N1520" t="str">
        <f t="shared" si="845"/>
        <v>9/2</v>
      </c>
      <c r="O1520">
        <v>39940.720000000001</v>
      </c>
      <c r="P1520" t="str">
        <f t="shared" si="846"/>
        <v>o</v>
      </c>
      <c r="Q1520" t="str">
        <f t="shared" si="847"/>
        <v>7/2</v>
      </c>
      <c r="R1520">
        <v>15</v>
      </c>
      <c r="AA1520" s="10">
        <f t="shared" si="809"/>
        <v>3689.799</v>
      </c>
      <c r="AB1520" s="3">
        <f t="shared" si="810"/>
        <v>27094.03</v>
      </c>
      <c r="AC1520" s="3" cm="1">
        <f t="array" ref="AC1520">100000000/LvacE(AA1520)</f>
        <v>27094.035068181725</v>
      </c>
      <c r="AD1520" s="10">
        <f t="shared" si="811"/>
        <v>8.6714784556261373E-3</v>
      </c>
      <c r="AE1520" s="10" t="b">
        <f t="shared" si="812"/>
        <v>1</v>
      </c>
      <c r="AJ1520" t="s">
        <v>4758</v>
      </c>
      <c r="AK1520" t="s">
        <v>4752</v>
      </c>
      <c r="AL1520">
        <v>12846.66</v>
      </c>
      <c r="AM1520">
        <v>39940.720000000001</v>
      </c>
      <c r="AN1520" s="10" cm="1">
        <f t="array" ref="AN1520">Lair(100000000/($AM1520-$AL1520))</f>
        <v>3689.7955995280231</v>
      </c>
      <c r="AO1520" s="10">
        <f t="shared" si="848"/>
        <v>3690.8458902061925</v>
      </c>
      <c r="AU1520" s="16" cm="1">
        <f t="array" ref="AU1520">$C1520*EXP(poly_from_str(100000000/$E1520,AU$4342))</f>
        <v>0.25138774184659518</v>
      </c>
    </row>
    <row r="1521" spans="1:48" x14ac:dyDescent="0.25">
      <c r="A1521" t="s">
        <v>2214</v>
      </c>
      <c r="B1521" s="2" t="str">
        <f t="shared" si="808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809"/>
        <v>3689.37</v>
      </c>
      <c r="AB1521" s="3">
        <f t="shared" si="810"/>
        <v>27097.19</v>
      </c>
      <c r="AC1521" s="3" cm="1">
        <f t="array" ref="AC1521">100000000/LvacE(AA1521)</f>
        <v>27097.185481603734</v>
      </c>
      <c r="AD1521" s="10">
        <f t="shared" si="811"/>
        <v>8.6723323333799188E-3</v>
      </c>
      <c r="AE1521" s="10" t="b">
        <f t="shared" si="812"/>
        <v>1</v>
      </c>
      <c r="AP1521"/>
      <c r="AQ1521"/>
      <c r="AU1521" s="16" cm="1">
        <f t="array" ref="AU1521">$C1521*EXP(poly_from_str(100000000/$E1521,AU$4342))</f>
        <v>0.25189439349454318</v>
      </c>
    </row>
    <row r="1522" spans="1:48" x14ac:dyDescent="0.25">
      <c r="A1522" t="s">
        <v>2215</v>
      </c>
      <c r="B1522" s="2" t="str">
        <f t="shared" si="808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809"/>
        <v>3688.2979999999998</v>
      </c>
      <c r="AB1522" s="3">
        <f t="shared" si="810"/>
        <v>27105.06</v>
      </c>
      <c r="AC1522" s="3" cm="1">
        <f t="array" ref="AC1522">100000000/LvacE(AA1522)</f>
        <v>27105.061046969735</v>
      </c>
      <c r="AD1522" s="10">
        <f t="shared" si="811"/>
        <v>8.6744673352003743E-3</v>
      </c>
      <c r="AE1522" s="10" t="b">
        <f t="shared" si="812"/>
        <v>1</v>
      </c>
      <c r="AP1522"/>
      <c r="AQ1522"/>
      <c r="AU1522" s="16" cm="1">
        <f t="array" ref="AU1522">$C1522*EXP(poly_from_str(100000000/$E1522,AU$4342))</f>
        <v>0.50632043546844019</v>
      </c>
    </row>
    <row r="1523" spans="1:48" x14ac:dyDescent="0.25">
      <c r="A1523" t="s">
        <v>2216</v>
      </c>
      <c r="B1523" s="2" t="str">
        <f t="shared" si="808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809"/>
        <v>3687.683</v>
      </c>
      <c r="AB1523" s="3">
        <f t="shared" si="810"/>
        <v>27109.58</v>
      </c>
      <c r="AC1523" s="3" cm="1">
        <f t="array" ref="AC1523">100000000/LvacE(AA1523)</f>
        <v>27109.581278633195</v>
      </c>
      <c r="AD1523" s="10">
        <f t="shared" si="811"/>
        <v>8.6756930135579967E-3</v>
      </c>
      <c r="AE1523" s="10" t="b">
        <f t="shared" si="812"/>
        <v>1</v>
      </c>
      <c r="AP1523"/>
      <c r="AQ1523"/>
      <c r="AU1523" s="16" cm="1">
        <f t="array" ref="AU1523">$C1523*EXP(poly_from_str(100000000/$E1523,AU$4342))</f>
        <v>0.25388981071038058</v>
      </c>
    </row>
    <row r="1524" spans="1:48" x14ac:dyDescent="0.25">
      <c r="A1524" t="s">
        <v>2217</v>
      </c>
      <c r="B1524" s="2" t="str">
        <f t="shared" si="808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809"/>
        <v>3686.761</v>
      </c>
      <c r="AB1524" s="3">
        <f t="shared" si="810"/>
        <v>27116.36</v>
      </c>
      <c r="AC1524" s="3" cm="1">
        <f t="array" ref="AC1524">100000000/LvacE(AA1524)</f>
        <v>27116.360776197776</v>
      </c>
      <c r="AD1524" s="10">
        <f t="shared" si="811"/>
        <v>8.6775316838001958E-3</v>
      </c>
      <c r="AE1524" s="10" t="b">
        <f t="shared" si="812"/>
        <v>1</v>
      </c>
      <c r="AJ1524" t="s">
        <v>4771</v>
      </c>
      <c r="AK1524" t="s">
        <v>4850</v>
      </c>
      <c r="AL1524">
        <v>36652.29</v>
      </c>
      <c r="AM1524">
        <v>63768.66</v>
      </c>
      <c r="AN1524" s="10" cm="1">
        <f t="array" ref="AN1524">Lair(100000000/($AM1524-$AL1524))</f>
        <v>3686.7597408334836</v>
      </c>
      <c r="AO1524" s="10">
        <f>100000000/($AM1524-$AL1524)</f>
        <v>3687.8092458540723</v>
      </c>
      <c r="AP1524" s="12">
        <v>6300000</v>
      </c>
      <c r="AQ1524" s="3">
        <v>0.16900000000000001</v>
      </c>
      <c r="AR1524" s="3">
        <f>LN(AU1524*100000000/($AM1524-$AL1524)/AP1524)</f>
        <v>-6.6125875318114549</v>
      </c>
      <c r="AS1524" s="13">
        <f>EXP(AR$4341*$AM1524+AR$4342)*$AP1524/(100000000/($AM1524-$AL1524))</f>
        <v>1.2609387560186676</v>
      </c>
      <c r="AT1524" s="3">
        <f>LN(AS1524/$C1524)</f>
        <v>-1.9653680893214169</v>
      </c>
      <c r="AU1524" s="16" cm="1">
        <f t="array" ref="AU1524">$C1524*EXP(poly_from_str(100000000/$E1524,AU$4342))</f>
        <v>2.2948897408048281</v>
      </c>
      <c r="AV1524" s="13">
        <f>LN(AS1524/AU1524)</f>
        <v>-0.59882831112129642</v>
      </c>
    </row>
    <row r="1525" spans="1:48" x14ac:dyDescent="0.25">
      <c r="A1525" t="s">
        <v>2218</v>
      </c>
      <c r="B1525" s="2" t="str">
        <f t="shared" si="808"/>
        <v/>
      </c>
      <c r="C1525">
        <v>2</v>
      </c>
      <c r="D1525" t="s">
        <v>1156</v>
      </c>
      <c r="E1525">
        <v>27118.55</v>
      </c>
      <c r="R1525">
        <v>15</v>
      </c>
      <c r="S1525" t="s">
        <v>22</v>
      </c>
      <c r="AA1525" s="10">
        <f t="shared" si="809"/>
        <v>3686.4639999999999</v>
      </c>
      <c r="AB1525" s="3">
        <f t="shared" si="810"/>
        <v>27118.55</v>
      </c>
      <c r="AC1525" s="3" cm="1">
        <f t="array" ref="AC1525">100000000/LvacE(AA1525)</f>
        <v>27118.545349466942</v>
      </c>
      <c r="AD1525" s="10">
        <f t="shared" si="811"/>
        <v>8.6781242607369743E-3</v>
      </c>
      <c r="AE1525" s="10" t="b">
        <f t="shared" si="812"/>
        <v>1</v>
      </c>
      <c r="AP1525"/>
      <c r="AQ1525"/>
      <c r="AU1525" s="16" cm="1">
        <f t="array" ref="AU1525">$C1525*EXP(poly_from_str(100000000/$E1525,AU$4342))</f>
        <v>0.51068660815110167</v>
      </c>
    </row>
    <row r="1526" spans="1:48" x14ac:dyDescent="0.25">
      <c r="A1526" t="s">
        <v>2219</v>
      </c>
      <c r="B1526" s="2" t="str">
        <f t="shared" si="808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809"/>
        <v>3684.9180000000001</v>
      </c>
      <c r="AB1526" s="3">
        <f t="shared" si="810"/>
        <v>27129.919999999998</v>
      </c>
      <c r="AC1526" s="3" cm="1">
        <f t="array" ref="AC1526">100000000/LvacE(AA1526)</f>
        <v>27129.922586412598</v>
      </c>
      <c r="AD1526" s="10">
        <f t="shared" si="811"/>
        <v>8.6812111675772172E-3</v>
      </c>
      <c r="AE1526" s="10" t="b">
        <f t="shared" si="812"/>
        <v>1</v>
      </c>
      <c r="AP1526"/>
      <c r="AQ1526"/>
      <c r="AU1526" s="16" cm="1">
        <f t="array" ref="AU1526">$C1526*EXP(poly_from_str(100000000/$E1526,AU$4342))</f>
        <v>0.25719643701217709</v>
      </c>
    </row>
    <row r="1527" spans="1:48" x14ac:dyDescent="0.25">
      <c r="A1527" t="s">
        <v>2220</v>
      </c>
      <c r="B1527" s="2" t="str">
        <f t="shared" si="808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849">$G1527&amp;""</f>
        <v>o</v>
      </c>
      <c r="N1527" t="str">
        <f t="shared" ref="N1527:N1530" si="850">$H1527&amp;""</f>
        <v>9/2</v>
      </c>
      <c r="O1527">
        <v>27138.55</v>
      </c>
      <c r="P1527" t="str">
        <f t="shared" ref="P1527:P1530" si="851">$J1527&amp;""</f>
        <v>e</v>
      </c>
      <c r="Q1527" t="str">
        <f t="shared" ref="Q1527:Q1530" si="852">$K1527&amp;""</f>
        <v>7/2</v>
      </c>
      <c r="R1527">
        <v>15</v>
      </c>
      <c r="S1527" t="s">
        <v>6</v>
      </c>
      <c r="AA1527" s="10">
        <f t="shared" si="809"/>
        <v>3683.7449999999999</v>
      </c>
      <c r="AB1527" s="3">
        <f t="shared" si="810"/>
        <v>27138.560000000001</v>
      </c>
      <c r="AC1527" s="3" cm="1">
        <f t="array" ref="AC1527">100000000/LvacE(AA1527)</f>
        <v>27138.561233844146</v>
      </c>
      <c r="AD1527" s="10">
        <f t="shared" si="811"/>
        <v>8.6835558967632322E-3</v>
      </c>
      <c r="AE1527" s="10" t="b">
        <f t="shared" si="812"/>
        <v>1</v>
      </c>
      <c r="AJ1527" t="s">
        <v>4757</v>
      </c>
      <c r="AK1527" t="s">
        <v>4723</v>
      </c>
      <c r="AL1527">
        <v>0</v>
      </c>
      <c r="AM1527">
        <v>27138.55</v>
      </c>
      <c r="AN1527" s="10" cm="1">
        <f t="array" ref="AN1527">Lair(100000000/($AM1527-$AL1527))</f>
        <v>3683.7465198354344</v>
      </c>
      <c r="AO1527" s="10">
        <f t="shared" ref="AO1527:AO1530" si="853">100000000/($AM1527-$AL1527)</f>
        <v>3684.7952451402157</v>
      </c>
      <c r="AP1527" s="12">
        <v>411000</v>
      </c>
      <c r="AQ1527" s="3">
        <v>1.7999999999999999E-2</v>
      </c>
      <c r="AR1527" s="3"/>
      <c r="AS1527" s="13">
        <f t="shared" ref="AS1527:AS1528" si="854">EXP(AR$4341*$AM1527+AR$4342)*$AP1527/(100000000/($AM1527-$AL1527))</f>
        <v>1.2865104577764108</v>
      </c>
      <c r="AT1527" s="3"/>
      <c r="AU1527" s="16" cm="1">
        <f t="array" ref="AU1527">$C1527*EXP(poly_from_str(100000000/$E1527,AU$4342))</f>
        <v>1.0344507245839534</v>
      </c>
    </row>
    <row r="1528" spans="1:48" x14ac:dyDescent="0.25">
      <c r="A1528" t="s">
        <v>2221</v>
      </c>
      <c r="B1528" s="2" t="str">
        <f t="shared" si="808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849"/>
        <v>e</v>
      </c>
      <c r="N1528" t="str">
        <f t="shared" si="850"/>
        <v>11/2</v>
      </c>
      <c r="O1528">
        <v>63816.91</v>
      </c>
      <c r="P1528" t="str">
        <f t="shared" si="851"/>
        <v>o</v>
      </c>
      <c r="Q1528" t="str">
        <f t="shared" si="852"/>
        <v>11/2</v>
      </c>
      <c r="R1528">
        <v>15</v>
      </c>
      <c r="AA1528" s="10">
        <f t="shared" si="809"/>
        <v>3682.69</v>
      </c>
      <c r="AB1528" s="3">
        <f t="shared" si="810"/>
        <v>27146.34</v>
      </c>
      <c r="AC1528" s="3" cm="1">
        <f t="array" ref="AC1528">100000000/LvacE(AA1528)</f>
        <v>27146.335561694817</v>
      </c>
      <c r="AD1528" s="10">
        <f t="shared" si="811"/>
        <v>8.6856666678019091E-3</v>
      </c>
      <c r="AE1528" s="10" t="b">
        <f t="shared" si="812"/>
        <v>1</v>
      </c>
      <c r="AJ1528" t="s">
        <v>4772</v>
      </c>
      <c r="AK1528" t="s">
        <v>4928</v>
      </c>
      <c r="AL1528">
        <v>36670.57</v>
      </c>
      <c r="AM1528">
        <v>63816.91</v>
      </c>
      <c r="AN1528" s="10" cm="1">
        <f t="array" ref="AN1528">Lair(100000000/($AM1528-$AL1528))</f>
        <v>3682.6893928089121</v>
      </c>
      <c r="AO1528" s="10">
        <f t="shared" si="853"/>
        <v>3683.7378445860468</v>
      </c>
      <c r="AP1528" s="12">
        <v>2910000</v>
      </c>
      <c r="AQ1528" s="3">
        <v>0.10199999999999999</v>
      </c>
      <c r="AR1528" s="3">
        <f>LN(AU1528*100000000/($AM1528-$AL1528)/AP1528)</f>
        <v>-6.9208498105145946</v>
      </c>
      <c r="AS1528" s="13">
        <f t="shared" si="854"/>
        <v>0.58096983402759772</v>
      </c>
      <c r="AT1528" s="3">
        <f t="shared" ref="AT1528" si="855">LN(AS1528/$C1528)</f>
        <v>-1.6416687329249273</v>
      </c>
      <c r="AU1528" s="16" cm="1">
        <f t="array" ref="AU1528">$C1528*EXP(poly_from_str(100000000/$E1528,AU$4342))</f>
        <v>0.7796817887537888</v>
      </c>
      <c r="AV1528" s="13">
        <f>LN(AS1528/AU1528)</f>
        <v>-0.29418703858254952</v>
      </c>
    </row>
    <row r="1529" spans="1:48" x14ac:dyDescent="0.25">
      <c r="A1529" t="s">
        <v>2222</v>
      </c>
      <c r="B1529" s="2" t="str">
        <f t="shared" si="808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849"/>
        <v>o</v>
      </c>
      <c r="N1529" t="str">
        <f t="shared" si="850"/>
        <v>1/2</v>
      </c>
      <c r="O1529">
        <v>45844.65</v>
      </c>
      <c r="P1529" t="str">
        <f t="shared" si="851"/>
        <v>e</v>
      </c>
      <c r="Q1529" t="str">
        <f t="shared" si="852"/>
        <v>3/2</v>
      </c>
      <c r="R1529">
        <v>15</v>
      </c>
      <c r="S1529" t="s">
        <v>6</v>
      </c>
      <c r="AA1529" s="10">
        <f t="shared" si="809"/>
        <v>3682.0590000000002</v>
      </c>
      <c r="AB1529" s="3">
        <f t="shared" si="810"/>
        <v>27150.99</v>
      </c>
      <c r="AC1529" s="3" cm="1">
        <f t="array" ref="AC1529">100000000/LvacE(AA1529)</f>
        <v>27150.987549403253</v>
      </c>
      <c r="AD1529" s="10">
        <f t="shared" si="811"/>
        <v>8.686929996152051E-3</v>
      </c>
      <c r="AE1529" s="10" t="b">
        <f t="shared" si="812"/>
        <v>1</v>
      </c>
      <c r="AJ1529" t="s">
        <v>4795</v>
      </c>
      <c r="AK1529" t="s">
        <v>4971</v>
      </c>
      <c r="AL1529">
        <v>18693.650000000001</v>
      </c>
      <c r="AM1529">
        <v>45844.65</v>
      </c>
      <c r="AN1529" s="10" cm="1">
        <f t="array" ref="AN1529">Lair(100000000/($AM1529-$AL1529))</f>
        <v>3682.0573064053451</v>
      </c>
      <c r="AO1529" s="10">
        <f t="shared" si="853"/>
        <v>3683.1055946373981</v>
      </c>
      <c r="AU1529" s="16" cm="1">
        <f t="array" ref="AU1529">$C1529*EXP(poly_from_str(100000000/$E1529,AU$4342))</f>
        <v>0.26066242312213239</v>
      </c>
    </row>
    <row r="1530" spans="1:48" x14ac:dyDescent="0.25">
      <c r="A1530" t="s">
        <v>2223</v>
      </c>
      <c r="B1530" s="2" t="str">
        <f t="shared" si="808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849"/>
        <v>e</v>
      </c>
      <c r="N1530" t="str">
        <f t="shared" si="850"/>
        <v>5/2</v>
      </c>
      <c r="O1530">
        <v>53092.800000000003</v>
      </c>
      <c r="P1530" t="str">
        <f t="shared" si="851"/>
        <v>o</v>
      </c>
      <c r="Q1530" t="str">
        <f t="shared" si="852"/>
        <v>7/2</v>
      </c>
      <c r="R1530">
        <v>15</v>
      </c>
      <c r="AA1530" s="10">
        <f t="shared" si="809"/>
        <v>3681.134</v>
      </c>
      <c r="AB1530" s="3">
        <f t="shared" si="810"/>
        <v>27157.81</v>
      </c>
      <c r="AC1530" s="3" cm="1">
        <f t="array" ref="AC1530">100000000/LvacE(AA1530)</f>
        <v>27157.809906693157</v>
      </c>
      <c r="AD1530" s="10">
        <f t="shared" si="811"/>
        <v>8.6887831177421358E-3</v>
      </c>
      <c r="AE1530" s="10" t="b">
        <f t="shared" si="812"/>
        <v>1</v>
      </c>
      <c r="AJ1530" t="s">
        <v>4713</v>
      </c>
      <c r="AK1530" t="s">
        <v>4814</v>
      </c>
      <c r="AL1530">
        <v>25934.98</v>
      </c>
      <c r="AM1530">
        <v>53092.800000000003</v>
      </c>
      <c r="AN1530" s="10" cm="1">
        <f t="array" ref="AN1530">Lair(100000000/($AM1530-$AL1530))</f>
        <v>3681.1326267800714</v>
      </c>
      <c r="AO1530" s="10">
        <f t="shared" si="853"/>
        <v>3682.1806757685258</v>
      </c>
      <c r="AP1530" s="12">
        <v>308000</v>
      </c>
      <c r="AQ1530" s="3">
        <v>3.0000000000000001E-3</v>
      </c>
      <c r="AR1530" s="3"/>
      <c r="AS1530" s="13">
        <f>EXP(AR$4341*$AM1530+AR$4342)*$AP1530/(100000000/($AM1530-$AL1530))</f>
        <v>0.13756860929927672</v>
      </c>
      <c r="AT1530" s="3"/>
      <c r="AU1530" s="16" cm="1">
        <f t="array" ref="AU1530">$C1530*EXP(poly_from_str(100000000/$E1530,AU$4342))</f>
        <v>0.26179322080591094</v>
      </c>
    </row>
    <row r="1531" spans="1:48" x14ac:dyDescent="0.25">
      <c r="A1531" t="s">
        <v>2224</v>
      </c>
      <c r="B1531" s="2" t="str">
        <f t="shared" si="808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809"/>
        <v>3680.77</v>
      </c>
      <c r="AB1531" s="3">
        <f t="shared" si="810"/>
        <v>27160.5</v>
      </c>
      <c r="AC1531" s="3" cm="1">
        <f t="array" ref="AC1531">100000000/LvacE(AA1531)</f>
        <v>27160.495536614653</v>
      </c>
      <c r="AD1531" s="10">
        <f t="shared" si="811"/>
        <v>8.6895127292135419E-3</v>
      </c>
      <c r="AE1531" s="10" t="b">
        <f t="shared" si="812"/>
        <v>1</v>
      </c>
      <c r="AP1531"/>
      <c r="AQ1531"/>
      <c r="AU1531" s="16" cm="1">
        <f t="array" ref="AU1531">$C1531*EXP(poly_from_str(100000000/$E1531,AU$4342))</f>
        <v>0.26224044255345974</v>
      </c>
    </row>
    <row r="1532" spans="1:48" x14ac:dyDescent="0.25">
      <c r="A1532" t="s">
        <v>2225</v>
      </c>
      <c r="B1532" s="2" t="str">
        <f t="shared" si="808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809"/>
        <v>3680.41</v>
      </c>
      <c r="AB1532" s="3">
        <f t="shared" si="810"/>
        <v>27163.15</v>
      </c>
      <c r="AC1532" s="3" cm="1">
        <f t="array" ref="AC1532">100000000/LvacE(AA1532)</f>
        <v>27163.152176601041</v>
      </c>
      <c r="AD1532" s="10">
        <f t="shared" si="811"/>
        <v>8.6902345359078266E-3</v>
      </c>
      <c r="AE1532" s="10" t="b">
        <f t="shared" si="812"/>
        <v>1</v>
      </c>
      <c r="AP1532"/>
      <c r="AQ1532"/>
      <c r="AU1532" s="16" cm="1">
        <f t="array" ref="AU1532">$C1532*EXP(poly_from_str(100000000/$E1532,AU$4342))</f>
        <v>0</v>
      </c>
    </row>
    <row r="1533" spans="1:48" x14ac:dyDescent="0.25">
      <c r="A1533" t="s">
        <v>2226</v>
      </c>
      <c r="B1533" s="2" t="str">
        <f t="shared" si="808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856">$G1533&amp;""</f>
        <v>e</v>
      </c>
      <c r="N1533" t="str">
        <f t="shared" ref="N1533:N1534" si="857">$H1533&amp;""</f>
        <v>9/2</v>
      </c>
      <c r="O1533">
        <v>58158.080000000002</v>
      </c>
      <c r="P1533" t="str">
        <f t="shared" ref="P1533:P1534" si="858">$J1533&amp;""</f>
        <v>o</v>
      </c>
      <c r="Q1533" t="str">
        <f t="shared" ref="Q1533:Q1534" si="859">$K1533&amp;""</f>
        <v>7/2</v>
      </c>
      <c r="R1533">
        <v>15</v>
      </c>
      <c r="AA1533" s="10">
        <f t="shared" si="809"/>
        <v>3680.366</v>
      </c>
      <c r="AB1533" s="3">
        <f t="shared" si="810"/>
        <v>27163.48</v>
      </c>
      <c r="AC1533" s="3" cm="1">
        <f t="array" ref="AC1533">100000000/LvacE(AA1533)</f>
        <v>27163.476912685208</v>
      </c>
      <c r="AD1533" s="10">
        <f t="shared" si="811"/>
        <v>8.690322771252262E-3</v>
      </c>
      <c r="AE1533" s="10" t="b">
        <f t="shared" si="812"/>
        <v>1</v>
      </c>
      <c r="AJ1533" t="s">
        <v>4788</v>
      </c>
      <c r="AK1533" t="s">
        <v>4902</v>
      </c>
      <c r="AL1533">
        <v>30994.55</v>
      </c>
      <c r="AM1533">
        <v>58158.080000000002</v>
      </c>
      <c r="AN1533" s="10" cm="1">
        <f t="array" ref="AN1533">Lair(100000000/($AM1533-$AL1533))</f>
        <v>3680.3588019738586</v>
      </c>
      <c r="AO1533" s="10">
        <f t="shared" ref="AO1533:AO1534" si="860">100000000/($AM1533-$AL1533)</f>
        <v>3681.4066507556267</v>
      </c>
      <c r="AP1533" s="12">
        <v>7450000</v>
      </c>
      <c r="AQ1533" s="3">
        <v>0.01</v>
      </c>
      <c r="AR1533" s="3"/>
      <c r="AS1533" s="13">
        <f t="shared" ref="AS1533:AS1534" si="861">EXP(AR$4341*$AM1533+AR$4342)*$AP1533/(100000000/($AM1533-$AL1533))</f>
        <v>2.2757607618384088</v>
      </c>
      <c r="AT1533" s="3"/>
      <c r="AU1533" s="16" cm="1">
        <f t="array" ref="AU1533">$C1533*EXP(poly_from_str(100000000/$E1533,AU$4342))</f>
        <v>0.78821002095819948</v>
      </c>
    </row>
    <row r="1534" spans="1:48" x14ac:dyDescent="0.25">
      <c r="A1534" t="s">
        <v>2227</v>
      </c>
      <c r="B1534" s="2" t="str">
        <f t="shared" si="808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856"/>
        <v>e</v>
      </c>
      <c r="N1534" t="str">
        <f t="shared" si="857"/>
        <v>13/2</v>
      </c>
      <c r="O1534">
        <v>63816.91</v>
      </c>
      <c r="P1534" t="str">
        <f t="shared" si="858"/>
        <v>o</v>
      </c>
      <c r="Q1534" t="str">
        <f t="shared" si="859"/>
        <v>11/2</v>
      </c>
      <c r="R1534">
        <v>15</v>
      </c>
      <c r="AA1534" s="10">
        <f t="shared" si="809"/>
        <v>3678.835</v>
      </c>
      <c r="AB1534" s="3">
        <f t="shared" si="810"/>
        <v>27174.78</v>
      </c>
      <c r="AC1534" s="3" cm="1">
        <f t="array" ref="AC1534">100000000/LvacE(AA1534)</f>
        <v>27174.781089659347</v>
      </c>
      <c r="AD1534" s="10">
        <f t="shared" si="811"/>
        <v>8.6933949320449743E-3</v>
      </c>
      <c r="AE1534" s="10" t="b">
        <f t="shared" si="812"/>
        <v>1</v>
      </c>
      <c r="AJ1534" t="s">
        <v>4793</v>
      </c>
      <c r="AK1534" t="s">
        <v>4928</v>
      </c>
      <c r="AL1534">
        <v>36642.129999999997</v>
      </c>
      <c r="AM1534">
        <v>63816.91</v>
      </c>
      <c r="AN1534" s="10" cm="1">
        <f t="array" ref="AN1534">Lair(100000000/($AM1534-$AL1534))</f>
        <v>3678.8351424343209</v>
      </c>
      <c r="AO1534" s="10">
        <f t="shared" si="860"/>
        <v>3679.8825970256235</v>
      </c>
      <c r="AP1534" s="12">
        <v>18100000</v>
      </c>
      <c r="AQ1534" s="3">
        <v>0.16700000000000001</v>
      </c>
      <c r="AR1534" s="3">
        <f>LN(AU1534*100000000/($AM1534-$AL1534)/AP1534)</f>
        <v>-6.4290268715274355</v>
      </c>
      <c r="AS1534" s="13">
        <f t="shared" si="861"/>
        <v>3.617378236794937</v>
      </c>
      <c r="AT1534" s="3">
        <f t="shared" ref="AT1534" si="862">LN(AS1534/$C1534)</f>
        <v>-2.1154478621951434</v>
      </c>
      <c r="AU1534" s="16" cm="1">
        <f t="array" ref="AU1534">$C1534*EXP(poly_from_str(100000000/$E1534,AU$4342))</f>
        <v>7.9387790947914727</v>
      </c>
      <c r="AV1534" s="13">
        <f>LN(AS1534/AU1534)</f>
        <v>-0.78600997756970892</v>
      </c>
    </row>
    <row r="1535" spans="1:48" x14ac:dyDescent="0.25">
      <c r="A1535" t="s">
        <v>2228</v>
      </c>
      <c r="B1535" s="2" t="str">
        <f t="shared" si="808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809"/>
        <v>3678.2750000000001</v>
      </c>
      <c r="AB1535" s="3">
        <f t="shared" si="810"/>
        <v>27178.92</v>
      </c>
      <c r="AC1535" s="3" cm="1">
        <f t="array" ref="AC1535">100000000/LvacE(AA1535)</f>
        <v>27178.918214138583</v>
      </c>
      <c r="AD1535" s="10">
        <f t="shared" si="811"/>
        <v>8.6945196068997817E-3</v>
      </c>
      <c r="AE1535" s="10" t="b">
        <f t="shared" si="812"/>
        <v>1</v>
      </c>
      <c r="AP1535"/>
      <c r="AQ1535"/>
      <c r="AU1535" s="16" cm="1">
        <f t="array" ref="AU1535">$C1535*EXP(poly_from_str(100000000/$E1535,AU$4342))</f>
        <v>0</v>
      </c>
    </row>
    <row r="1536" spans="1:48" x14ac:dyDescent="0.25">
      <c r="A1536" t="s">
        <v>2229</v>
      </c>
      <c r="B1536" s="2" t="str">
        <f t="shared" si="808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809"/>
        <v>3678.22</v>
      </c>
      <c r="AB1536" s="3">
        <f t="shared" si="810"/>
        <v>27179.32</v>
      </c>
      <c r="AC1536" s="3" cm="1">
        <f t="array" ref="AC1536">100000000/LvacE(AA1536)</f>
        <v>27179.324606798975</v>
      </c>
      <c r="AD1536" s="10">
        <f t="shared" si="811"/>
        <v>8.6946300937408554E-3</v>
      </c>
      <c r="AE1536" s="10" t="b">
        <f t="shared" si="812"/>
        <v>1</v>
      </c>
      <c r="AP1536"/>
      <c r="AQ1536"/>
      <c r="AU1536" s="16" cm="1">
        <f t="array" ref="AU1536">$C1536*EXP(poly_from_str(100000000/$E1536,AU$4342))</f>
        <v>0</v>
      </c>
    </row>
    <row r="1537" spans="1:48" x14ac:dyDescent="0.25">
      <c r="A1537" t="s">
        <v>2230</v>
      </c>
      <c r="B1537" s="2" t="str">
        <f t="shared" si="808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809"/>
        <v>3678.1529999999998</v>
      </c>
      <c r="AB1537" s="3">
        <f t="shared" si="810"/>
        <v>27179.82</v>
      </c>
      <c r="AC1537" s="3" cm="1">
        <f t="array" ref="AC1537">100000000/LvacE(AA1537)</f>
        <v>27179.819683368762</v>
      </c>
      <c r="AD1537" s="10">
        <f t="shared" si="811"/>
        <v>8.6947646934981727E-3</v>
      </c>
      <c r="AE1537" s="10" t="b">
        <f t="shared" si="812"/>
        <v>1</v>
      </c>
      <c r="AJ1537" t="s">
        <v>4788</v>
      </c>
      <c r="AK1537" t="s">
        <v>4698</v>
      </c>
      <c r="AL1537">
        <v>30994.55</v>
      </c>
      <c r="AM1537">
        <v>58174.15</v>
      </c>
      <c r="AN1537" s="10" cm="1">
        <f t="array" ref="AN1537">Lair(100000000/($AM1537-$AL1537))</f>
        <v>3678.1827249343687</v>
      </c>
      <c r="AO1537" s="10">
        <f>100000000/($AM1537-$AL1537)</f>
        <v>3679.2300107433512</v>
      </c>
      <c r="AP1537" s="12">
        <v>33400000</v>
      </c>
      <c r="AQ1537" s="3">
        <v>3.7999999999999999E-2</v>
      </c>
      <c r="AR1537" s="3"/>
      <c r="AS1537" s="13">
        <f>EXP(AR$4341*$AM1537+AR$4342)*$AP1537/(100000000/($AM1537-$AL1537))</f>
        <v>10.196471107670652</v>
      </c>
      <c r="AT1537" s="3"/>
      <c r="AU1537" s="16" cm="1">
        <f t="array" ref="AU1537">$C1537*EXP(poly_from_str(100000000/$E1537,AU$4342))</f>
        <v>7.9641757080307061</v>
      </c>
    </row>
    <row r="1538" spans="1:48" x14ac:dyDescent="0.25">
      <c r="A1538" t="s">
        <v>2231</v>
      </c>
      <c r="B1538" s="2" t="str">
        <f t="shared" si="808"/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809"/>
        <v>3677.1460000000002</v>
      </c>
      <c r="AB1538" s="3">
        <f t="shared" si="810"/>
        <v>27187.26</v>
      </c>
      <c r="AC1538" s="3" cm="1">
        <f t="array" ref="AC1538">100000000/LvacE(AA1538)</f>
        <v>27187.262783531012</v>
      </c>
      <c r="AD1538" s="10">
        <f t="shared" si="811"/>
        <v>8.6967885941340115E-3</v>
      </c>
      <c r="AE1538" s="10" t="b">
        <f t="shared" si="812"/>
        <v>1</v>
      </c>
      <c r="AP1538"/>
      <c r="AQ1538"/>
      <c r="AU1538" s="16" cm="1">
        <f t="array" ref="AU1538">$C1538*EXP(poly_from_str(100000000/$E1538,AU$4342))</f>
        <v>0.266726600092766</v>
      </c>
    </row>
    <row r="1539" spans="1:48" x14ac:dyDescent="0.25">
      <c r="A1539" t="s">
        <v>2232</v>
      </c>
      <c r="B1539" s="2" t="str">
        <f t="shared" ref="B1539:B1601" si="863">IF(OR(A1539=A1538,A1539=A1540),IF(B1538="",1,B1538+1),"")</f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864">$G1539&amp;""</f>
        <v>e</v>
      </c>
      <c r="N1539" t="str">
        <f t="shared" ref="N1539:N1540" si="865">$H1539&amp;""</f>
        <v>5/2</v>
      </c>
      <c r="O1539">
        <v>61717.98</v>
      </c>
      <c r="P1539" t="str">
        <f t="shared" ref="P1539:P1540" si="866">$J1539&amp;""</f>
        <v>o</v>
      </c>
      <c r="Q1539" t="str">
        <f t="shared" ref="Q1539:Q1540" si="867">$K1539&amp;""</f>
        <v>5/2</v>
      </c>
      <c r="R1539">
        <v>15</v>
      </c>
      <c r="AA1539" s="10">
        <f t="shared" ref="AA1539:AA1602" si="868">ROUND($A1539,3)+0</f>
        <v>3675.73</v>
      </c>
      <c r="AB1539" s="3">
        <f t="shared" ref="AB1539:AB1602" si="869">ROUND($E1539,2)+0</f>
        <v>27197.74</v>
      </c>
      <c r="AC1539" s="3" cm="1">
        <f t="array" ref="AC1539">100000000/LvacE(AA1539)</f>
        <v>27197.735849076904</v>
      </c>
      <c r="AD1539" s="10">
        <f t="shared" ref="AD1539:AD1602" si="870">0.0005/$AA1539*AC1539+0.005</f>
        <v>8.6996373304182983E-3</v>
      </c>
      <c r="AE1539" s="10" t="b">
        <f t="shared" ref="AE1539:AE1602" si="871">ABS(AB1539-AC1539)&lt;AD1539</f>
        <v>1</v>
      </c>
      <c r="AJ1539" t="s">
        <v>4722</v>
      </c>
      <c r="AK1539" t="s">
        <v>4880</v>
      </c>
      <c r="AL1539">
        <v>34520.269999999997</v>
      </c>
      <c r="AM1539">
        <v>61717.98</v>
      </c>
      <c r="AN1539" s="10" cm="1">
        <f t="array" ref="AN1539">Lair(100000000/($AM1539-$AL1539))</f>
        <v>3675.7334884615802</v>
      </c>
      <c r="AO1539" s="10">
        <f t="shared" ref="AO1539:AO1540" si="872">100000000/($AM1539-$AL1539)</f>
        <v>3676.7801406809608</v>
      </c>
      <c r="AP1539" s="12">
        <v>1840000</v>
      </c>
      <c r="AQ1539" s="3">
        <v>7.0000000000000007E-2</v>
      </c>
      <c r="AR1539" s="3">
        <f>LN(AU1539*100000000/($AM1539-$AL1539)/AP1539)</f>
        <v>-5.9209423723865049</v>
      </c>
      <c r="AS1539" s="13">
        <f t="shared" ref="AS1539:AS1540" si="873">EXP(AR$4341*$AM1539+AR$4342)*$AP1539/(100000000/($AM1539-$AL1539))</f>
        <v>0.43083266601159415</v>
      </c>
      <c r="AT1539" s="3">
        <f t="shared" ref="AT1539" si="874">LN(AS1539/$C1539)</f>
        <v>-2.4514734226122217</v>
      </c>
      <c r="AU1539" s="16" cm="1">
        <f t="array" ref="AU1539">$C1539*EXP(poly_from_str(100000000/$E1539,AU$4342))</f>
        <v>1.3425101002142512</v>
      </c>
      <c r="AV1539" s="13">
        <f>LN(AS1539/AU1539)</f>
        <v>-1.1365765809877617</v>
      </c>
    </row>
    <row r="1540" spans="1:48" x14ac:dyDescent="0.25">
      <c r="A1540" t="s">
        <v>2233</v>
      </c>
      <c r="B1540" s="2" t="str">
        <f t="shared" si="863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864"/>
        <v>e</v>
      </c>
      <c r="N1540" t="str">
        <f t="shared" si="865"/>
        <v>3/2</v>
      </c>
      <c r="O1540">
        <v>64401.03</v>
      </c>
      <c r="P1540" t="str">
        <f t="shared" si="866"/>
        <v>o</v>
      </c>
      <c r="Q1540" t="str">
        <f t="shared" si="867"/>
        <v>5/2</v>
      </c>
      <c r="R1540">
        <v>15</v>
      </c>
      <c r="AA1540" s="10">
        <f t="shared" si="868"/>
        <v>3674.9589999999998</v>
      </c>
      <c r="AB1540" s="3">
        <f t="shared" si="869"/>
        <v>27203.439999999999</v>
      </c>
      <c r="AC1540" s="3" cm="1">
        <f t="array" ref="AC1540">100000000/LvacE(AA1540)</f>
        <v>27203.441737970228</v>
      </c>
      <c r="AD1540" s="10">
        <f t="shared" si="870"/>
        <v>8.7011898279640981E-3</v>
      </c>
      <c r="AE1540" s="10" t="b">
        <f t="shared" si="871"/>
        <v>1</v>
      </c>
      <c r="AJ1540" t="s">
        <v>4787</v>
      </c>
      <c r="AK1540" t="s">
        <v>4837</v>
      </c>
      <c r="AL1540">
        <v>37197.64</v>
      </c>
      <c r="AM1540">
        <v>64401.03</v>
      </c>
      <c r="AN1540" s="10" cm="1">
        <f t="array" ref="AN1540">Lair(100000000/($AM1540-$AL1540))</f>
        <v>3674.9659844694452</v>
      </c>
      <c r="AO1540" s="10">
        <f t="shared" si="872"/>
        <v>3676.0124381556857</v>
      </c>
      <c r="AP1540" s="12">
        <v>437000</v>
      </c>
      <c r="AQ1540" s="3">
        <v>0.01</v>
      </c>
      <c r="AR1540" s="3"/>
      <c r="AS1540" s="13">
        <f t="shared" si="873"/>
        <v>8.3678889003202181E-2</v>
      </c>
      <c r="AT1540" s="3"/>
      <c r="AU1540" s="16" cm="1">
        <f t="array" ref="AU1540">$C1540*EXP(poly_from_str(100000000/$E1540,AU$4342))</f>
        <v>0.26947205271406299</v>
      </c>
    </row>
    <row r="1541" spans="1:48" x14ac:dyDescent="0.25">
      <c r="A1541" t="s">
        <v>2234</v>
      </c>
      <c r="B1541" s="2" t="str">
        <f t="shared" si="863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868"/>
        <v>3674.3449999999998</v>
      </c>
      <c r="AB1541" s="3">
        <f t="shared" si="869"/>
        <v>27207.99</v>
      </c>
      <c r="AC1541" s="3" cm="1">
        <f t="array" ref="AC1541">100000000/LvacE(AA1541)</f>
        <v>27207.987440037537</v>
      </c>
      <c r="AD1541" s="10">
        <f t="shared" si="870"/>
        <v>8.7024268869740785E-3</v>
      </c>
      <c r="AE1541" s="10" t="b">
        <f t="shared" si="871"/>
        <v>1</v>
      </c>
      <c r="AP1541"/>
      <c r="AQ1541"/>
      <c r="AU1541" s="16" cm="1">
        <f t="array" ref="AU1541">$C1541*EXP(poly_from_str(100000000/$E1541,AU$4342))</f>
        <v>0</v>
      </c>
    </row>
    <row r="1542" spans="1:48" x14ac:dyDescent="0.25">
      <c r="A1542" t="s">
        <v>2235</v>
      </c>
      <c r="B1542" s="2" t="str">
        <f t="shared" si="863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868"/>
        <v>3674.3009999999999</v>
      </c>
      <c r="AB1542" s="3">
        <f t="shared" si="869"/>
        <v>27208.31</v>
      </c>
      <c r="AC1542" s="3" cm="1">
        <f t="array" ref="AC1542">100000000/LvacE(AA1542)</f>
        <v>27208.313249007741</v>
      </c>
      <c r="AD1542" s="10">
        <f t="shared" si="870"/>
        <v>8.7025155599674258E-3</v>
      </c>
      <c r="AE1542" s="10" t="b">
        <f t="shared" si="871"/>
        <v>1</v>
      </c>
      <c r="AP1542"/>
      <c r="AQ1542"/>
      <c r="AU1542" s="16" cm="1">
        <f t="array" ref="AU1542">$C1542*EXP(poly_from_str(100000000/$E1542,AU$4342))</f>
        <v>0</v>
      </c>
    </row>
    <row r="1543" spans="1:48" x14ac:dyDescent="0.25">
      <c r="A1543" t="s">
        <v>2236</v>
      </c>
      <c r="B1543" s="2" t="str">
        <f t="shared" si="863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875">$G1543&amp;""</f>
        <v>e</v>
      </c>
      <c r="N1543" t="str">
        <f t="shared" ref="N1543:N1544" si="876">$H1543&amp;""</f>
        <v>7/2</v>
      </c>
      <c r="O1543">
        <v>65935.25</v>
      </c>
      <c r="P1543" t="str">
        <f t="shared" ref="P1543:P1544" si="877">$J1543&amp;""</f>
        <v>o</v>
      </c>
      <c r="Q1543" t="str">
        <f t="shared" ref="Q1543:Q1544" si="878">$K1543&amp;""</f>
        <v>7/2</v>
      </c>
      <c r="R1543">
        <v>15</v>
      </c>
      <c r="AA1543" s="10">
        <f t="shared" si="868"/>
        <v>3674.248</v>
      </c>
      <c r="AB1543" s="3">
        <f t="shared" si="869"/>
        <v>27208.71</v>
      </c>
      <c r="AC1543" s="3" cm="1">
        <f t="array" ref="AC1543">100000000/LvacE(AA1543)</f>
        <v>27208.705711082108</v>
      </c>
      <c r="AD1543" s="10">
        <f t="shared" si="870"/>
        <v>8.7026223748481474E-3</v>
      </c>
      <c r="AE1543" s="10" t="b">
        <f t="shared" si="871"/>
        <v>1</v>
      </c>
      <c r="AJ1543" t="s">
        <v>4750</v>
      </c>
      <c r="AK1543" t="s">
        <v>4858</v>
      </c>
      <c r="AL1543">
        <v>38726.5</v>
      </c>
      <c r="AM1543">
        <v>65935.25</v>
      </c>
      <c r="AN1543" s="10" cm="1">
        <f t="array" ref="AN1543">Lair(100000000/($AM1543-$AL1543))</f>
        <v>3674.2420140054178</v>
      </c>
      <c r="AO1543" s="10">
        <f t="shared" ref="AO1543:AO1544" si="879">100000000/($AM1543-$AL1543)</f>
        <v>3675.288280424496</v>
      </c>
      <c r="AP1543" s="12">
        <v>8590000</v>
      </c>
      <c r="AQ1543" s="3">
        <v>2.8000000000000001E-2</v>
      </c>
      <c r="AR1543" s="3"/>
      <c r="AS1543" s="13">
        <f t="shared" ref="AS1543:AS1544" si="880">EXP(AR$4341*$AM1543+AR$4342)*$AP1543/(100000000/($AM1543-$AL1543))</f>
        <v>1.4662542789961774</v>
      </c>
      <c r="AT1543" s="3"/>
      <c r="AU1543" s="16" cm="1">
        <f t="array" ref="AU1543">$C1543*EXP(poly_from_str(100000000/$E1543,AU$4342))</f>
        <v>1.0814866722981773</v>
      </c>
    </row>
    <row r="1544" spans="1:48" x14ac:dyDescent="0.25">
      <c r="A1544" t="s">
        <v>2237</v>
      </c>
      <c r="B1544" s="2" t="str">
        <f t="shared" si="863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875"/>
        <v>e</v>
      </c>
      <c r="N1544" t="str">
        <f t="shared" si="876"/>
        <v>13/2</v>
      </c>
      <c r="O1544">
        <v>65922.42</v>
      </c>
      <c r="P1544" t="str">
        <f t="shared" si="877"/>
        <v>o</v>
      </c>
      <c r="Q1544" t="str">
        <f t="shared" si="878"/>
        <v>11/2</v>
      </c>
      <c r="R1544">
        <v>15</v>
      </c>
      <c r="AA1544" s="10">
        <f t="shared" si="868"/>
        <v>3672.6109999999999</v>
      </c>
      <c r="AB1544" s="3">
        <f t="shared" si="869"/>
        <v>27220.83</v>
      </c>
      <c r="AC1544" s="3" cm="1">
        <f t="array" ref="AC1544">100000000/LvacE(AA1544)</f>
        <v>27220.833183526596</v>
      </c>
      <c r="AD1544" s="10">
        <f t="shared" si="870"/>
        <v>8.7059238214347509E-3</v>
      </c>
      <c r="AE1544" s="10" t="b">
        <f t="shared" si="871"/>
        <v>1</v>
      </c>
      <c r="AJ1544" t="s">
        <v>4751</v>
      </c>
      <c r="AK1544" t="s">
        <v>4833</v>
      </c>
      <c r="AL1544">
        <v>38701.589999999997</v>
      </c>
      <c r="AM1544">
        <v>65922.42</v>
      </c>
      <c r="AN1544" s="10" cm="1">
        <f t="array" ref="AN1544">Lair(100000000/($AM1544-$AL1544))</f>
        <v>3672.61142442662</v>
      </c>
      <c r="AO1544" s="10">
        <f t="shared" si="879"/>
        <v>3673.6572690840062</v>
      </c>
      <c r="AP1544" s="12">
        <v>5130000</v>
      </c>
      <c r="AQ1544" s="3">
        <v>0.129</v>
      </c>
      <c r="AR1544" s="3">
        <f>LN(AU1544*100000000/($AM1544-$AL1544)/AP1544)</f>
        <v>-6.4625292928425457</v>
      </c>
      <c r="AS1544" s="13">
        <f t="shared" si="880"/>
        <v>0.87688860643955213</v>
      </c>
      <c r="AT1544" s="3">
        <f t="shared" ref="AT1544" si="881">LN(AS1544/$C1544)</f>
        <v>-2.210816852959645</v>
      </c>
      <c r="AU1544" s="16" cm="1">
        <f t="array" ref="AU1544">$C1544*EXP(poly_from_str(100000000/$E1544,AU$4342))</f>
        <v>2.1796056117163181</v>
      </c>
      <c r="AV1544" s="13">
        <f>LN(AS1544/AU1544)</f>
        <v>-0.91051925965751157</v>
      </c>
    </row>
    <row r="1545" spans="1:48" x14ac:dyDescent="0.25">
      <c r="A1545" t="s">
        <v>2238</v>
      </c>
      <c r="B1545" s="2" t="str">
        <f t="shared" si="863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868"/>
        <v>3670.3789999999999</v>
      </c>
      <c r="AB1545" s="3">
        <f t="shared" si="869"/>
        <v>27237.39</v>
      </c>
      <c r="AC1545" s="3" cm="1">
        <f t="array" ref="AC1545">100000000/LvacE(AA1545)</f>
        <v>27237.386054988914</v>
      </c>
      <c r="AD1545" s="10">
        <f t="shared" si="870"/>
        <v>8.7104323633865766E-3</v>
      </c>
      <c r="AE1545" s="10" t="b">
        <f t="shared" si="871"/>
        <v>1</v>
      </c>
      <c r="AP1545"/>
      <c r="AQ1545"/>
      <c r="AU1545" s="16" cm="1">
        <f t="array" ref="AU1545">$C1545*EXP(poly_from_str(100000000/$E1545,AU$4342))</f>
        <v>0.55062835057510162</v>
      </c>
    </row>
    <row r="1546" spans="1:48" x14ac:dyDescent="0.25">
      <c r="A1546" t="s">
        <v>2239</v>
      </c>
      <c r="B1546" s="2" t="str">
        <f t="shared" si="863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868"/>
        <v>3669.78</v>
      </c>
      <c r="AB1546" s="3">
        <f t="shared" si="869"/>
        <v>27241.83</v>
      </c>
      <c r="AC1546" s="3" cm="1">
        <f t="array" ref="AC1546">100000000/LvacE(AA1546)</f>
        <v>27241.831762244004</v>
      </c>
      <c r="AD1546" s="10">
        <f t="shared" si="870"/>
        <v>8.7116437173677987E-3</v>
      </c>
      <c r="AE1546" s="10" t="b">
        <f t="shared" si="871"/>
        <v>1</v>
      </c>
      <c r="AP1546"/>
      <c r="AQ1546"/>
      <c r="AU1546" s="16" cm="1">
        <f t="array" ref="AU1546">$C1546*EXP(poly_from_str(100000000/$E1546,AU$4342))</f>
        <v>0.55217282495333975</v>
      </c>
    </row>
    <row r="1547" spans="1:48" x14ac:dyDescent="0.25">
      <c r="A1547" t="s">
        <v>2240</v>
      </c>
      <c r="B1547" s="2" t="str">
        <f t="shared" si="863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868"/>
        <v>3667.6149999999998</v>
      </c>
      <c r="AB1547" s="3">
        <f t="shared" si="869"/>
        <v>27257.91</v>
      </c>
      <c r="AC1547" s="3" cm="1">
        <f t="array" ref="AC1547">100000000/LvacE(AA1547)</f>
        <v>27257.912245523366</v>
      </c>
      <c r="AD1547" s="10">
        <f t="shared" si="870"/>
        <v>8.7160269337871292E-3</v>
      </c>
      <c r="AE1547" s="10" t="b">
        <f t="shared" si="871"/>
        <v>1</v>
      </c>
      <c r="AP1547"/>
      <c r="AQ1547"/>
      <c r="AU1547" s="16" cm="1">
        <f t="array" ref="AU1547">$C1547*EXP(poly_from_str(100000000/$E1547,AU$4342))</f>
        <v>0.55779825588167731</v>
      </c>
    </row>
    <row r="1548" spans="1:48" x14ac:dyDescent="0.25">
      <c r="A1548" t="s">
        <v>2241</v>
      </c>
      <c r="B1548" s="2" t="str">
        <f t="shared" si="863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868"/>
        <v>3667.3119999999999</v>
      </c>
      <c r="AB1548" s="3">
        <f t="shared" si="869"/>
        <v>27260.16</v>
      </c>
      <c r="AC1548" s="3" cm="1">
        <f t="array" ref="AC1548">100000000/LvacE(AA1548)</f>
        <v>27260.164284910705</v>
      </c>
      <c r="AD1548" s="10">
        <f t="shared" si="870"/>
        <v>8.7166410009443841E-3</v>
      </c>
      <c r="AE1548" s="10" t="b">
        <f t="shared" si="871"/>
        <v>1</v>
      </c>
      <c r="AP1548"/>
      <c r="AQ1548"/>
      <c r="AU1548" s="16" cm="1">
        <f t="array" ref="AU1548">$C1548*EXP(poly_from_str(100000000/$E1548,AU$4342))</f>
        <v>1.1171787929703609</v>
      </c>
    </row>
    <row r="1549" spans="1:48" x14ac:dyDescent="0.25">
      <c r="A1549" t="s">
        <v>2242</v>
      </c>
      <c r="B1549" s="2" t="str">
        <f t="shared" si="863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882">$G1549&amp;""</f>
        <v>e</v>
      </c>
      <c r="N1549" t="str">
        <f t="shared" ref="N1549:N1550" si="883">$H1549&amp;""</f>
        <v>13/2</v>
      </c>
      <c r="O1549">
        <v>65967.149999999994</v>
      </c>
      <c r="P1549" t="str">
        <f t="shared" ref="P1549:P1550" si="884">$J1549&amp;""</f>
        <v>o</v>
      </c>
      <c r="Q1549" t="str">
        <f t="shared" ref="Q1549:Q1550" si="885">$K1549&amp;""</f>
        <v>13/2</v>
      </c>
      <c r="R1549">
        <v>15</v>
      </c>
      <c r="AA1549" s="10">
        <f t="shared" si="868"/>
        <v>3666.5859999999998</v>
      </c>
      <c r="AB1549" s="3">
        <f t="shared" si="869"/>
        <v>27265.56</v>
      </c>
      <c r="AC1549" s="3" cm="1">
        <f t="array" ref="AC1549">100000000/LvacE(AA1549)</f>
        <v>27265.561774747133</v>
      </c>
      <c r="AD1549" s="10">
        <f t="shared" si="870"/>
        <v>8.7181129495867739E-3</v>
      </c>
      <c r="AE1549" s="10" t="b">
        <f t="shared" si="871"/>
        <v>1</v>
      </c>
      <c r="AJ1549" t="s">
        <v>4751</v>
      </c>
      <c r="AK1549" t="s">
        <v>4935</v>
      </c>
      <c r="AL1549">
        <v>38701.589999999997</v>
      </c>
      <c r="AM1549">
        <v>65967.149999999994</v>
      </c>
      <c r="AN1549" s="10" cm="1">
        <f t="array" ref="AN1549">Lair(100000000/($AM1549-$AL1549))</f>
        <v>3666.5862335470829</v>
      </c>
      <c r="AO1549" s="10">
        <f t="shared" ref="AO1549:AO1550" si="886">100000000/($AM1549-$AL1549)</f>
        <v>3667.6305199673143</v>
      </c>
      <c r="AP1549" s="12">
        <v>1250000</v>
      </c>
      <c r="AQ1549" s="3">
        <v>0.107</v>
      </c>
      <c r="AR1549" s="3">
        <f>LN(AU1549*100000000/($AM1549-$AL1549)/AP1549)</f>
        <v>-7.1034402338769569</v>
      </c>
      <c r="AS1549" s="13">
        <f t="shared" ref="AS1549:AS1550" si="887">EXP(AR$4341*$AM1549+AR$4342)*$AP1549/(100000000/($AM1549-$AL1549))</f>
        <v>0.21330069771894067</v>
      </c>
      <c r="AT1549" s="3">
        <f t="shared" ref="AT1549" si="888">LN(AS1549/$C1549)</f>
        <v>-1.5450523824415432</v>
      </c>
      <c r="AU1549" s="16" cm="1">
        <f t="array" ref="AU1549">$C1549*EXP(poly_from_str(100000000/$E1549,AU$4342))</f>
        <v>0.28024607506486721</v>
      </c>
      <c r="AV1549" s="13">
        <f>LN(AS1549/AU1549)</f>
        <v>-0.2729651601927009</v>
      </c>
    </row>
    <row r="1550" spans="1:48" x14ac:dyDescent="0.25">
      <c r="A1550" t="s">
        <v>2243</v>
      </c>
      <c r="B1550" s="2" t="str">
        <f t="shared" si="863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882"/>
        <v>e</v>
      </c>
      <c r="N1550" t="str">
        <f t="shared" si="883"/>
        <v>9/2</v>
      </c>
      <c r="O1550">
        <v>62558.67</v>
      </c>
      <c r="P1550" t="str">
        <f t="shared" si="884"/>
        <v>o</v>
      </c>
      <c r="Q1550" t="str">
        <f t="shared" si="885"/>
        <v>11/2</v>
      </c>
      <c r="R1550">
        <v>15</v>
      </c>
      <c r="AA1550" s="10">
        <f t="shared" si="868"/>
        <v>3666.3040000000001</v>
      </c>
      <c r="AB1550" s="3">
        <f t="shared" si="869"/>
        <v>27267.66</v>
      </c>
      <c r="AC1550" s="3" cm="1">
        <f t="array" ref="AC1550">100000000/LvacE(AA1550)</f>
        <v>27267.658896777561</v>
      </c>
      <c r="AD1550" s="10">
        <f t="shared" si="870"/>
        <v>8.7186849340340523E-3</v>
      </c>
      <c r="AE1550" s="10" t="b">
        <f t="shared" si="871"/>
        <v>1</v>
      </c>
      <c r="AJ1550" t="s">
        <v>4807</v>
      </c>
      <c r="AK1550" t="s">
        <v>4821</v>
      </c>
      <c r="AL1550">
        <v>35291</v>
      </c>
      <c r="AM1550">
        <v>62558.67</v>
      </c>
      <c r="AN1550" s="10" cm="1">
        <f t="array" ref="AN1550">Lair(100000000/($AM1550-$AL1550))</f>
        <v>3666.3025019427214</v>
      </c>
      <c r="AO1550" s="10">
        <f t="shared" si="886"/>
        <v>3667.3467149925168</v>
      </c>
      <c r="AP1550" s="12">
        <v>2550000</v>
      </c>
      <c r="AQ1550" s="3">
        <v>2.1999999999999999E-2</v>
      </c>
      <c r="AR1550" s="3"/>
      <c r="AS1550" s="13">
        <f t="shared" si="887"/>
        <v>0.56201327383326027</v>
      </c>
      <c r="AT1550" s="3"/>
      <c r="AU1550" s="16" cm="1">
        <f t="array" ref="AU1550">$C1550*EXP(poly_from_str(100000000/$E1550,AU$4342))</f>
        <v>0.56123364260316599</v>
      </c>
    </row>
    <row r="1551" spans="1:48" x14ac:dyDescent="0.25">
      <c r="A1551" t="s">
        <v>2244</v>
      </c>
      <c r="B1551" s="2" t="str">
        <f t="shared" si="863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868"/>
        <v>3666.2379999999998</v>
      </c>
      <c r="AB1551" s="3">
        <f t="shared" si="869"/>
        <v>27268.15</v>
      </c>
      <c r="AC1551" s="3" cm="1">
        <f t="array" ref="AC1551">100000000/LvacE(AA1551)</f>
        <v>27268.149759158227</v>
      </c>
      <c r="AD1551" s="10">
        <f t="shared" si="870"/>
        <v>8.7188188217947431E-3</v>
      </c>
      <c r="AE1551" s="10" t="b">
        <f t="shared" si="871"/>
        <v>1</v>
      </c>
      <c r="AP1551"/>
      <c r="AQ1551"/>
      <c r="AU1551" s="16" cm="1">
        <f t="array" ref="AU1551">$C1551*EXP(poly_from_str(100000000/$E1551,AU$4342))</f>
        <v>0</v>
      </c>
    </row>
    <row r="1552" spans="1:48" x14ac:dyDescent="0.25">
      <c r="A1552" t="s">
        <v>2245</v>
      </c>
      <c r="B1552" s="2" t="str">
        <f t="shared" si="863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868"/>
        <v>3666.181</v>
      </c>
      <c r="AB1552" s="3">
        <f t="shared" si="869"/>
        <v>27268.57</v>
      </c>
      <c r="AC1552" s="3" cm="1">
        <f t="array" ref="AC1552">100000000/LvacE(AA1552)</f>
        <v>27268.573699981785</v>
      </c>
      <c r="AD1552" s="10">
        <f t="shared" si="870"/>
        <v>8.7189344579525381E-3</v>
      </c>
      <c r="AE1552" s="10" t="b">
        <f t="shared" si="871"/>
        <v>1</v>
      </c>
      <c r="AP1552"/>
      <c r="AQ1552"/>
      <c r="AU1552" s="16" cm="1">
        <f t="array" ref="AU1552">$C1552*EXP(poly_from_str(100000000/$E1552,AU$4342))</f>
        <v>0</v>
      </c>
    </row>
    <row r="1553" spans="1:48" x14ac:dyDescent="0.25">
      <c r="A1553" t="s">
        <v>2246</v>
      </c>
      <c r="B1553" s="2" t="str">
        <f t="shared" si="863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868"/>
        <v>3666.136</v>
      </c>
      <c r="AB1553" s="3">
        <f t="shared" si="869"/>
        <v>27268.91</v>
      </c>
      <c r="AC1553" s="3" cm="1">
        <f t="array" ref="AC1553">100000000/LvacE(AA1553)</f>
        <v>27268.908399417065</v>
      </c>
      <c r="AD1553" s="10">
        <f t="shared" si="870"/>
        <v>8.7190257534659199E-3</v>
      </c>
      <c r="AE1553" s="10" t="b">
        <f t="shared" si="871"/>
        <v>1</v>
      </c>
      <c r="AP1553"/>
      <c r="AQ1553"/>
      <c r="AU1553" s="16" cm="1">
        <f t="array" ref="AU1553">$C1553*EXP(poly_from_str(100000000/$E1553,AU$4342))</f>
        <v>0</v>
      </c>
    </row>
    <row r="1554" spans="1:48" x14ac:dyDescent="0.25">
      <c r="A1554" t="s">
        <v>2247</v>
      </c>
      <c r="B1554" s="2" t="str">
        <f t="shared" si="863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868"/>
        <v>3662.15</v>
      </c>
      <c r="AB1554" s="3">
        <f t="shared" si="869"/>
        <v>27298.59</v>
      </c>
      <c r="AC1554" s="3" cm="1">
        <f t="array" ref="AC1554">100000000/LvacE(AA1554)</f>
        <v>27298.58796315777</v>
      </c>
      <c r="AD1554" s="10">
        <f t="shared" si="870"/>
        <v>8.7271258636535606E-3</v>
      </c>
      <c r="AE1554" s="10" t="b">
        <f t="shared" si="871"/>
        <v>1</v>
      </c>
      <c r="AJ1554" t="s">
        <v>4806</v>
      </c>
      <c r="AK1554" t="s">
        <v>4716</v>
      </c>
      <c r="AL1554">
        <v>44679.98</v>
      </c>
      <c r="AM1554">
        <v>71978.52</v>
      </c>
      <c r="AN1554" s="10" cm="1">
        <f t="array" ref="AN1554">Lair(100000000/($AM1554-$AL1554))</f>
        <v>3662.1564293812817</v>
      </c>
      <c r="AO1554" s="10">
        <f>100000000/($AM1554-$AL1554)</f>
        <v>3663.1995703799544</v>
      </c>
      <c r="AP1554" s="12">
        <v>6940000</v>
      </c>
      <c r="AQ1554" s="3">
        <v>9.4E-2</v>
      </c>
      <c r="AR1554" s="3">
        <f>LN(AU1554*100000000/($AM1554-$AL1554)/AP1554)</f>
        <v>-6.4954535163887615</v>
      </c>
      <c r="AS1554" s="13">
        <f>EXP(AR$4341*$AM1554+AR$4342)*$AP1554/(100000000/($AM1554-$AL1554))</f>
        <v>0.75516489726104752</v>
      </c>
      <c r="AT1554" s="3">
        <f>LN(AS1554/$C1554)</f>
        <v>-2.5834042396062129</v>
      </c>
      <c r="AU1554" s="16" cm="1">
        <f t="array" ref="AU1554">$C1554*EXP(poly_from_str(100000000/$E1554,AU$4342))</f>
        <v>2.8612728321413252</v>
      </c>
      <c r="AV1554" s="13">
        <f>LN(AS1554/AU1554)</f>
        <v>-1.3320857186435004</v>
      </c>
    </row>
    <row r="1555" spans="1:48" x14ac:dyDescent="0.25">
      <c r="A1555" t="s">
        <v>2248</v>
      </c>
      <c r="B1555" s="2" t="str">
        <f t="shared" si="863"/>
        <v/>
      </c>
      <c r="C1555">
        <v>2</v>
      </c>
      <c r="D1555" t="s">
        <v>1156</v>
      </c>
      <c r="E1555">
        <v>27312.15</v>
      </c>
      <c r="R1555">
        <v>15</v>
      </c>
      <c r="S1555" t="s">
        <v>22</v>
      </c>
      <c r="AA1555" s="10">
        <f t="shared" si="868"/>
        <v>3660.3310000000001</v>
      </c>
      <c r="AB1555" s="3">
        <f t="shared" si="869"/>
        <v>27312.15</v>
      </c>
      <c r="AC1555" s="3" cm="1">
        <f t="array" ref="AC1555">100000000/LvacE(AA1555)</f>
        <v>27312.153628511922</v>
      </c>
      <c r="AD1555" s="10">
        <f t="shared" si="870"/>
        <v>8.7308311227197663E-3</v>
      </c>
      <c r="AE1555" s="10" t="b">
        <f t="shared" si="871"/>
        <v>1</v>
      </c>
      <c r="AP1555"/>
      <c r="AQ1555"/>
      <c r="AU1555" s="16" cm="1">
        <f t="array" ref="AU1555">$C1555*EXP(poly_from_str(100000000/$E1555,AU$4342))</f>
        <v>0.57714544473377827</v>
      </c>
    </row>
    <row r="1556" spans="1:48" x14ac:dyDescent="0.25">
      <c r="A1556" t="s">
        <v>2249</v>
      </c>
      <c r="B1556" s="2" t="str">
        <f t="shared" si="863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868"/>
        <v>3658.9639999999999</v>
      </c>
      <c r="AB1556" s="3">
        <f t="shared" si="869"/>
        <v>27322.36</v>
      </c>
      <c r="AC1556" s="3" cm="1">
        <f t="array" ref="AC1556">100000000/LvacE(AA1556)</f>
        <v>27322.357262946825</v>
      </c>
      <c r="AD1556" s="10">
        <f t="shared" si="870"/>
        <v>8.7336193063045752E-3</v>
      </c>
      <c r="AE1556" s="10" t="b">
        <f t="shared" si="871"/>
        <v>1</v>
      </c>
      <c r="AJ1556" t="s">
        <v>4826</v>
      </c>
      <c r="AK1556" t="s">
        <v>4708</v>
      </c>
      <c r="AL1556">
        <v>1398.34</v>
      </c>
      <c r="AM1556">
        <v>28720.71</v>
      </c>
      <c r="AN1556" s="10" cm="1">
        <f t="array" ref="AN1556">Lair(100000000/($AM1556-$AL1556))</f>
        <v>3658.9622890869314</v>
      </c>
      <c r="AO1556" s="10">
        <f>100000000/($AM1556-$AL1556)</f>
        <v>3660.0046042857925</v>
      </c>
      <c r="AU1556" s="16" cm="1">
        <f t="array" ref="AU1556">$C1556*EXP(poly_from_str(100000000/$E1556,AU$4342))</f>
        <v>0.8712779599526872</v>
      </c>
    </row>
    <row r="1557" spans="1:48" x14ac:dyDescent="0.25">
      <c r="A1557" t="s">
        <v>2250</v>
      </c>
      <c r="B1557" s="2" t="str">
        <f t="shared" si="863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868"/>
        <v>3658.3409999999999</v>
      </c>
      <c r="AB1557" s="3">
        <f t="shared" si="869"/>
        <v>27327.01</v>
      </c>
      <c r="AC1557" s="3" cm="1">
        <f t="array" ref="AC1557">100000000/LvacE(AA1557)</f>
        <v>27327.010022272007</v>
      </c>
      <c r="AD1557" s="10">
        <f t="shared" si="870"/>
        <v>8.7348910369853452E-3</v>
      </c>
      <c r="AE1557" s="10" t="b">
        <f t="shared" si="871"/>
        <v>1</v>
      </c>
      <c r="AP1557"/>
      <c r="AQ1557"/>
      <c r="AU1557" s="16" cm="1">
        <f t="array" ref="AU1557">$C1557*EXP(poly_from_str(100000000/$E1557,AU$4342))</f>
        <v>0.29127344732439159</v>
      </c>
    </row>
    <row r="1558" spans="1:48" x14ac:dyDescent="0.25">
      <c r="A1558" t="s">
        <v>2251</v>
      </c>
      <c r="B1558" s="2" t="str">
        <f t="shared" si="863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868"/>
        <v>3657.5259999999998</v>
      </c>
      <c r="AB1558" s="3">
        <f t="shared" si="869"/>
        <v>27333.1</v>
      </c>
      <c r="AC1558" s="3" cm="1">
        <f t="array" ref="AC1558">100000000/LvacE(AA1558)</f>
        <v>27333.099090738528</v>
      </c>
      <c r="AD1558" s="10">
        <f t="shared" si="870"/>
        <v>8.7365556787208799E-3</v>
      </c>
      <c r="AE1558" s="10" t="b">
        <f t="shared" si="871"/>
        <v>1</v>
      </c>
      <c r="AP1558"/>
      <c r="AQ1558"/>
      <c r="AU1558" s="16" cm="1">
        <f t="array" ref="AU1558">$C1558*EXP(poly_from_str(100000000/$E1558,AU$4342))</f>
        <v>0.29238658890043623</v>
      </c>
    </row>
    <row r="1559" spans="1:48" x14ac:dyDescent="0.25">
      <c r="A1559" t="s">
        <v>2252</v>
      </c>
      <c r="B1559" s="2" t="str">
        <f t="shared" si="863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868"/>
        <v>3655.1970000000001</v>
      </c>
      <c r="AB1559" s="3">
        <f t="shared" si="869"/>
        <v>27350.51</v>
      </c>
      <c r="AC1559" s="3" cm="1">
        <f t="array" ref="AC1559">100000000/LvacE(AA1559)</f>
        <v>27350.514597515856</v>
      </c>
      <c r="AD1559" s="10">
        <f t="shared" si="870"/>
        <v>8.7413188122987436E-3</v>
      </c>
      <c r="AE1559" s="10" t="b">
        <f t="shared" si="871"/>
        <v>1</v>
      </c>
      <c r="AJ1559" t="s">
        <v>4711</v>
      </c>
      <c r="AK1559" t="s">
        <v>4739</v>
      </c>
      <c r="AL1559">
        <v>41023.980000000003</v>
      </c>
      <c r="AM1559">
        <v>68374.539999999994</v>
      </c>
      <c r="AN1559" s="10" cm="1">
        <f t="array" ref="AN1559">Lair(100000000/($AM1559-$AL1559))</f>
        <v>3655.1909269833491</v>
      </c>
      <c r="AO1559" s="10">
        <f>100000000/($AM1559-$AL1559)</f>
        <v>3656.2322672735049</v>
      </c>
      <c r="AP1559" s="12">
        <v>1370000</v>
      </c>
      <c r="AQ1559" s="3">
        <v>0.11700000000000001</v>
      </c>
      <c r="AR1559" s="3">
        <f>LN(AU1559*100000000/($AM1559-$AL1559)/AP1559)</f>
        <v>-5.7586232679680167</v>
      </c>
      <c r="AS1559" s="13">
        <f>EXP(AR$4341*$AM1559+AR$4342)*$AP1559/(100000000/($AM1559-$AL1559))</f>
        <v>0.19574560890251111</v>
      </c>
      <c r="AT1559" s="3">
        <f>LN(AS1559/$C1559)</f>
        <v>-3.0172337376537999</v>
      </c>
      <c r="AU1559" s="16" cm="1">
        <f t="array" ref="AU1559">$C1559*EXP(poly_from_str(100000000/$E1559,AU$4342))</f>
        <v>1.1823566039171158</v>
      </c>
      <c r="AV1559" s="13">
        <f>LN(AS1559/AU1559)</f>
        <v>-1.7984489453782717</v>
      </c>
    </row>
    <row r="1560" spans="1:48" x14ac:dyDescent="0.25">
      <c r="A1560" t="s">
        <v>2253</v>
      </c>
      <c r="B1560" s="2" t="str">
        <f t="shared" si="863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868"/>
        <v>3655.154</v>
      </c>
      <c r="AB1560" s="3">
        <f t="shared" si="869"/>
        <v>27350.84</v>
      </c>
      <c r="AC1560" s="3" cm="1">
        <f t="array" ref="AC1560">100000000/LvacE(AA1560)</f>
        <v>27350.836346225522</v>
      </c>
      <c r="AD1560" s="10">
        <f t="shared" si="870"/>
        <v>8.7414068389766245E-3</v>
      </c>
      <c r="AE1560" s="10" t="b">
        <f t="shared" si="871"/>
        <v>1</v>
      </c>
      <c r="AP1560"/>
      <c r="AQ1560"/>
      <c r="AU1560" s="16" cm="1">
        <f t="array" ref="AU1560">$C1560*EXP(poly_from_str(100000000/$E1560,AU$4342))</f>
        <v>0.88695043763062986</v>
      </c>
    </row>
    <row r="1561" spans="1:48" x14ac:dyDescent="0.25">
      <c r="A1561" t="s">
        <v>2254</v>
      </c>
      <c r="B1561" s="2" t="str">
        <f t="shared" si="863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868"/>
        <v>3655.0680000000002</v>
      </c>
      <c r="AB1561" s="3">
        <f t="shared" si="869"/>
        <v>27351.48</v>
      </c>
      <c r="AC1561" s="3" cm="1">
        <f t="array" ref="AC1561">100000000/LvacE(AA1561)</f>
        <v>27351.479866355116</v>
      </c>
      <c r="AD1561" s="10">
        <f t="shared" si="870"/>
        <v>8.7415829016525975E-3</v>
      </c>
      <c r="AE1561" s="10" t="b">
        <f t="shared" si="871"/>
        <v>1</v>
      </c>
      <c r="AP1561"/>
      <c r="AQ1561"/>
      <c r="AU1561" s="16" cm="1">
        <f t="array" ref="AU1561">$C1561*EXP(poly_from_str(100000000/$E1561,AU$4342))</f>
        <v>2.3661477598395932</v>
      </c>
    </row>
    <row r="1562" spans="1:48" x14ac:dyDescent="0.25">
      <c r="A1562" t="s">
        <v>2255</v>
      </c>
      <c r="B1562" s="2" t="str">
        <f t="shared" si="863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889">$G1562&amp;""</f>
        <v>e</v>
      </c>
      <c r="N1562" t="str">
        <f t="shared" ref="N1562:N1563" si="890">$H1562&amp;""</f>
        <v>3/2</v>
      </c>
      <c r="O1562">
        <v>63221.279999999999</v>
      </c>
      <c r="P1562" t="str">
        <f t="shared" ref="P1562:P1563" si="891">$J1562&amp;""</f>
        <v>o</v>
      </c>
      <c r="Q1562" t="str">
        <f t="shared" ref="Q1562:Q1563" si="892">$K1562&amp;""</f>
        <v>3/2</v>
      </c>
      <c r="R1562">
        <v>15</v>
      </c>
      <c r="AA1562" s="10">
        <f t="shared" si="868"/>
        <v>3654.26</v>
      </c>
      <c r="AB1562" s="3">
        <f t="shared" si="869"/>
        <v>27357.53</v>
      </c>
      <c r="AC1562" s="3" cm="1">
        <f t="array" ref="AC1562">100000000/LvacE(AA1562)</f>
        <v>27357.527441544851</v>
      </c>
      <c r="AD1562" s="10">
        <f t="shared" si="870"/>
        <v>8.7432376789753404E-3</v>
      </c>
      <c r="AE1562" s="10" t="b">
        <f t="shared" si="871"/>
        <v>1</v>
      </c>
      <c r="AJ1562" t="s">
        <v>4811</v>
      </c>
      <c r="AK1562" t="s">
        <v>4707</v>
      </c>
      <c r="AL1562">
        <v>35863.74</v>
      </c>
      <c r="AM1562">
        <v>63221.279999999999</v>
      </c>
      <c r="AN1562" s="10" cm="1">
        <f t="array" ref="AN1562">Lair(100000000/($AM1562-$AL1562))</f>
        <v>3654.2583173127136</v>
      </c>
      <c r="AO1562" s="10">
        <f t="shared" ref="AO1562:AO1563" si="893">100000000/($AM1562-$AL1562)</f>
        <v>3655.2994165411069</v>
      </c>
      <c r="AP1562" s="12">
        <v>872000</v>
      </c>
      <c r="AQ1562" s="3">
        <v>2.9000000000000001E-2</v>
      </c>
      <c r="AR1562" s="3"/>
      <c r="AS1562" s="13">
        <f t="shared" ref="AS1562:AS1563" si="894">EXP(AR$4341*$AM1562+AR$4342)*$AP1562/(100000000/($AM1562-$AL1562))</f>
        <v>0.18346610670445596</v>
      </c>
      <c r="AT1562" s="3"/>
      <c r="AU1562" s="16" cm="1">
        <f t="array" ref="AU1562">$C1562*EXP(poly_from_str(100000000/$E1562,AU$4342))</f>
        <v>2.3751121829625688</v>
      </c>
    </row>
    <row r="1563" spans="1:48" x14ac:dyDescent="0.25">
      <c r="A1563" t="s">
        <v>2256</v>
      </c>
      <c r="B1563" s="2" t="str">
        <f t="shared" si="863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889"/>
        <v>e</v>
      </c>
      <c r="N1563" t="str">
        <f t="shared" si="890"/>
        <v>15/2</v>
      </c>
      <c r="O1563">
        <v>66148.399999999994</v>
      </c>
      <c r="P1563" t="str">
        <f t="shared" si="891"/>
        <v>o</v>
      </c>
      <c r="Q1563" t="str">
        <f t="shared" si="892"/>
        <v>13/2</v>
      </c>
      <c r="R1563">
        <v>15</v>
      </c>
      <c r="AA1563" s="10">
        <f t="shared" si="868"/>
        <v>3653.58</v>
      </c>
      <c r="AB1563" s="3">
        <f t="shared" si="869"/>
        <v>27362.62</v>
      </c>
      <c r="AC1563" s="3" cm="1">
        <f t="array" ref="AC1563">100000000/LvacE(AA1563)</f>
        <v>27362.619057758151</v>
      </c>
      <c r="AD1563" s="10">
        <f t="shared" si="870"/>
        <v>8.7446311641948653E-3</v>
      </c>
      <c r="AE1563" s="10" t="b">
        <f t="shared" si="871"/>
        <v>1</v>
      </c>
      <c r="AJ1563" t="s">
        <v>4781</v>
      </c>
      <c r="AK1563" t="s">
        <v>4694</v>
      </c>
      <c r="AL1563">
        <v>38785.760000000002</v>
      </c>
      <c r="AM1563">
        <v>66148.399999999994</v>
      </c>
      <c r="AN1563" s="10" cm="1">
        <f t="array" ref="AN1563">Lair(100000000/($AM1563-$AL1563))</f>
        <v>3653.5771984658381</v>
      </c>
      <c r="AO1563" s="10">
        <f t="shared" si="893"/>
        <v>3654.6181216432342</v>
      </c>
      <c r="AP1563" s="12">
        <v>61100000</v>
      </c>
      <c r="AQ1563" s="3">
        <v>0.35799999999999998</v>
      </c>
      <c r="AR1563" s="3">
        <f>LN(AU1563*100000000/($AM1563-$AL1563)/AP1563)</f>
        <v>-5.7425356593887447</v>
      </c>
      <c r="AS1563" s="13">
        <f t="shared" si="894"/>
        <v>10.321900697407331</v>
      </c>
      <c r="AT1563" s="3">
        <f t="shared" ref="AT1563" si="895">LN(AS1563/$C1563)</f>
        <v>-2.8586889316897688</v>
      </c>
      <c r="AU1563" s="16" cm="1">
        <f t="array" ref="AU1563">$C1563*EXP(poly_from_str(100000000/$E1563,AU$4342))</f>
        <v>53.610228447216734</v>
      </c>
      <c r="AV1563" s="13">
        <f>LN(AS1563/AU1563)</f>
        <v>-1.6474719599098497</v>
      </c>
    </row>
    <row r="1564" spans="1:48" x14ac:dyDescent="0.25">
      <c r="A1564" t="s">
        <v>2257</v>
      </c>
      <c r="B1564" s="2" t="str">
        <f t="shared" si="863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868"/>
        <v>3652.7779999999998</v>
      </c>
      <c r="AB1564" s="3">
        <f t="shared" si="869"/>
        <v>27368.63</v>
      </c>
      <c r="AC1564" s="3" cm="1">
        <f t="array" ref="AC1564">100000000/LvacE(AA1564)</f>
        <v>27368.626606100628</v>
      </c>
      <c r="AD1564" s="10">
        <f t="shared" si="870"/>
        <v>8.7462756573354079E-3</v>
      </c>
      <c r="AE1564" s="10" t="b">
        <f t="shared" si="871"/>
        <v>1</v>
      </c>
      <c r="AP1564"/>
      <c r="AQ1564"/>
      <c r="AU1564" s="16" cm="1">
        <f t="array" ref="AU1564">$C1564*EXP(poly_from_str(100000000/$E1564,AU$4342))</f>
        <v>2.6905898805344499</v>
      </c>
    </row>
    <row r="1565" spans="1:48" x14ac:dyDescent="0.25">
      <c r="A1565" t="s">
        <v>2258</v>
      </c>
      <c r="B1565" s="2" t="str">
        <f t="shared" si="863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896">$G1565&amp;""</f>
        <v>o</v>
      </c>
      <c r="N1565" t="str">
        <f t="shared" ref="N1565:N1566" si="897">$H1565&amp;""</f>
        <v>9/2</v>
      </c>
      <c r="O1565">
        <v>27380.31</v>
      </c>
      <c r="P1565" t="str">
        <f t="shared" ref="P1565:P1566" si="898">$J1565&amp;""</f>
        <v>e</v>
      </c>
      <c r="Q1565" t="str">
        <f t="shared" ref="Q1565:Q1566" si="899">$K1565&amp;""</f>
        <v>11/2</v>
      </c>
      <c r="R1565">
        <v>15</v>
      </c>
      <c r="S1565" t="s">
        <v>6</v>
      </c>
      <c r="AA1565" s="10">
        <f t="shared" si="868"/>
        <v>3651.2179999999998</v>
      </c>
      <c r="AB1565" s="3">
        <f t="shared" si="869"/>
        <v>27380.32</v>
      </c>
      <c r="AC1565" s="3" cm="1">
        <f t="array" ref="AC1565">100000000/LvacE(AA1565)</f>
        <v>27380.319670713972</v>
      </c>
      <c r="AD1565" s="10">
        <f t="shared" si="870"/>
        <v>8.7494775265012908E-3</v>
      </c>
      <c r="AE1565" s="10" t="b">
        <f t="shared" si="871"/>
        <v>1</v>
      </c>
      <c r="AJ1565" t="s">
        <v>4757</v>
      </c>
      <c r="AK1565" t="s">
        <v>4712</v>
      </c>
      <c r="AL1565">
        <v>0</v>
      </c>
      <c r="AM1565">
        <v>27380.31</v>
      </c>
      <c r="AN1565" s="10" cm="1">
        <f t="array" ref="AN1565">Lair(100000000/($AM1565-$AL1565))</f>
        <v>3651.2192844758774</v>
      </c>
      <c r="AO1565" s="10">
        <f t="shared" ref="AO1565:AO1566" si="900">100000000/($AM1565-$AL1565)</f>
        <v>3652.2595982295306</v>
      </c>
      <c r="AU1565" s="16" cm="1">
        <f t="array" ref="AU1565">$C1565*EXP(poly_from_str(100000000/$E1565,AU$4342))</f>
        <v>0.30114297759128261</v>
      </c>
    </row>
    <row r="1566" spans="1:48" x14ac:dyDescent="0.25">
      <c r="A1566" t="s">
        <v>2259</v>
      </c>
      <c r="B1566" s="2" t="str">
        <f t="shared" si="863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896"/>
        <v>e</v>
      </c>
      <c r="N1566" t="str">
        <f t="shared" si="897"/>
        <v>5/2</v>
      </c>
      <c r="O1566">
        <v>64401.03</v>
      </c>
      <c r="P1566" t="str">
        <f t="shared" si="898"/>
        <v>o</v>
      </c>
      <c r="Q1566" t="str">
        <f t="shared" si="899"/>
        <v>5/2</v>
      </c>
      <c r="R1566">
        <v>15</v>
      </c>
      <c r="AA1566" s="10">
        <f t="shared" si="868"/>
        <v>3650.0459999999998</v>
      </c>
      <c r="AB1566" s="3">
        <f t="shared" si="869"/>
        <v>27389.11</v>
      </c>
      <c r="AC1566" s="3" cm="1">
        <f t="array" ref="AC1566">100000000/LvacE(AA1566)</f>
        <v>27389.111035266371</v>
      </c>
      <c r="AD1566" s="10">
        <f t="shared" si="870"/>
        <v>8.7518857344902473E-3</v>
      </c>
      <c r="AE1566" s="10" t="b">
        <f t="shared" si="871"/>
        <v>1</v>
      </c>
      <c r="AJ1566" t="s">
        <v>4768</v>
      </c>
      <c r="AK1566" t="s">
        <v>4837</v>
      </c>
      <c r="AL1566">
        <v>37011.919999999998</v>
      </c>
      <c r="AM1566">
        <v>64401.03</v>
      </c>
      <c r="AN1566" s="10" cm="1">
        <f t="array" ref="AN1566">Lair(100000000/($AM1566-$AL1566))</f>
        <v>3650.0461327994944</v>
      </c>
      <c r="AO1566" s="10">
        <f t="shared" si="900"/>
        <v>3651.0861433613577</v>
      </c>
      <c r="AP1566" s="12">
        <v>1950000</v>
      </c>
      <c r="AQ1566" s="3">
        <v>0.02</v>
      </c>
      <c r="AR1566" s="3"/>
      <c r="AS1566" s="13">
        <f>EXP(AR$4341*$AM1566+AR$4342)*$AP1566/(100000000/($AM1566-$AL1566))</f>
        <v>0.37594470492575099</v>
      </c>
      <c r="AT1566" s="3"/>
      <c r="AU1566" s="16" cm="1">
        <f t="array" ref="AU1566">$C1566*EXP(poly_from_str(100000000/$E1566,AU$4342))</f>
        <v>1.2111905984702249</v>
      </c>
    </row>
    <row r="1567" spans="1:48" x14ac:dyDescent="0.25">
      <c r="A1567" t="s">
        <v>2260</v>
      </c>
      <c r="B1567" s="2" t="str">
        <f t="shared" si="863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868"/>
        <v>3648.7240000000002</v>
      </c>
      <c r="AB1567" s="3">
        <f t="shared" si="869"/>
        <v>27399.03</v>
      </c>
      <c r="AC1567" s="3" cm="1">
        <f t="array" ref="AC1567">100000000/LvacE(AA1567)</f>
        <v>27399.034352384206</v>
      </c>
      <c r="AD1567" s="10">
        <f t="shared" si="870"/>
        <v>8.7546049457816223E-3</v>
      </c>
      <c r="AE1567" s="10" t="b">
        <f t="shared" si="871"/>
        <v>1</v>
      </c>
      <c r="AP1567"/>
      <c r="AQ1567"/>
      <c r="AU1567" s="16" cm="1">
        <f t="array" ref="AU1567">$C1567*EXP(poly_from_str(100000000/$E1567,AU$4342))</f>
        <v>0.30467439414815084</v>
      </c>
    </row>
    <row r="1568" spans="1:48" x14ac:dyDescent="0.25">
      <c r="A1568" t="s">
        <v>2261</v>
      </c>
      <c r="B1568" s="2" t="str">
        <f t="shared" si="863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868"/>
        <v>3645.4380000000001</v>
      </c>
      <c r="AB1568" s="3">
        <f t="shared" si="869"/>
        <v>27423.73</v>
      </c>
      <c r="AC1568" s="3" cm="1">
        <f t="array" ref="AC1568">100000000/LvacE(AA1568)</f>
        <v>27423.731202811046</v>
      </c>
      <c r="AD1568" s="10">
        <f t="shared" si="870"/>
        <v>8.7613767128683906E-3</v>
      </c>
      <c r="AE1568" s="10" t="b">
        <f t="shared" si="871"/>
        <v>1</v>
      </c>
      <c r="AP1568"/>
      <c r="AQ1568"/>
      <c r="AU1568" s="16" cm="1">
        <f t="array" ref="AU1568">$C1568*EXP(poly_from_str(100000000/$E1568,AU$4342))</f>
        <v>0.30939060550934711</v>
      </c>
    </row>
    <row r="1569" spans="1:48" x14ac:dyDescent="0.25">
      <c r="A1569" t="s">
        <v>2262</v>
      </c>
      <c r="B1569" s="2" t="str">
        <f t="shared" si="863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901">$G1569&amp;""</f>
        <v>e</v>
      </c>
      <c r="N1569" t="str">
        <f t="shared" ref="N1569:N1570" si="902">$H1569&amp;""</f>
        <v>7/2</v>
      </c>
      <c r="O1569">
        <v>63232.14</v>
      </c>
      <c r="P1569" t="str">
        <f t="shared" ref="P1569:P1570" si="903">$J1569&amp;""</f>
        <v>o</v>
      </c>
      <c r="Q1569" t="str">
        <f t="shared" ref="Q1569:Q1570" si="904">$K1569&amp;""</f>
        <v>7/2</v>
      </c>
      <c r="R1569">
        <v>15</v>
      </c>
      <c r="AA1569" s="10">
        <f t="shared" si="868"/>
        <v>3644.47</v>
      </c>
      <c r="AB1569" s="3">
        <f t="shared" si="869"/>
        <v>27431.01</v>
      </c>
      <c r="AC1569" s="3" cm="1">
        <f t="array" ref="AC1569">100000000/LvacE(AA1569)</f>
        <v>27431.014968744781</v>
      </c>
      <c r="AD1569" s="10">
        <f t="shared" si="870"/>
        <v>8.7633750543624697E-3</v>
      </c>
      <c r="AE1569" s="10" t="b">
        <f t="shared" si="871"/>
        <v>1</v>
      </c>
      <c r="AJ1569" t="s">
        <v>4810</v>
      </c>
      <c r="AK1569" t="s">
        <v>4819</v>
      </c>
      <c r="AL1569">
        <v>35801.120000000003</v>
      </c>
      <c r="AM1569">
        <v>63232.14</v>
      </c>
      <c r="AN1569" s="10" cm="1">
        <f t="array" ref="AN1569">Lair(100000000/($AM1569-$AL1569))</f>
        <v>3644.4693263461941</v>
      </c>
      <c r="AO1569" s="10">
        <f t="shared" ref="AO1569:AO1570" si="905">100000000/($AM1569-$AL1569)</f>
        <v>3645.5078958055519</v>
      </c>
      <c r="AP1569" s="12">
        <v>14000000</v>
      </c>
      <c r="AQ1569" s="3">
        <v>0.124</v>
      </c>
      <c r="AR1569" s="3">
        <f>LN(AU1569*100000000/($AM1569-$AL1569)/AP1569)</f>
        <v>-7.2247222238805966</v>
      </c>
      <c r="AS1569" s="13">
        <f t="shared" ref="AS1569:AS1570" si="906">EXP(AR$4341*$AM1569+AR$4342)*$AP1569/(100000000/($AM1569-$AL1569))</f>
        <v>2.9510621521081393</v>
      </c>
      <c r="AT1569" s="3">
        <f t="shared" ref="AT1569" si="907">LN(AS1569/$C1569)</f>
        <v>-1.1150594202254192</v>
      </c>
      <c r="AU1569" s="16" cm="1">
        <f t="array" ref="AU1569">$C1569*EXP(poly_from_str(100000000/$E1569,AU$4342))</f>
        <v>2.7971322294273047</v>
      </c>
      <c r="AV1569" s="13">
        <f>LN(AS1569/AU1569)</f>
        <v>5.3570468560695028E-2</v>
      </c>
    </row>
    <row r="1570" spans="1:48" x14ac:dyDescent="0.25">
      <c r="A1570" t="s">
        <v>2263</v>
      </c>
      <c r="B1570" s="2" t="str">
        <f t="shared" si="863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901"/>
        <v>e</v>
      </c>
      <c r="N1570" t="str">
        <f t="shared" si="902"/>
        <v>11/2</v>
      </c>
      <c r="O1570">
        <v>58174.15</v>
      </c>
      <c r="P1570" t="str">
        <f t="shared" si="903"/>
        <v>o</v>
      </c>
      <c r="Q1570" t="str">
        <f t="shared" si="904"/>
        <v>9/2</v>
      </c>
      <c r="R1570">
        <v>15</v>
      </c>
      <c r="AA1570" s="10">
        <f t="shared" si="868"/>
        <v>3643.172</v>
      </c>
      <c r="AB1570" s="3">
        <f t="shared" si="869"/>
        <v>27440.79</v>
      </c>
      <c r="AC1570" s="3" cm="1">
        <f t="array" ref="AC1570">100000000/LvacE(AA1570)</f>
        <v>27440.787911283798</v>
      </c>
      <c r="AD1570" s="10">
        <f t="shared" si="870"/>
        <v>8.7660571490014473E-3</v>
      </c>
      <c r="AE1570" s="10" t="b">
        <f t="shared" si="871"/>
        <v>1</v>
      </c>
      <c r="AJ1570" t="s">
        <v>4828</v>
      </c>
      <c r="AK1570" t="s">
        <v>4698</v>
      </c>
      <c r="AL1570">
        <v>30733.53</v>
      </c>
      <c r="AM1570">
        <v>58174.15</v>
      </c>
      <c r="AN1570" s="10" cm="1">
        <f t="array" ref="AN1570">Lair(100000000/($AM1570-$AL1570))</f>
        <v>3643.1942882553176</v>
      </c>
      <c r="AO1570" s="10">
        <f t="shared" si="905"/>
        <v>3644.2325282737779</v>
      </c>
      <c r="AP1570" s="12">
        <v>2820000</v>
      </c>
      <c r="AQ1570" s="3">
        <v>0.03</v>
      </c>
      <c r="AR1570" s="3"/>
      <c r="AS1570" s="13">
        <f t="shared" si="906"/>
        <v>0.86916732877956915</v>
      </c>
      <c r="AT1570" s="3"/>
      <c r="AU1570" s="16" cm="1">
        <f t="array" ref="AU1570">$C1570*EXP(poly_from_str(100000000/$E1570,AU$4342))</f>
        <v>0.31268424716223447</v>
      </c>
    </row>
    <row r="1571" spans="1:48" x14ac:dyDescent="0.25">
      <c r="A1571" t="s">
        <v>2264</v>
      </c>
      <c r="B1571" s="2" t="str">
        <f t="shared" si="863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868"/>
        <v>3642.8339999999998</v>
      </c>
      <c r="AB1571" s="3">
        <f t="shared" si="869"/>
        <v>27443.33</v>
      </c>
      <c r="AC1571" s="3" cm="1">
        <f t="array" ref="AC1571">100000000/LvacE(AA1571)</f>
        <v>27443.333934402006</v>
      </c>
      <c r="AD1571" s="10">
        <f t="shared" si="870"/>
        <v>8.7667560386229526E-3</v>
      </c>
      <c r="AE1571" s="10" t="b">
        <f t="shared" si="871"/>
        <v>1</v>
      </c>
      <c r="AP1571"/>
      <c r="AQ1571"/>
      <c r="AU1571" s="16" cm="1">
        <f t="array" ref="AU1571">$C1571*EXP(poly_from_str(100000000/$E1571,AU$4342))</f>
        <v>2.8185944858321959</v>
      </c>
    </row>
    <row r="1572" spans="1:48" x14ac:dyDescent="0.25">
      <c r="A1572" t="s">
        <v>2265</v>
      </c>
      <c r="B1572" s="2" t="str">
        <f t="shared" si="863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868"/>
        <v>3642.3789999999999</v>
      </c>
      <c r="AB1572" s="3">
        <f t="shared" si="869"/>
        <v>27446.76</v>
      </c>
      <c r="AC1572" s="3" cm="1">
        <f t="array" ref="AC1572">100000000/LvacE(AA1572)</f>
        <v>27446.762019364665</v>
      </c>
      <c r="AD1572" s="10">
        <f t="shared" si="870"/>
        <v>8.7676971588300755E-3</v>
      </c>
      <c r="AE1572" s="10" t="b">
        <f t="shared" si="871"/>
        <v>1</v>
      </c>
      <c r="AJ1572" t="s">
        <v>4751</v>
      </c>
      <c r="AK1572" t="s">
        <v>4694</v>
      </c>
      <c r="AL1572">
        <v>38701.589999999997</v>
      </c>
      <c r="AM1572">
        <v>66148.399999999994</v>
      </c>
      <c r="AN1572" s="10" cm="1">
        <f t="array" ref="AN1572">Lair(100000000/($AM1572-$AL1572))</f>
        <v>3642.3726272805652</v>
      </c>
      <c r="AO1572" s="10">
        <f>100000000/($AM1572-$AL1572)</f>
        <v>3643.4106550087245</v>
      </c>
      <c r="AP1572" s="12">
        <v>5250000</v>
      </c>
      <c r="AQ1572" s="3">
        <v>0.2</v>
      </c>
      <c r="AR1572" s="3">
        <f>LN(AU1572*100000000/($AM1572-$AL1572)/AP1572)</f>
        <v>-6.6401633757370604</v>
      </c>
      <c r="AS1572" s="13">
        <f>EXP(AR$4341*$AM1572+AR$4342)*$AP1572/(100000000/($AM1572-$AL1572))</f>
        <v>0.88963456669695795</v>
      </c>
      <c r="AT1572" s="3">
        <f>LN(AS1572/$C1572)</f>
        <v>-1.908703969019848</v>
      </c>
      <c r="AU1572" s="16" cm="1">
        <f t="array" ref="AU1572">$C1572*EXP(poly_from_str(100000000/$E1572,AU$4342))</f>
        <v>1.8830630704366071</v>
      </c>
      <c r="AV1572" s="13">
        <f>LN(AS1572/AU1572)</f>
        <v>-0.74984424356153434</v>
      </c>
    </row>
    <row r="1573" spans="1:48" x14ac:dyDescent="0.25">
      <c r="A1573" t="s">
        <v>2266</v>
      </c>
      <c r="B1573" s="2" t="str">
        <f t="shared" si="863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868"/>
        <v>3635.1379999999999</v>
      </c>
      <c r="AB1573" s="3">
        <f t="shared" si="869"/>
        <v>27501.43</v>
      </c>
      <c r="AC1573" s="3" cm="1">
        <f t="array" ref="AC1573">100000000/LvacE(AA1573)</f>
        <v>27501.433038048108</v>
      </c>
      <c r="AD1573" s="10">
        <f t="shared" si="870"/>
        <v>8.7827220091848106E-3</v>
      </c>
      <c r="AE1573" s="10" t="b">
        <f t="shared" si="871"/>
        <v>1</v>
      </c>
      <c r="AP1573"/>
      <c r="AQ1573"/>
      <c r="AU1573" s="16" cm="1">
        <f t="array" ref="AU1573">$C1573*EXP(poly_from_str(100000000/$E1573,AU$4342))</f>
        <v>0.64926615837792001</v>
      </c>
    </row>
    <row r="1574" spans="1:48" x14ac:dyDescent="0.25">
      <c r="A1574" t="s">
        <v>2267</v>
      </c>
      <c r="B1574" s="2" t="str">
        <f t="shared" si="863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868"/>
        <v>3634.1640000000002</v>
      </c>
      <c r="AB1574" s="3">
        <f t="shared" si="869"/>
        <v>27508.799999999999</v>
      </c>
      <c r="AC1574" s="3" cm="1">
        <f t="array" ref="AC1574">100000000/LvacE(AA1574)</f>
        <v>27508.803558296935</v>
      </c>
      <c r="AD1574" s="10">
        <f t="shared" si="870"/>
        <v>8.7847498844709458E-3</v>
      </c>
      <c r="AE1574" s="10" t="b">
        <f t="shared" si="871"/>
        <v>1</v>
      </c>
      <c r="AJ1574" t="s">
        <v>4793</v>
      </c>
      <c r="AK1574" t="s">
        <v>4931</v>
      </c>
      <c r="AL1574">
        <v>36642.129999999997</v>
      </c>
      <c r="AM1574">
        <v>64150.94</v>
      </c>
      <c r="AN1574" s="10" cm="1">
        <f t="array" ref="AN1574">Lair(100000000/($AM1574-$AL1574))</f>
        <v>3634.163143754482</v>
      </c>
      <c r="AO1574" s="10">
        <f>100000000/($AM1574-$AL1574)</f>
        <v>3635.1990507768232</v>
      </c>
      <c r="AP1574" s="12">
        <v>2750000</v>
      </c>
      <c r="AQ1574" s="3">
        <v>6.2E-2</v>
      </c>
      <c r="AR1574" s="3">
        <f>LN(AU1574*100000000/($AM1574-$AL1574)/AP1574)</f>
        <v>-5.5519846695562718</v>
      </c>
      <c r="AS1574" s="13">
        <f>EXP(AR$4341*$AM1574+AR$4342)*$AP1574/(100000000/($AM1574-$AL1574))</f>
        <v>0.54258398384127227</v>
      </c>
      <c r="AT1574" s="3">
        <f>LN(AS1574/$C1574)</f>
        <v>-2.8086369739614025</v>
      </c>
      <c r="AU1574" s="16" cm="1">
        <f t="array" ref="AU1574">$C1574*EXP(poly_from_str(100000000/$E1574,AU$4342))</f>
        <v>2.9350005835943151</v>
      </c>
      <c r="AV1574" s="13">
        <f>LN(AS1574/AU1574)</f>
        <v>-1.6881200487448536</v>
      </c>
    </row>
    <row r="1575" spans="1:48" x14ac:dyDescent="0.25">
      <c r="A1575" t="s">
        <v>2268</v>
      </c>
      <c r="B1575" s="2" t="str">
        <f t="shared" si="863"/>
        <v/>
      </c>
      <c r="C1575">
        <v>4</v>
      </c>
      <c r="D1575" t="s">
        <v>1156</v>
      </c>
      <c r="E1575">
        <v>27509.02</v>
      </c>
      <c r="R1575">
        <v>15</v>
      </c>
      <c r="S1575" t="s">
        <v>22</v>
      </c>
      <c r="AA1575" s="10">
        <f t="shared" si="868"/>
        <v>3634.136</v>
      </c>
      <c r="AB1575" s="3">
        <f t="shared" si="869"/>
        <v>27509.02</v>
      </c>
      <c r="AC1575" s="3" cm="1">
        <f t="array" ref="AC1575">100000000/LvacE(AA1575)</f>
        <v>27509.015500253627</v>
      </c>
      <c r="AD1575" s="10">
        <f t="shared" si="870"/>
        <v>8.7848082047911284E-3</v>
      </c>
      <c r="AE1575" s="10" t="b">
        <f t="shared" si="871"/>
        <v>1</v>
      </c>
      <c r="AP1575"/>
      <c r="AQ1575"/>
      <c r="AU1575" s="16" cm="1">
        <f t="array" ref="AU1575">$C1575*EXP(poly_from_str(100000000/$E1575,AU$4342))</f>
        <v>1.3046215396048724</v>
      </c>
    </row>
    <row r="1576" spans="1:48" x14ac:dyDescent="0.25">
      <c r="A1576" t="s">
        <v>2269</v>
      </c>
      <c r="B1576" s="2">
        <f t="shared" si="863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908">$G1576&amp;""</f>
        <v>e</v>
      </c>
      <c r="N1576" t="str">
        <f t="shared" ref="N1576:N1577" si="909">$H1576&amp;""</f>
        <v>11/2</v>
      </c>
      <c r="O1576">
        <v>64215.45</v>
      </c>
      <c r="P1576" t="str">
        <f t="shared" ref="P1576:P1577" si="910">$J1576&amp;""</f>
        <v>o</v>
      </c>
      <c r="Q1576" t="str">
        <f t="shared" ref="Q1576:Q1577" si="911">$K1576&amp;""</f>
        <v>13/2</v>
      </c>
      <c r="R1576">
        <v>15</v>
      </c>
      <c r="AA1576" s="10">
        <f t="shared" si="868"/>
        <v>3629.4140000000002</v>
      </c>
      <c r="AB1576" s="3">
        <f t="shared" si="869"/>
        <v>27544.799999999999</v>
      </c>
      <c r="AC1576" s="3" cm="1">
        <f t="array" ref="AC1576">100000000/LvacE(AA1576)</f>
        <v>27544.804773337677</v>
      </c>
      <c r="AD1576" s="10">
        <f t="shared" si="870"/>
        <v>8.794662826194212E-3</v>
      </c>
      <c r="AE1576" s="10" t="b">
        <f t="shared" si="871"/>
        <v>1</v>
      </c>
      <c r="AJ1576" t="s">
        <v>4772</v>
      </c>
      <c r="AK1576" t="s">
        <v>4823</v>
      </c>
      <c r="AL1576">
        <v>36670.57</v>
      </c>
      <c r="AM1576">
        <v>64215.45</v>
      </c>
      <c r="AN1576" s="10" cm="1">
        <f t="array" ref="AN1576">Lair(100000000/($AM1576-$AL1576))</f>
        <v>3629.4040823659702</v>
      </c>
      <c r="AO1576" s="10">
        <f t="shared" ref="AO1576:AO1577" si="912">100000000/($AM1576-$AL1576)</f>
        <v>3630.4387603068158</v>
      </c>
      <c r="AP1576" s="12">
        <v>79400</v>
      </c>
      <c r="AQ1576" s="3">
        <v>2.7E-2</v>
      </c>
      <c r="AR1576" s="3"/>
      <c r="AS1576" s="13">
        <f t="shared" ref="AS1576:AS1577" si="913">EXP(AR$4341*$AM1576+AR$4342)*$AP1576/(100000000/($AM1576-$AL1576))</f>
        <v>1.5610662133207087E-2</v>
      </c>
      <c r="AT1576" s="3"/>
      <c r="AU1576" s="16" cm="1">
        <f t="array" ref="AU1576">$C1576*EXP(poly_from_str(100000000/$E1576,AU$4342))</f>
        <v>0.33341243403878923</v>
      </c>
    </row>
    <row r="1577" spans="1:48" x14ac:dyDescent="0.25">
      <c r="A1577" t="s">
        <v>2269</v>
      </c>
      <c r="B1577" s="2">
        <f t="shared" si="863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908"/>
        <v>o</v>
      </c>
      <c r="N1577" t="str">
        <f t="shared" si="909"/>
        <v>3/2</v>
      </c>
      <c r="O1577">
        <v>48401.64</v>
      </c>
      <c r="P1577" t="str">
        <f t="shared" si="910"/>
        <v>e</v>
      </c>
      <c r="Q1577" t="str">
        <f t="shared" si="911"/>
        <v>3/2</v>
      </c>
      <c r="R1577">
        <v>15</v>
      </c>
      <c r="AA1577" s="10">
        <f t="shared" si="868"/>
        <v>3629.4140000000002</v>
      </c>
      <c r="AB1577" s="3">
        <f t="shared" si="869"/>
        <v>27544.799999999999</v>
      </c>
      <c r="AC1577" s="3" cm="1">
        <f t="array" ref="AC1577">100000000/LvacE(AA1577)</f>
        <v>27544.804773337677</v>
      </c>
      <c r="AD1577" s="10">
        <f t="shared" si="870"/>
        <v>8.794662826194212E-3</v>
      </c>
      <c r="AE1577" s="10" t="b">
        <f t="shared" si="871"/>
        <v>1</v>
      </c>
      <c r="AJ1577" t="s">
        <v>4827</v>
      </c>
      <c r="AK1577" t="s">
        <v>4945</v>
      </c>
      <c r="AL1577">
        <v>20856.86</v>
      </c>
      <c r="AM1577">
        <v>48401.64</v>
      </c>
      <c r="AN1577" s="10" cm="1">
        <f t="array" ref="AN1577">Lair(100000000/($AM1577-$AL1577))</f>
        <v>3629.417259096675</v>
      </c>
      <c r="AO1577" s="10">
        <f t="shared" si="912"/>
        <v>3630.4519404402577</v>
      </c>
      <c r="AP1577" s="12">
        <v>206000</v>
      </c>
      <c r="AQ1577" s="3">
        <v>8.9999999999999993E-3</v>
      </c>
      <c r="AR1577" s="3"/>
      <c r="AS1577" s="13">
        <f t="shared" si="913"/>
        <v>0.13270166958144194</v>
      </c>
      <c r="AT1577" s="3"/>
      <c r="AU1577" s="16" cm="1">
        <f t="array" ref="AU1577">$C1577*EXP(poly_from_str(100000000/$E1577,AU$4342))</f>
        <v>0.33341243403878923</v>
      </c>
    </row>
    <row r="1578" spans="1:48" x14ac:dyDescent="0.25">
      <c r="A1578" t="s">
        <v>2270</v>
      </c>
      <c r="B1578" s="2" t="str">
        <f t="shared" si="863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868"/>
        <v>3622.88</v>
      </c>
      <c r="AB1578" s="3">
        <f t="shared" si="869"/>
        <v>27594.48</v>
      </c>
      <c r="AC1578" s="3" cm="1">
        <f t="array" ref="AC1578">100000000/LvacE(AA1578)</f>
        <v>27594.481525207753</v>
      </c>
      <c r="AD1578" s="10">
        <f t="shared" si="870"/>
        <v>8.8083626183047409E-3</v>
      </c>
      <c r="AE1578" s="10" t="b">
        <f t="shared" si="871"/>
        <v>1</v>
      </c>
      <c r="AP1578"/>
      <c r="AQ1578"/>
      <c r="AU1578" s="16" cm="1">
        <f t="array" ref="AU1578">$C1578*EXP(poly_from_str(100000000/$E1578,AU$4342))</f>
        <v>0.34371120515316439</v>
      </c>
    </row>
    <row r="1579" spans="1:48" x14ac:dyDescent="0.25">
      <c r="A1579" t="s">
        <v>2271</v>
      </c>
      <c r="B1579" s="2" t="str">
        <f t="shared" si="863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868"/>
        <v>3621.5010000000002</v>
      </c>
      <c r="AB1579" s="3">
        <f t="shared" si="869"/>
        <v>27604.99</v>
      </c>
      <c r="AC1579" s="3" cm="1">
        <f t="array" ref="AC1579">100000000/LvacE(AA1579)</f>
        <v>27604.988705540694</v>
      </c>
      <c r="AD1579" s="10">
        <f t="shared" si="870"/>
        <v>8.811263438218116E-3</v>
      </c>
      <c r="AE1579" s="10" t="b">
        <f t="shared" si="871"/>
        <v>1</v>
      </c>
      <c r="AP1579"/>
      <c r="AQ1579"/>
      <c r="AU1579" s="16" cm="1">
        <f t="array" ref="AU1579">$C1579*EXP(poly_from_str(100000000/$E1579,AU$4342))</f>
        <v>0.34592332607987031</v>
      </c>
    </row>
    <row r="1580" spans="1:48" x14ac:dyDescent="0.25">
      <c r="A1580" t="s">
        <v>2272</v>
      </c>
      <c r="B1580" s="2" t="str">
        <f t="shared" si="863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868"/>
        <v>3617.2539999999999</v>
      </c>
      <c r="AB1580" s="3">
        <f t="shared" si="869"/>
        <v>27637.4</v>
      </c>
      <c r="AC1580" s="3" cm="1">
        <f t="array" ref="AC1580">100000000/LvacE(AA1580)</f>
        <v>27637.398710262882</v>
      </c>
      <c r="AD1580" s="10">
        <f t="shared" si="870"/>
        <v>8.820218142030236E-3</v>
      </c>
      <c r="AE1580" s="10" t="b">
        <f t="shared" si="871"/>
        <v>1</v>
      </c>
      <c r="AP1580"/>
      <c r="AQ1580"/>
      <c r="AU1580" s="16" cm="1">
        <f t="array" ref="AU1580">$C1580*EXP(poly_from_str(100000000/$E1580,AU$4342))</f>
        <v>0.3528187640577144</v>
      </c>
    </row>
    <row r="1581" spans="1:48" x14ac:dyDescent="0.25">
      <c r="A1581" t="s">
        <v>2273</v>
      </c>
      <c r="B1581" s="2" t="str">
        <f t="shared" si="863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868"/>
        <v>3614.3339999999998</v>
      </c>
      <c r="AB1581" s="3">
        <f t="shared" si="869"/>
        <v>27659.73</v>
      </c>
      <c r="AC1581" s="3" cm="1">
        <f t="array" ref="AC1581">100000000/LvacE(AA1581)</f>
        <v>27659.726203808699</v>
      </c>
      <c r="AD1581" s="10">
        <f t="shared" si="870"/>
        <v>8.826393217091822E-3</v>
      </c>
      <c r="AE1581" s="10" t="b">
        <f t="shared" si="871"/>
        <v>1</v>
      </c>
      <c r="AJ1581" t="s">
        <v>4829</v>
      </c>
      <c r="AK1581" t="s">
        <v>4849</v>
      </c>
      <c r="AL1581">
        <v>32760.11</v>
      </c>
      <c r="AM1581">
        <v>60419.73</v>
      </c>
      <c r="AN1581" s="10" cm="1">
        <f t="array" ref="AN1581">Lair(100000000/($AM1581-$AL1581))</f>
        <v>3614.3478729567933</v>
      </c>
      <c r="AO1581" s="10">
        <f>100000000/($AM1581-$AL1581)</f>
        <v>3615.3786639151222</v>
      </c>
      <c r="AP1581" s="12">
        <v>5120000</v>
      </c>
      <c r="AQ1581" s="3">
        <v>6.4000000000000001E-2</v>
      </c>
      <c r="AR1581" s="3">
        <f>LN(AU1581*100000000/($AM1581-$AL1581)/AP1581)</f>
        <v>-8.2839560680941116</v>
      </c>
      <c r="AS1581" s="13">
        <f>EXP(AR$4341*$AM1581+AR$4342)*$AP1581/(100000000/($AM1581-$AL1581))</f>
        <v>1.3439642238432106</v>
      </c>
      <c r="AT1581" s="3">
        <f>LN(AS1581/$C1581)</f>
        <v>0.29562362258238373</v>
      </c>
      <c r="AU1581" s="16" cm="1">
        <f t="array" ref="AU1581">$C1581*EXP(poly_from_str(100000000/$E1581,AU$4342))</f>
        <v>0.35763479171173773</v>
      </c>
      <c r="AV1581" s="13">
        <f>LN(AS1581/AU1581)</f>
        <v>1.3238665707389721</v>
      </c>
    </row>
    <row r="1582" spans="1:48" x14ac:dyDescent="0.25">
      <c r="A1582" t="s">
        <v>2274</v>
      </c>
      <c r="B1582" s="2" t="str">
        <f t="shared" si="863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868"/>
        <v>3614.2930000000001</v>
      </c>
      <c r="AB1582" s="3">
        <f t="shared" si="869"/>
        <v>27660.04</v>
      </c>
      <c r="AC1582" s="3" cm="1">
        <f t="array" ref="AC1582">100000000/LvacE(AA1582)</f>
        <v>27660.039963111107</v>
      </c>
      <c r="AD1582" s="10">
        <f t="shared" si="870"/>
        <v>8.8264800284746023E-3</v>
      </c>
      <c r="AE1582" s="10" t="b">
        <f t="shared" si="871"/>
        <v>1</v>
      </c>
      <c r="AP1582"/>
      <c r="AQ1582"/>
      <c r="AU1582" s="16" cm="1">
        <f t="array" ref="AU1582">$C1582*EXP(poly_from_str(100000000/$E1582,AU$4342))</f>
        <v>0</v>
      </c>
    </row>
    <row r="1583" spans="1:48" x14ac:dyDescent="0.25">
      <c r="A1583" t="s">
        <v>2275</v>
      </c>
      <c r="B1583" s="2" t="str">
        <f t="shared" si="863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868"/>
        <v>3614.252</v>
      </c>
      <c r="AB1583" s="3">
        <f t="shared" si="869"/>
        <v>27660.35</v>
      </c>
      <c r="AC1583" s="3" cm="1">
        <f t="array" ref="AC1583">100000000/LvacE(AA1583)</f>
        <v>27660.353729531755</v>
      </c>
      <c r="AD1583" s="10">
        <f t="shared" si="870"/>
        <v>8.8265668428117016E-3</v>
      </c>
      <c r="AE1583" s="10" t="b">
        <f t="shared" si="871"/>
        <v>1</v>
      </c>
      <c r="AP1583"/>
      <c r="AQ1583"/>
      <c r="AU1583" s="16" cm="1">
        <f t="array" ref="AU1583">$C1583*EXP(poly_from_str(100000000/$E1583,AU$4342))</f>
        <v>0</v>
      </c>
    </row>
    <row r="1584" spans="1:48" x14ac:dyDescent="0.25">
      <c r="A1584" t="s">
        <v>2276</v>
      </c>
      <c r="B1584" s="2" t="str">
        <f t="shared" si="863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868"/>
        <v>3613.8510000000001</v>
      </c>
      <c r="AB1584" s="3">
        <f t="shared" si="869"/>
        <v>27663.42</v>
      </c>
      <c r="AC1584" s="3" cm="1">
        <f t="array" ref="AC1584">100000000/LvacE(AA1584)</f>
        <v>27663.422893500559</v>
      </c>
      <c r="AD1584" s="10">
        <f t="shared" si="870"/>
        <v>8.8274160851541141E-3</v>
      </c>
      <c r="AE1584" s="10" t="b">
        <f t="shared" si="871"/>
        <v>1</v>
      </c>
      <c r="AP1584"/>
      <c r="AQ1584"/>
      <c r="AU1584" s="16" cm="1">
        <f t="array" ref="AU1584">$C1584*EXP(poly_from_str(100000000/$E1584,AU$4342))</f>
        <v>0.35843577169947249</v>
      </c>
    </row>
    <row r="1585" spans="1:48" x14ac:dyDescent="0.25">
      <c r="A1585" t="s">
        <v>2277</v>
      </c>
      <c r="B1585" s="2" t="str">
        <f t="shared" si="863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868"/>
        <v>3613.768</v>
      </c>
      <c r="AB1585" s="3">
        <f t="shared" si="869"/>
        <v>27664.06</v>
      </c>
      <c r="AC1585" s="3" cm="1">
        <f t="array" ref="AC1585">100000000/LvacE(AA1585)</f>
        <v>27664.058241944091</v>
      </c>
      <c r="AD1585" s="10">
        <f t="shared" si="870"/>
        <v>8.8275918988081278E-3</v>
      </c>
      <c r="AE1585" s="10" t="b">
        <f t="shared" si="871"/>
        <v>1</v>
      </c>
      <c r="AP1585"/>
      <c r="AQ1585"/>
      <c r="AU1585" s="16" cm="1">
        <f t="array" ref="AU1585">$C1585*EXP(poly_from_str(100000000/$E1585,AU$4342))</f>
        <v>0.35857484361027203</v>
      </c>
    </row>
    <row r="1586" spans="1:48" x14ac:dyDescent="0.25">
      <c r="A1586" t="s">
        <v>2278</v>
      </c>
      <c r="B1586" s="2" t="str">
        <f t="shared" si="863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914">$G1586&amp;""</f>
        <v>e</v>
      </c>
      <c r="N1586" t="str">
        <f t="shared" ref="N1586:N1587" si="915">$H1586&amp;""</f>
        <v>11/2</v>
      </c>
      <c r="O1586">
        <v>67398.789999999994</v>
      </c>
      <c r="P1586" t="str">
        <f t="shared" ref="P1586:P1587" si="916">$J1586&amp;""</f>
        <v>o</v>
      </c>
      <c r="Q1586" t="str">
        <f t="shared" ref="Q1586:Q1587" si="917">$K1586&amp;""</f>
        <v>9/2</v>
      </c>
      <c r="R1586">
        <v>15</v>
      </c>
      <c r="AA1586" s="10">
        <f t="shared" si="868"/>
        <v>3613.54</v>
      </c>
      <c r="AB1586" s="3">
        <f t="shared" si="869"/>
        <v>27665.8</v>
      </c>
      <c r="AC1586" s="3" cm="1">
        <f t="array" ref="AC1586">100000000/LvacE(AA1586)</f>
        <v>27665.803686666008</v>
      </c>
      <c r="AD1586" s="10">
        <f t="shared" si="870"/>
        <v>8.8280749191466008E-3</v>
      </c>
      <c r="AE1586" s="10" t="b">
        <f t="shared" si="871"/>
        <v>1</v>
      </c>
      <c r="AJ1586" t="s">
        <v>4725</v>
      </c>
      <c r="AK1586" t="s">
        <v>4863</v>
      </c>
      <c r="AL1586">
        <v>39732.99</v>
      </c>
      <c r="AM1586">
        <v>67398.789999999994</v>
      </c>
      <c r="AN1586" s="10" cm="1">
        <f t="array" ref="AN1586">Lair(100000000/($AM1586-$AL1586))</f>
        <v>3613.5404762725934</v>
      </c>
      <c r="AO1586" s="10">
        <f t="shared" ref="AO1586:AO1587" si="918">100000000/($AM1586-$AL1586)</f>
        <v>3614.5710588524466</v>
      </c>
      <c r="AP1586" s="12">
        <v>381000</v>
      </c>
      <c r="AQ1586" s="3">
        <v>4.0000000000000001E-3</v>
      </c>
      <c r="AR1586" s="3"/>
      <c r="AS1586" s="13">
        <f t="shared" ref="AS1586:AS1587" si="919">EXP(AR$4341*$AM1586+AR$4342)*$AP1586/(100000000/($AM1586-$AL1586))</f>
        <v>5.924824291116234E-2</v>
      </c>
      <c r="AT1586" s="3"/>
      <c r="AU1586" s="16" cm="1">
        <f t="array" ref="AU1586">$C1586*EXP(poly_from_str(100000000/$E1586,AU$4342))</f>
        <v>0.35895316744278516</v>
      </c>
    </row>
    <row r="1587" spans="1:48" x14ac:dyDescent="0.25">
      <c r="A1587" t="s">
        <v>2279</v>
      </c>
      <c r="B1587" s="2" t="str">
        <f t="shared" si="863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914"/>
        <v>e</v>
      </c>
      <c r="N1587" t="str">
        <f t="shared" si="915"/>
        <v>7/2</v>
      </c>
      <c r="O1587">
        <v>53092.800000000003</v>
      </c>
      <c r="P1587" t="str">
        <f t="shared" si="916"/>
        <v>o</v>
      </c>
      <c r="Q1587" t="str">
        <f t="shared" si="917"/>
        <v>7/2</v>
      </c>
      <c r="R1587">
        <v>15</v>
      </c>
      <c r="AA1587" s="10">
        <f t="shared" si="868"/>
        <v>3611.29</v>
      </c>
      <c r="AB1587" s="3">
        <f t="shared" si="869"/>
        <v>27683.040000000001</v>
      </c>
      <c r="AC1587" s="3" cm="1">
        <f t="array" ref="AC1587">100000000/LvacE(AA1587)</f>
        <v>27683.040288899949</v>
      </c>
      <c r="AD1587" s="10">
        <f t="shared" si="870"/>
        <v>8.832846474376186E-3</v>
      </c>
      <c r="AE1587" s="10" t="b">
        <f t="shared" si="871"/>
        <v>1</v>
      </c>
      <c r="AJ1587" t="s">
        <v>4720</v>
      </c>
      <c r="AK1587" t="s">
        <v>4814</v>
      </c>
      <c r="AL1587">
        <v>25409.74</v>
      </c>
      <c r="AM1587">
        <v>53092.800000000003</v>
      </c>
      <c r="AN1587" s="10" cm="1">
        <f t="array" ref="AN1587">Lair(100000000/($AM1587-$AL1587))</f>
        <v>3611.2874233160128</v>
      </c>
      <c r="AO1587" s="10">
        <f t="shared" si="918"/>
        <v>3612.3174244465749</v>
      </c>
      <c r="AP1587" s="12">
        <v>355000</v>
      </c>
      <c r="AQ1587" s="3">
        <v>5.0000000000000001E-3</v>
      </c>
      <c r="AR1587" s="3"/>
      <c r="AS1587" s="13">
        <f t="shared" si="919"/>
        <v>0.16162784109991807</v>
      </c>
      <c r="AT1587" s="3"/>
      <c r="AU1587" s="16" cm="1">
        <f t="array" ref="AU1587">$C1587*EXP(poly_from_str(100000000/$E1587,AU$4342))</f>
        <v>0.36271918535332898</v>
      </c>
    </row>
    <row r="1588" spans="1:48" x14ac:dyDescent="0.25">
      <c r="A1588" t="s">
        <v>2280</v>
      </c>
      <c r="B1588" s="2" t="str">
        <f t="shared" si="863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868"/>
        <v>3607.12</v>
      </c>
      <c r="AB1588" s="3">
        <f t="shared" si="869"/>
        <v>27715.040000000001</v>
      </c>
      <c r="AC1588" s="3" cm="1">
        <f t="array" ref="AC1588">100000000/LvacE(AA1588)</f>
        <v>27715.042312245518</v>
      </c>
      <c r="AD1588" s="10">
        <f t="shared" si="870"/>
        <v>8.8417133769108768E-3</v>
      </c>
      <c r="AE1588" s="10" t="b">
        <f t="shared" si="871"/>
        <v>1</v>
      </c>
      <c r="AP1588"/>
      <c r="AQ1588"/>
      <c r="AU1588" s="16" cm="1">
        <f t="array" ref="AU1588">$C1588*EXP(poly_from_str(100000000/$E1588,AU$4342))</f>
        <v>0</v>
      </c>
    </row>
    <row r="1589" spans="1:48" x14ac:dyDescent="0.25">
      <c r="A1589" t="s">
        <v>2281</v>
      </c>
      <c r="B1589" s="2" t="str">
        <f t="shared" si="863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920">$G1589&amp;""</f>
        <v>e</v>
      </c>
      <c r="N1589" t="str">
        <f t="shared" ref="N1589:N1591" si="921">$H1589&amp;""</f>
        <v>3/2</v>
      </c>
      <c r="O1589">
        <v>79742.36</v>
      </c>
      <c r="P1589" t="str">
        <f t="shared" ref="P1589:P1591" si="922">$J1589&amp;""</f>
        <v>o</v>
      </c>
      <c r="Q1589" t="str">
        <f t="shared" ref="Q1589:Q1591" si="923">$K1589&amp;""</f>
        <v>1/2</v>
      </c>
      <c r="R1589">
        <v>15</v>
      </c>
      <c r="AA1589" s="10">
        <f t="shared" si="868"/>
        <v>3607.0680000000002</v>
      </c>
      <c r="AB1589" s="3">
        <f t="shared" si="869"/>
        <v>27715.439999999999</v>
      </c>
      <c r="AC1589" s="3" cm="1">
        <f t="array" ref="AC1589">100000000/LvacE(AA1589)</f>
        <v>27715.441845321646</v>
      </c>
      <c r="AD1589" s="10">
        <f t="shared" si="870"/>
        <v>8.8418241415634032E-3</v>
      </c>
      <c r="AE1589" s="10" t="b">
        <f t="shared" si="871"/>
        <v>1</v>
      </c>
      <c r="AJ1589" t="s">
        <v>4777</v>
      </c>
      <c r="AK1589" t="s">
        <v>4897</v>
      </c>
      <c r="AL1589">
        <v>52026.9</v>
      </c>
      <c r="AM1589">
        <v>79742.36</v>
      </c>
      <c r="AN1589" s="10" cm="1">
        <f t="array" ref="AN1589">Lair(100000000/($AM1589-$AL1589))</f>
        <v>3607.0656318819952</v>
      </c>
      <c r="AO1589" s="10">
        <f t="shared" ref="AO1589:AO1591" si="924">100000000/($AM1589-$AL1589)</f>
        <v>3608.0945436229454</v>
      </c>
      <c r="AP1589" s="12">
        <v>21800000</v>
      </c>
      <c r="AQ1589" s="3">
        <v>0.17199999999999999</v>
      </c>
      <c r="AR1589" s="3">
        <f>LN(AU1589*100000000/($AM1589-$AL1589)/AP1589)</f>
        <v>-8.3147583630531265</v>
      </c>
      <c r="AS1589" s="13">
        <f>EXP(AR$4341*$AM1589+AR$4342)*$AP1589/(100000000/($AM1589-$AL1589))</f>
        <v>1.3448670650096217</v>
      </c>
      <c r="AT1589" s="3">
        <f>LN(AS1589/$C1589)</f>
        <v>-1.0899991893748024</v>
      </c>
      <c r="AU1589" s="16" cm="1">
        <f t="array" ref="AU1589">$C1589*EXP(poly_from_str(100000000/$E1589,AU$4342))</f>
        <v>1.4795338618848521</v>
      </c>
      <c r="AV1589" s="13">
        <f>LN(AS1589/AU1589)</f>
        <v>-9.5431908235278418E-2</v>
      </c>
    </row>
    <row r="1590" spans="1:48" x14ac:dyDescent="0.25">
      <c r="A1590" t="s">
        <v>2282</v>
      </c>
      <c r="B1590" s="2" t="str">
        <f t="shared" si="863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920"/>
        <v>o</v>
      </c>
      <c r="N1590" t="str">
        <f t="shared" si="921"/>
        <v>3/2</v>
      </c>
      <c r="O1590">
        <v>38694.51</v>
      </c>
      <c r="P1590" t="str">
        <f t="shared" si="922"/>
        <v>e</v>
      </c>
      <c r="Q1590" t="str">
        <f t="shared" si="923"/>
        <v>5/2</v>
      </c>
      <c r="R1590">
        <v>15</v>
      </c>
      <c r="S1590" t="s">
        <v>6</v>
      </c>
      <c r="AA1590" s="10">
        <f t="shared" si="868"/>
        <v>3603.319</v>
      </c>
      <c r="AB1590" s="3">
        <f t="shared" si="869"/>
        <v>27744.28</v>
      </c>
      <c r="AC1590" s="3" cm="1">
        <f t="array" ref="AC1590">100000000/LvacE(AA1590)</f>
        <v>27744.277027123226</v>
      </c>
      <c r="AD1590" s="10">
        <f t="shared" si="870"/>
        <v>8.8498224868688042E-3</v>
      </c>
      <c r="AE1590" s="10" t="b">
        <f t="shared" si="871"/>
        <v>1</v>
      </c>
      <c r="AJ1590" t="s">
        <v>4815</v>
      </c>
      <c r="AK1590" t="s">
        <v>4794</v>
      </c>
      <c r="AL1590">
        <v>10950.24</v>
      </c>
      <c r="AM1590">
        <v>38694.51</v>
      </c>
      <c r="AN1590" s="10" cm="1">
        <f t="array" ref="AN1590">Lair(100000000/($AM1590-$AL1590))</f>
        <v>3603.3199073838896</v>
      </c>
      <c r="AO1590" s="10">
        <f t="shared" si="924"/>
        <v>3604.347852727788</v>
      </c>
      <c r="AU1590" s="16" cm="1">
        <f t="array" ref="AU1590">$C1590*EXP(poly_from_str(100000000/$E1590,AU$4342))</f>
        <v>2.6344926792487091</v>
      </c>
    </row>
    <row r="1591" spans="1:48" x14ac:dyDescent="0.25">
      <c r="A1591" t="s">
        <v>2283</v>
      </c>
      <c r="B1591" s="2" t="str">
        <f t="shared" si="863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920"/>
        <v>e</v>
      </c>
      <c r="N1591" t="str">
        <f t="shared" si="921"/>
        <v>7/2</v>
      </c>
      <c r="O1591">
        <v>64401.03</v>
      </c>
      <c r="P1591" t="str">
        <f t="shared" si="922"/>
        <v>o</v>
      </c>
      <c r="Q1591" t="str">
        <f t="shared" si="923"/>
        <v>5/2</v>
      </c>
      <c r="R1591">
        <v>15</v>
      </c>
      <c r="S1591" t="s">
        <v>159</v>
      </c>
      <c r="AA1591" s="10">
        <f t="shared" si="868"/>
        <v>3601.192</v>
      </c>
      <c r="AB1591" s="3">
        <f t="shared" si="869"/>
        <v>27760.66</v>
      </c>
      <c r="AC1591" s="3" cm="1">
        <f t="array" ref="AC1591">100000000/LvacE(AA1591)</f>
        <v>27760.663397403314</v>
      </c>
      <c r="AD1591" s="10">
        <f t="shared" si="870"/>
        <v>8.8543714688641036E-3</v>
      </c>
      <c r="AE1591" s="10" t="b">
        <f t="shared" si="871"/>
        <v>1</v>
      </c>
      <c r="AJ1591" t="s">
        <v>4805</v>
      </c>
      <c r="AK1591" t="s">
        <v>4837</v>
      </c>
      <c r="AL1591">
        <v>36640.379999999997</v>
      </c>
      <c r="AM1591">
        <v>64401.03</v>
      </c>
      <c r="AN1591" s="10" cm="1">
        <f t="array" ref="AN1591">Lair(100000000/($AM1591-$AL1591))</f>
        <v>3601.1937326954144</v>
      </c>
      <c r="AO1591" s="10">
        <f t="shared" si="924"/>
        <v>3602.2211295484794</v>
      </c>
      <c r="AP1591" s="12">
        <v>6720000</v>
      </c>
      <c r="AQ1591" s="3">
        <v>6.7000000000000004E-2</v>
      </c>
      <c r="AR1591" s="3">
        <f>LN(AU1591*100000000/($AM1591-$AL1591)/AP1591)</f>
        <v>-6.5527758074139149</v>
      </c>
      <c r="AS1591" s="13">
        <f>EXP(AR$4341*$AM1591+AR$4342)*$AP1591/(100000000/($AM1591-$AL1591))</f>
        <v>1.3131379248661739</v>
      </c>
      <c r="AT1591" s="3">
        <f>LN(AS1591/$C1591)</f>
        <v>-1.673490513656603</v>
      </c>
      <c r="AU1591" s="16" cm="1">
        <f t="array" ref="AU1591">$C1591*EXP(poly_from_str(100000000/$E1591,AU$4342))</f>
        <v>2.6605077564621928</v>
      </c>
      <c r="AV1591" s="13">
        <f>LN(AS1591/AU1591)</f>
        <v>-0.70609735506654669</v>
      </c>
    </row>
    <row r="1592" spans="1:48" x14ac:dyDescent="0.25">
      <c r="A1592" t="s">
        <v>2284</v>
      </c>
      <c r="B1592" s="2" t="str">
        <f t="shared" si="863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868"/>
        <v>3600.4639999999999</v>
      </c>
      <c r="AB1592" s="3">
        <f t="shared" si="869"/>
        <v>27766.28</v>
      </c>
      <c r="AC1592" s="3" cm="1">
        <f t="array" ref="AC1592">100000000/LvacE(AA1592)</f>
        <v>27766.276343569509</v>
      </c>
      <c r="AD1592" s="10">
        <f t="shared" si="870"/>
        <v>8.8559302833703529E-3</v>
      </c>
      <c r="AE1592" s="10" t="b">
        <f t="shared" si="871"/>
        <v>1</v>
      </c>
      <c r="AP1592"/>
      <c r="AQ1592"/>
      <c r="AU1592" s="16" cm="1">
        <f t="array" ref="AU1592">$C1592*EXP(poly_from_str(100000000/$E1592,AU$4342))</f>
        <v>0.76270877226897493</v>
      </c>
    </row>
    <row r="1593" spans="1:48" x14ac:dyDescent="0.25">
      <c r="A1593" t="s">
        <v>2285</v>
      </c>
      <c r="B1593" s="2" t="str">
        <f t="shared" si="863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925">$G1593&amp;""</f>
        <v>o</v>
      </c>
      <c r="N1593" t="str">
        <f t="shared" ref="N1593:N1598" si="926">$H1593&amp;""</f>
        <v>3/2</v>
      </c>
      <c r="O1593">
        <v>44903.42</v>
      </c>
      <c r="P1593" t="str">
        <f t="shared" ref="P1593:P1598" si="927">$J1593&amp;""</f>
        <v>e</v>
      </c>
      <c r="Q1593" t="str">
        <f t="shared" ref="Q1593:Q1598" si="928">$K1593&amp;""</f>
        <v>5/2</v>
      </c>
      <c r="R1593">
        <v>15</v>
      </c>
      <c r="S1593" t="s">
        <v>6</v>
      </c>
      <c r="AA1593" s="10">
        <f t="shared" si="868"/>
        <v>3595.0940000000001</v>
      </c>
      <c r="AB1593" s="3">
        <f t="shared" si="869"/>
        <v>27807.75</v>
      </c>
      <c r="AC1593" s="3" cm="1">
        <f t="array" ref="AC1593">100000000/LvacE(AA1593)</f>
        <v>27807.749756547746</v>
      </c>
      <c r="AD1593" s="10">
        <f t="shared" si="870"/>
        <v>8.8674579519405824E-3</v>
      </c>
      <c r="AE1593" s="10" t="b">
        <f t="shared" si="871"/>
        <v>1</v>
      </c>
      <c r="AJ1593" t="s">
        <v>4856</v>
      </c>
      <c r="AK1593" t="s">
        <v>4765</v>
      </c>
      <c r="AL1593">
        <v>17095.63</v>
      </c>
      <c r="AM1593">
        <v>44903.42</v>
      </c>
      <c r="AN1593" s="10" cm="1">
        <f t="array" ref="AN1593">Lair(100000000/($AM1593-$AL1593))</f>
        <v>3595.0887917176515</v>
      </c>
      <c r="AO1593" s="10">
        <f t="shared" ref="AO1593:AO1598" si="929">100000000/($AM1593-$AL1593)</f>
        <v>3596.1146139265297</v>
      </c>
      <c r="AU1593" s="16" cm="1">
        <f t="array" ref="AU1593">$C1593*EXP(poly_from_str(100000000/$E1593,AU$4342))</f>
        <v>0.78183970521794166</v>
      </c>
    </row>
    <row r="1594" spans="1:48" x14ac:dyDescent="0.25">
      <c r="A1594" t="s">
        <v>2286</v>
      </c>
      <c r="B1594" s="2" t="str">
        <f t="shared" si="863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925"/>
        <v>o</v>
      </c>
      <c r="N1594" t="str">
        <f t="shared" si="926"/>
        <v>7/2</v>
      </c>
      <c r="O1594">
        <v>38694.51</v>
      </c>
      <c r="P1594" t="str">
        <f t="shared" si="927"/>
        <v>e</v>
      </c>
      <c r="Q1594" t="str">
        <f t="shared" si="928"/>
        <v>5/2</v>
      </c>
      <c r="R1594">
        <v>15</v>
      </c>
      <c r="S1594" t="s">
        <v>2287</v>
      </c>
      <c r="AA1594" s="10">
        <f t="shared" si="868"/>
        <v>3591.5149999999999</v>
      </c>
      <c r="AB1594" s="3">
        <f t="shared" si="869"/>
        <v>27835.46</v>
      </c>
      <c r="AC1594" s="3" cm="1">
        <f t="array" ref="AC1594">100000000/LvacE(AA1594)</f>
        <v>27835.459846020141</v>
      </c>
      <c r="AD1594" s="10">
        <f t="shared" si="870"/>
        <v>8.8751696493012209E-3</v>
      </c>
      <c r="AE1594" s="10" t="b">
        <f t="shared" si="871"/>
        <v>1</v>
      </c>
      <c r="AJ1594" t="s">
        <v>4817</v>
      </c>
      <c r="AK1594" t="s">
        <v>4794</v>
      </c>
      <c r="AL1594">
        <v>10859.06</v>
      </c>
      <c r="AM1594">
        <v>38694.51</v>
      </c>
      <c r="AN1594" s="10" cm="1">
        <f t="array" ref="AN1594">Lair(100000000/($AM1594-$AL1594))</f>
        <v>3591.51626510806</v>
      </c>
      <c r="AO1594" s="10">
        <f t="shared" si="929"/>
        <v>3592.5411660310856</v>
      </c>
      <c r="AU1594" s="16" cm="1">
        <f t="array" ref="AU1594">$C1594*EXP(poly_from_str(100000000/$E1594,AU$4342))</f>
        <v>1.5896661660956652</v>
      </c>
    </row>
    <row r="1595" spans="1:48" x14ac:dyDescent="0.25">
      <c r="A1595" t="s">
        <v>2288</v>
      </c>
      <c r="B1595" s="2" t="str">
        <f t="shared" si="863"/>
        <v/>
      </c>
      <c r="C1595">
        <v>30</v>
      </c>
      <c r="D1595" t="s">
        <v>1156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925"/>
        <v>e</v>
      </c>
      <c r="N1595" t="str">
        <f t="shared" si="926"/>
        <v>5/2</v>
      </c>
      <c r="O1595">
        <v>63221.279999999999</v>
      </c>
      <c r="P1595" t="str">
        <f t="shared" si="927"/>
        <v>o</v>
      </c>
      <c r="Q1595" t="str">
        <f t="shared" si="928"/>
        <v>3/2</v>
      </c>
      <c r="R1595">
        <v>15</v>
      </c>
      <c r="T1595">
        <v>1</v>
      </c>
      <c r="AA1595" s="10">
        <f t="shared" si="868"/>
        <v>3591.3440000000001</v>
      </c>
      <c r="AB1595" s="3">
        <f t="shared" si="869"/>
        <v>27836.78</v>
      </c>
      <c r="AC1595" s="3" cm="1">
        <f t="array" ref="AC1595">100000000/LvacE(AA1595)</f>
        <v>27836.785180703071</v>
      </c>
      <c r="AD1595" s="10">
        <f t="shared" si="870"/>
        <v>8.8755386814383525E-3</v>
      </c>
      <c r="AE1595" s="10" t="b">
        <f t="shared" si="871"/>
        <v>1</v>
      </c>
      <c r="AJ1595" t="s">
        <v>4728</v>
      </c>
      <c r="AK1595" t="s">
        <v>4707</v>
      </c>
      <c r="AL1595">
        <v>35384.17</v>
      </c>
      <c r="AM1595">
        <v>63221.279999999999</v>
      </c>
      <c r="AN1595" s="10" cm="1">
        <f t="array" ref="AN1595">Lair(100000000/($AM1595-$AL1595))</f>
        <v>3591.3020876685296</v>
      </c>
      <c r="AO1595" s="10">
        <f t="shared" si="929"/>
        <v>3592.326933363413</v>
      </c>
      <c r="AP1595" s="12">
        <v>47200000</v>
      </c>
      <c r="AQ1595" s="3">
        <v>7.9000000000000001E-2</v>
      </c>
      <c r="AR1595" s="3">
        <f t="shared" ref="AR1595:AR1598" si="930">LN(AU1595*100000000/($AM1595-$AL1595)/AP1595)</f>
        <v>-7.0041382319615417</v>
      </c>
      <c r="AS1595" s="13">
        <f t="shared" ref="AS1595:AS1598" si="931">EXP(AR$4341*$AM1595+AR$4342)*$AP1595/(100000000/($AM1595-$AL1595))</f>
        <v>10.104817200475425</v>
      </c>
      <c r="AT1595" s="3">
        <f t="shared" ref="AT1595:AT1598" si="932">LN(AS1595/$C1595)</f>
        <v>-1.0881851209775772</v>
      </c>
      <c r="AU1595" s="16" cm="1">
        <f t="array" ref="AU1595">$C1595*EXP(poly_from_str(100000000/$E1595,AU$4342))</f>
        <v>11.931843806108182</v>
      </c>
      <c r="AV1595" s="13">
        <f t="shared" ref="AV1595:AV1598" si="933">LN(AS1595/AU1595)</f>
        <v>-0.16619851554602119</v>
      </c>
    </row>
    <row r="1596" spans="1:48" x14ac:dyDescent="0.25">
      <c r="A1596" t="s">
        <v>2289</v>
      </c>
      <c r="B1596" s="2" t="str">
        <f t="shared" si="863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925"/>
        <v>e</v>
      </c>
      <c r="N1596" t="str">
        <f t="shared" si="926"/>
        <v>5/2</v>
      </c>
      <c r="O1596">
        <v>63232.14</v>
      </c>
      <c r="P1596" t="str">
        <f t="shared" si="927"/>
        <v>o</v>
      </c>
      <c r="Q1596" t="str">
        <f t="shared" si="928"/>
        <v>7/2</v>
      </c>
      <c r="R1596">
        <v>15</v>
      </c>
      <c r="AA1596" s="10">
        <f t="shared" si="868"/>
        <v>3589.8910000000001</v>
      </c>
      <c r="AB1596" s="3">
        <f t="shared" si="869"/>
        <v>27848.05</v>
      </c>
      <c r="AC1596" s="3" cm="1">
        <f t="array" ref="AC1596">100000000/LvacE(AA1596)</f>
        <v>27848.051744507175</v>
      </c>
      <c r="AD1596" s="10">
        <f t="shared" si="870"/>
        <v>8.8786765036190755E-3</v>
      </c>
      <c r="AE1596" s="10" t="b">
        <f t="shared" si="871"/>
        <v>1</v>
      </c>
      <c r="AJ1596" t="s">
        <v>4728</v>
      </c>
      <c r="AK1596" t="s">
        <v>4819</v>
      </c>
      <c r="AL1596">
        <v>35384.17</v>
      </c>
      <c r="AM1596">
        <v>63232.14</v>
      </c>
      <c r="AN1596" s="10" cm="1">
        <f t="array" ref="AN1596">Lair(100000000/($AM1596-$AL1596))</f>
        <v>3589.9015326715989</v>
      </c>
      <c r="AO1596" s="10">
        <f t="shared" si="929"/>
        <v>3590.9260172285449</v>
      </c>
      <c r="AP1596" s="12">
        <v>33400000</v>
      </c>
      <c r="AQ1596" s="3">
        <v>0.52300000000000002</v>
      </c>
      <c r="AR1596" s="3">
        <f t="shared" si="930"/>
        <v>-7.973760191910336</v>
      </c>
      <c r="AS1596" s="13">
        <f t="shared" si="931"/>
        <v>7.1474046935430682</v>
      </c>
      <c r="AT1596" s="3">
        <f t="shared" si="932"/>
        <v>-0.11269223079112442</v>
      </c>
      <c r="AU1596" s="16" cm="1">
        <f t="array" ref="AU1596">$C1596*EXP(poly_from_str(100000000/$E1596,AU$4342))</f>
        <v>3.2031697752583512</v>
      </c>
      <c r="AV1596" s="13">
        <f t="shared" si="933"/>
        <v>0.80260843659043368</v>
      </c>
    </row>
    <row r="1597" spans="1:48" x14ac:dyDescent="0.25">
      <c r="A1597" t="s">
        <v>2290</v>
      </c>
      <c r="B1597" s="2" t="str">
        <f t="shared" si="863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925"/>
        <v>o</v>
      </c>
      <c r="N1597" t="str">
        <f t="shared" si="926"/>
        <v>3/2</v>
      </c>
      <c r="O1597">
        <v>48745.48</v>
      </c>
      <c r="P1597" t="str">
        <f t="shared" si="927"/>
        <v>e</v>
      </c>
      <c r="Q1597" t="str">
        <f t="shared" si="928"/>
        <v>5/2</v>
      </c>
      <c r="R1597">
        <v>15</v>
      </c>
      <c r="AA1597" s="10">
        <f t="shared" si="868"/>
        <v>3584.665</v>
      </c>
      <c r="AB1597" s="3">
        <f t="shared" si="869"/>
        <v>27888.65</v>
      </c>
      <c r="AC1597" s="3" cm="1">
        <f t="array" ref="AC1597">100000000/LvacE(AA1597)</f>
        <v>27888.649653481956</v>
      </c>
      <c r="AD1597" s="10">
        <f t="shared" si="870"/>
        <v>8.8899938562574127E-3</v>
      </c>
      <c r="AE1597" s="10" t="b">
        <f t="shared" si="871"/>
        <v>1</v>
      </c>
      <c r="AJ1597" t="s">
        <v>4827</v>
      </c>
      <c r="AK1597" t="s">
        <v>4762</v>
      </c>
      <c r="AL1597">
        <v>20856.86</v>
      </c>
      <c r="AM1597">
        <v>48745.48</v>
      </c>
      <c r="AN1597" s="10" cm="1">
        <f t="array" ref="AN1597">Lair(100000000/($AM1597-$AL1597))</f>
        <v>3584.6688062745561</v>
      </c>
      <c r="AO1597" s="10">
        <f t="shared" si="929"/>
        <v>3585.6919417310714</v>
      </c>
      <c r="AP1597" s="12">
        <v>2600000</v>
      </c>
      <c r="AQ1597" s="3">
        <v>0.13900000000000001</v>
      </c>
      <c r="AR1597" s="3">
        <f t="shared" si="930"/>
        <v>-5.2803857726459009</v>
      </c>
      <c r="AS1597" s="13">
        <f t="shared" si="931"/>
        <v>1.6525844528577458</v>
      </c>
      <c r="AT1597" s="3">
        <f t="shared" si="932"/>
        <v>-1.6948841797817493</v>
      </c>
      <c r="AU1597" s="16" cm="1">
        <f t="array" ref="AU1597">$C1597*EXP(poly_from_str(100000000/$E1597,AU$4342))</f>
        <v>3.6911183414197231</v>
      </c>
      <c r="AV1597" s="13">
        <f t="shared" si="933"/>
        <v>-0.80358908813593355</v>
      </c>
    </row>
    <row r="1598" spans="1:48" x14ac:dyDescent="0.25">
      <c r="A1598" t="s">
        <v>2291</v>
      </c>
      <c r="B1598" s="2" t="str">
        <f t="shared" si="863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925"/>
        <v>e</v>
      </c>
      <c r="N1598" t="str">
        <f t="shared" si="926"/>
        <v>9/2</v>
      </c>
      <c r="O1598">
        <v>63232.14</v>
      </c>
      <c r="P1598" t="str">
        <f t="shared" si="927"/>
        <v>o</v>
      </c>
      <c r="Q1598" t="str">
        <f t="shared" si="928"/>
        <v>7/2</v>
      </c>
      <c r="R1598">
        <v>15</v>
      </c>
      <c r="AA1598" s="10">
        <f t="shared" si="868"/>
        <v>3577.9189999999999</v>
      </c>
      <c r="AB1598" s="3">
        <f t="shared" si="869"/>
        <v>27941.23</v>
      </c>
      <c r="AC1598" s="3" cm="1">
        <f t="array" ref="AC1598">100000000/LvacE(AA1598)</f>
        <v>27941.230949726538</v>
      </c>
      <c r="AD1598" s="10">
        <f t="shared" si="870"/>
        <v>8.9046762866524555E-3</v>
      </c>
      <c r="AE1598" s="10" t="b">
        <f t="shared" si="871"/>
        <v>1</v>
      </c>
      <c r="AJ1598" t="s">
        <v>4807</v>
      </c>
      <c r="AK1598" t="s">
        <v>4819</v>
      </c>
      <c r="AL1598">
        <v>35291</v>
      </c>
      <c r="AM1598">
        <v>63232.14</v>
      </c>
      <c r="AN1598" s="10" cm="1">
        <f t="array" ref="AN1598">Lair(100000000/($AM1598-$AL1598))</f>
        <v>3577.9306412598048</v>
      </c>
      <c r="AO1598" s="10">
        <f t="shared" si="929"/>
        <v>3578.9520398952941</v>
      </c>
      <c r="AP1598" s="12">
        <v>16400000</v>
      </c>
      <c r="AQ1598" s="3">
        <v>0.22</v>
      </c>
      <c r="AR1598" s="3">
        <f t="shared" si="930"/>
        <v>-7.3444529651553525</v>
      </c>
      <c r="AS1598" s="13">
        <f t="shared" si="931"/>
        <v>3.5212457287624921</v>
      </c>
      <c r="AT1598" s="3">
        <f t="shared" si="932"/>
        <v>-0.68709532183660116</v>
      </c>
      <c r="AU1598" s="16" cm="1">
        <f t="array" ref="AU1598">$C1598*EXP(poly_from_str(100000000/$E1598,AU$4342))</f>
        <v>2.9609602288962309</v>
      </c>
      <c r="AV1598" s="13">
        <f t="shared" si="933"/>
        <v>0.17330120983545061</v>
      </c>
    </row>
    <row r="1599" spans="1:48" x14ac:dyDescent="0.25">
      <c r="A1599" t="s">
        <v>2292</v>
      </c>
      <c r="B1599" s="2" t="str">
        <f t="shared" si="863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868"/>
        <v>3577.8629999999998</v>
      </c>
      <c r="AB1599" s="3">
        <f t="shared" si="869"/>
        <v>27941.67</v>
      </c>
      <c r="AC1599" s="3" cm="1">
        <f t="array" ref="AC1599">100000000/LvacE(AA1599)</f>
        <v>27941.668268185374</v>
      </c>
      <c r="AD1599" s="10">
        <f t="shared" si="870"/>
        <v>8.9047985163469602E-3</v>
      </c>
      <c r="AE1599" s="10" t="b">
        <f t="shared" si="871"/>
        <v>1</v>
      </c>
      <c r="AP1599"/>
      <c r="AQ1599"/>
      <c r="AU1599" s="16" cm="1">
        <f t="array" ref="AU1599">$C1599*EXP(poly_from_str(100000000/$E1599,AU$4342))</f>
        <v>0</v>
      </c>
    </row>
    <row r="1600" spans="1:48" x14ac:dyDescent="0.25">
      <c r="A1600" t="s">
        <v>2293</v>
      </c>
      <c r="B1600" s="2" t="str">
        <f t="shared" si="863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868"/>
        <v>3577.8130000000001</v>
      </c>
      <c r="AB1600" s="3">
        <f t="shared" si="869"/>
        <v>27942.06</v>
      </c>
      <c r="AC1600" s="3" cm="1">
        <f t="array" ref="AC1600">100000000/LvacE(AA1600)</f>
        <v>27942.058742662775</v>
      </c>
      <c r="AD1600" s="10">
        <f t="shared" si="870"/>
        <v>8.904907654852667E-3</v>
      </c>
      <c r="AE1600" s="10" t="b">
        <f t="shared" si="871"/>
        <v>1</v>
      </c>
      <c r="AP1600"/>
      <c r="AQ1600"/>
      <c r="AU1600" s="16" cm="1">
        <f t="array" ref="AU1600">$C1600*EXP(poly_from_str(100000000/$E1600,AU$4342))</f>
        <v>0</v>
      </c>
    </row>
    <row r="1601" spans="1:48" x14ac:dyDescent="0.25">
      <c r="A1601" t="s">
        <v>2294</v>
      </c>
      <c r="B1601" s="2" t="str">
        <f t="shared" si="863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868"/>
        <v>3577.3359999999998</v>
      </c>
      <c r="AB1601" s="3">
        <f t="shared" si="869"/>
        <v>27945.78</v>
      </c>
      <c r="AC1601" s="3" cm="1">
        <f t="array" ref="AC1601">100000000/LvacE(AA1601)</f>
        <v>27945.784417923824</v>
      </c>
      <c r="AD1601" s="10">
        <f t="shared" si="870"/>
        <v>8.9059490662777869E-3</v>
      </c>
      <c r="AE1601" s="10" t="b">
        <f t="shared" si="871"/>
        <v>1</v>
      </c>
      <c r="AJ1601" t="s">
        <v>4895</v>
      </c>
      <c r="AK1601" t="s">
        <v>4822</v>
      </c>
      <c r="AL1601">
        <v>33659.99</v>
      </c>
      <c r="AM1601">
        <v>61605.66</v>
      </c>
      <c r="AN1601" s="10" cm="1">
        <f t="array" ref="AN1601">Lair(100000000/($AM1601-$AL1601))</f>
        <v>3577.3506417295794</v>
      </c>
      <c r="AO1601" s="10">
        <f>100000000/($AM1601-$AL1601)</f>
        <v>3578.3718908868523</v>
      </c>
      <c r="AP1601" s="12">
        <v>27400000</v>
      </c>
      <c r="AQ1601" s="3">
        <v>0.44800000000000001</v>
      </c>
      <c r="AR1601" s="3">
        <f>LN(AU1601*100000000/($AM1601-$AL1601)/AP1601)</f>
        <v>-7.7216818316114759</v>
      </c>
      <c r="AS1601" s="13">
        <f>EXP(AR$4341*$AM1601+AR$4342)*$AP1601/(100000000/($AM1601-$AL1601))</f>
        <v>6.6478977255052047</v>
      </c>
      <c r="AT1601" s="3">
        <f>LN(AS1601/$C1601)</f>
        <v>-0.18514086849514727</v>
      </c>
      <c r="AU1601" s="16" cm="1">
        <f t="array" ref="AU1601">$C1601*EXP(poly_from_str(100000000/$E1601,AU$4342))</f>
        <v>3.392979835716202</v>
      </c>
      <c r="AV1601" s="13">
        <f>LN(AS1601/AU1601)</f>
        <v>0.67259213030735698</v>
      </c>
    </row>
    <row r="1602" spans="1:48" x14ac:dyDescent="0.25">
      <c r="A1602" t="s">
        <v>2295</v>
      </c>
      <c r="B1602" s="2" t="str">
        <f t="shared" ref="B1602:B1665" si="934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868"/>
        <v>3577.28</v>
      </c>
      <c r="AB1602" s="3">
        <f t="shared" si="869"/>
        <v>27946.22</v>
      </c>
      <c r="AC1602" s="3" cm="1">
        <f t="array" ref="AC1602">100000000/LvacE(AA1602)</f>
        <v>27946.221878928769</v>
      </c>
      <c r="AD1602" s="10">
        <f t="shared" si="870"/>
        <v>8.9060713557407821E-3</v>
      </c>
      <c r="AE1602" s="10" t="b">
        <f t="shared" si="871"/>
        <v>1</v>
      </c>
      <c r="AP1602"/>
      <c r="AQ1602"/>
      <c r="AU1602" s="16" cm="1">
        <f t="array" ref="AU1602">$C1602*EXP(poly_from_str(100000000/$E1602,AU$4342))</f>
        <v>0</v>
      </c>
    </row>
    <row r="1603" spans="1:48" x14ac:dyDescent="0.25">
      <c r="A1603" t="s">
        <v>2296</v>
      </c>
      <c r="B1603" s="2" t="str">
        <f t="shared" si="934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935">$G1603&amp;""</f>
        <v>e</v>
      </c>
      <c r="N1603" t="str">
        <f t="shared" ref="N1603:N1605" si="936">$H1603&amp;""</f>
        <v>15/2</v>
      </c>
      <c r="O1603">
        <v>66735.88</v>
      </c>
      <c r="P1603" t="str">
        <f t="shared" ref="P1603:P1605" si="937">$J1603&amp;""</f>
        <v>o</v>
      </c>
      <c r="Q1603" t="str">
        <f t="shared" ref="Q1603:Q1605" si="938">$K1603&amp;""</f>
        <v>13/2</v>
      </c>
      <c r="R1603">
        <v>15</v>
      </c>
      <c r="AA1603" s="10">
        <f t="shared" ref="AA1603:AA1666" si="939">ROUND($A1603,3)+0</f>
        <v>3576.7860000000001</v>
      </c>
      <c r="AB1603" s="3">
        <f t="shared" ref="AB1603:AB1666" si="940">ROUND($E1603,2)+0</f>
        <v>27950.080000000002</v>
      </c>
      <c r="AC1603" s="3" cm="1">
        <f t="array" ref="AC1603">100000000/LvacE(AA1603)</f>
        <v>27950.081503309957</v>
      </c>
      <c r="AD1603" s="10">
        <f t="shared" ref="AD1603:AD1666" si="941">0.0005/$AA1603*AC1603+0.005</f>
        <v>8.907150372332865E-3</v>
      </c>
      <c r="AE1603" s="10" t="b">
        <f t="shared" ref="AE1603:AE1666" si="942">ABS(AB1603-AC1603)&lt;AD1603</f>
        <v>1</v>
      </c>
      <c r="AJ1603" t="s">
        <v>4781</v>
      </c>
      <c r="AK1603" t="s">
        <v>4909</v>
      </c>
      <c r="AL1603">
        <v>38785.760000000002</v>
      </c>
      <c r="AM1603">
        <v>66735.88</v>
      </c>
      <c r="AN1603" s="10" cm="1">
        <f t="array" ref="AN1603">Lair(100000000/($AM1603-$AL1603))</f>
        <v>3576.7810680685197</v>
      </c>
      <c r="AO1603" s="10">
        <f t="shared" ref="AO1603:AO1605" si="943">100000000/($AM1603-$AL1603)</f>
        <v>3577.8021704379084</v>
      </c>
      <c r="AP1603" s="12">
        <v>14500000</v>
      </c>
      <c r="AQ1603" s="3">
        <v>0.14099999999999999</v>
      </c>
      <c r="AR1603" s="3">
        <f>LN(AU1603*100000000/($AM1603-$AL1603)/AP1603)</f>
        <v>-6.9651479900900215</v>
      </c>
      <c r="AS1603" s="13">
        <f t="shared" ref="AS1603:AS1604" si="944">EXP(AR$4341*$AM1603+AR$4342)*$AP1603/(100000000/($AM1603-$AL1603))</f>
        <v>2.3942239415528745</v>
      </c>
      <c r="AT1603" s="3">
        <f t="shared" ref="AT1603" si="945">LN(AS1603/$C1603)</f>
        <v>-1.3241654317378382</v>
      </c>
      <c r="AU1603" s="16" cm="1">
        <f t="array" ref="AU1603">$C1603*EXP(poly_from_str(100000000/$E1603,AU$4342))</f>
        <v>3.8267169611839691</v>
      </c>
      <c r="AV1603" s="13">
        <f>LN(AS1603/AU1603)</f>
        <v>-0.46894809970510148</v>
      </c>
    </row>
    <row r="1604" spans="1:48" x14ac:dyDescent="0.25">
      <c r="A1604" t="s">
        <v>2297</v>
      </c>
      <c r="B1604" s="2">
        <f t="shared" si="934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935"/>
        <v>e</v>
      </c>
      <c r="N1604" t="str">
        <f t="shared" si="936"/>
        <v>7/2</v>
      </c>
      <c r="O1604">
        <v>63768.66</v>
      </c>
      <c r="P1604" t="str">
        <f t="shared" si="937"/>
        <v>o</v>
      </c>
      <c r="Q1604" t="str">
        <f t="shared" si="938"/>
        <v>7/2</v>
      </c>
      <c r="R1604">
        <v>15</v>
      </c>
      <c r="AA1604" s="10">
        <f t="shared" si="939"/>
        <v>3574.5540000000001</v>
      </c>
      <c r="AB1604" s="3">
        <f t="shared" si="940"/>
        <v>27967.53</v>
      </c>
      <c r="AC1604" s="3" cm="1">
        <f t="array" ref="AC1604">100000000/LvacE(AA1604)</f>
        <v>27967.533428371262</v>
      </c>
      <c r="AD1604" s="10">
        <f t="shared" si="941"/>
        <v>8.9120311832428974E-3</v>
      </c>
      <c r="AE1604" s="10" t="b">
        <f t="shared" si="942"/>
        <v>1</v>
      </c>
      <c r="AJ1604" t="s">
        <v>4810</v>
      </c>
      <c r="AK1604" t="s">
        <v>4850</v>
      </c>
      <c r="AL1604">
        <v>35801.120000000003</v>
      </c>
      <c r="AM1604">
        <v>63768.66</v>
      </c>
      <c r="AN1604" s="10" cm="1">
        <f t="array" ref="AN1604">Lair(100000000/($AM1604-$AL1604))</f>
        <v>3574.553154685625</v>
      </c>
      <c r="AO1604" s="10">
        <f t="shared" si="943"/>
        <v>3575.5736829195557</v>
      </c>
      <c r="AP1604" s="12">
        <v>7740000</v>
      </c>
      <c r="AQ1604" s="3">
        <v>4.7E-2</v>
      </c>
      <c r="AR1604" s="3"/>
      <c r="AS1604" s="13">
        <f t="shared" si="944"/>
        <v>1.597780517450845</v>
      </c>
      <c r="AT1604" s="3"/>
      <c r="AU1604" s="16" cm="1">
        <f t="array" ref="AU1604">$C1604*EXP(poly_from_str(100000000/$E1604,AU$4342))</f>
        <v>0.85909443350977766</v>
      </c>
    </row>
    <row r="1605" spans="1:48" x14ac:dyDescent="0.25">
      <c r="A1605" t="s">
        <v>2297</v>
      </c>
      <c r="B1605" s="2">
        <f t="shared" si="934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935"/>
        <v>e</v>
      </c>
      <c r="N1605" t="str">
        <f t="shared" si="936"/>
        <v>5/2</v>
      </c>
      <c r="O1605">
        <v>64979.55</v>
      </c>
      <c r="P1605" t="str">
        <f t="shared" si="937"/>
        <v>o</v>
      </c>
      <c r="Q1605" t="str">
        <f t="shared" si="938"/>
        <v>7/2</v>
      </c>
      <c r="R1605">
        <v>15</v>
      </c>
      <c r="AA1605" s="10">
        <f t="shared" si="939"/>
        <v>3574.5540000000001</v>
      </c>
      <c r="AB1605" s="3">
        <f t="shared" si="940"/>
        <v>27967.53</v>
      </c>
      <c r="AC1605" s="3" cm="1">
        <f t="array" ref="AC1605">100000000/LvacE(AA1605)</f>
        <v>27967.533428371262</v>
      </c>
      <c r="AD1605" s="10">
        <f t="shared" si="941"/>
        <v>8.9120311832428974E-3</v>
      </c>
      <c r="AE1605" s="10" t="b">
        <f t="shared" si="942"/>
        <v>1</v>
      </c>
      <c r="AJ1605" t="s">
        <v>4768</v>
      </c>
      <c r="AK1605" t="s">
        <v>4912</v>
      </c>
      <c r="AL1605">
        <v>37011.919999999998</v>
      </c>
      <c r="AM1605">
        <v>64979.55</v>
      </c>
      <c r="AN1605" s="10" cm="1">
        <f t="array" ref="AN1605">Lair(100000000/($AM1605-$AL1605))</f>
        <v>3574.5416514324729</v>
      </c>
      <c r="AO1605" s="10">
        <f t="shared" si="943"/>
        <v>3575.5621767021366</v>
      </c>
      <c r="AU1605" s="16" cm="1">
        <f t="array" ref="AU1605">$C1605*EXP(poly_from_str(100000000/$E1605,AU$4342))</f>
        <v>0.85909443350977766</v>
      </c>
    </row>
    <row r="1606" spans="1:48" x14ac:dyDescent="0.25">
      <c r="A1606" t="s">
        <v>2298</v>
      </c>
      <c r="B1606" s="2" t="str">
        <f t="shared" si="934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939"/>
        <v>3571.6210000000001</v>
      </c>
      <c r="AB1606" s="3">
        <f t="shared" si="940"/>
        <v>27990.5</v>
      </c>
      <c r="AC1606" s="3" cm="1">
        <f t="array" ref="AC1606">100000000/LvacE(AA1606)</f>
        <v>27990.499608793511</v>
      </c>
      <c r="AD1606" s="10">
        <f t="shared" si="941"/>
        <v>8.9184588186699415E-3</v>
      </c>
      <c r="AE1606" s="10" t="b">
        <f t="shared" si="942"/>
        <v>1</v>
      </c>
      <c r="AP1606"/>
      <c r="AQ1606"/>
      <c r="AU1606" s="16" cm="1">
        <f t="array" ref="AU1606">$C1606*EXP(poly_from_str(100000000/$E1606,AU$4342))</f>
        <v>0.43533356041932142</v>
      </c>
    </row>
    <row r="1607" spans="1:48" x14ac:dyDescent="0.25">
      <c r="A1607" t="s">
        <v>2299</v>
      </c>
      <c r="B1607" s="2" t="str">
        <f t="shared" si="934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939"/>
        <v>3570.1410000000001</v>
      </c>
      <c r="AB1607" s="3">
        <f t="shared" si="940"/>
        <v>28002.1</v>
      </c>
      <c r="AC1607" s="3" cm="1">
        <f t="array" ref="AC1607">100000000/LvacE(AA1607)</f>
        <v>28002.102731726864</v>
      </c>
      <c r="AD1607" s="10">
        <f t="shared" si="941"/>
        <v>8.9217082366952541E-3</v>
      </c>
      <c r="AE1607" s="10" t="b">
        <f t="shared" si="942"/>
        <v>1</v>
      </c>
      <c r="AP1607"/>
      <c r="AQ1607"/>
      <c r="AU1607" s="16" cm="1">
        <f t="array" ref="AU1607">$C1607*EXP(poly_from_str(100000000/$E1607,AU$4342))</f>
        <v>0.43827811035281994</v>
      </c>
    </row>
    <row r="1608" spans="1:48" x14ac:dyDescent="0.25">
      <c r="A1608" t="s">
        <v>2300</v>
      </c>
      <c r="B1608" s="2" t="str">
        <f t="shared" si="934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946">$G1608&amp;""</f>
        <v>e</v>
      </c>
      <c r="N1608" t="str">
        <f t="shared" ref="N1608:N1610" si="947">$H1608&amp;""</f>
        <v>7/2</v>
      </c>
      <c r="O1608">
        <v>65935.25</v>
      </c>
      <c r="P1608" t="str">
        <f t="shared" ref="P1608:P1610" si="948">$J1608&amp;""</f>
        <v>o</v>
      </c>
      <c r="Q1608" t="str">
        <f t="shared" ref="Q1608:Q1610" si="949">$K1608&amp;""</f>
        <v>7/2</v>
      </c>
      <c r="R1608">
        <v>15</v>
      </c>
      <c r="AA1608" s="10">
        <f t="shared" si="939"/>
        <v>3568.4180000000001</v>
      </c>
      <c r="AB1608" s="3">
        <f t="shared" si="940"/>
        <v>28015.62</v>
      </c>
      <c r="AC1608" s="3" cm="1">
        <f t="array" ref="AC1608">100000000/LvacE(AA1608)</f>
        <v>28015.62308638624</v>
      </c>
      <c r="AD1608" s="10">
        <f t="shared" si="941"/>
        <v>8.9254962684285084E-3</v>
      </c>
      <c r="AE1608" s="10" t="b">
        <f t="shared" si="942"/>
        <v>1</v>
      </c>
      <c r="AJ1608" t="s">
        <v>4764</v>
      </c>
      <c r="AK1608" t="s">
        <v>4858</v>
      </c>
      <c r="AL1608">
        <v>37919.58</v>
      </c>
      <c r="AM1608">
        <v>65935.25</v>
      </c>
      <c r="AN1608" s="10" cm="1">
        <f t="array" ref="AN1608">Lair(100000000/($AM1608-$AL1608))</f>
        <v>3568.412018962566</v>
      </c>
      <c r="AO1608" s="10">
        <f t="shared" ref="AO1608:AO1610" si="950">100000000/($AM1608-$AL1608)</f>
        <v>3569.4309648850094</v>
      </c>
      <c r="AP1608" s="12">
        <v>1580000</v>
      </c>
      <c r="AQ1608" s="3">
        <v>8.9999999999999993E-3</v>
      </c>
      <c r="AR1608" s="3"/>
      <c r="AS1608" s="13">
        <f t="shared" ref="AS1608:AS1610" si="951">EXP(AR$4341*$AM1608+AR$4342)*$AP1608/(100000000/($AM1608-$AL1608))</f>
        <v>0.27769345156786868</v>
      </c>
      <c r="AT1608" s="3"/>
      <c r="AU1608" s="16" cm="1">
        <f t="array" ref="AU1608">$C1608*EXP(poly_from_str(100000000/$E1608,AU$4342))</f>
        <v>0.88345806486639578</v>
      </c>
    </row>
    <row r="1609" spans="1:48" x14ac:dyDescent="0.25">
      <c r="A1609" t="s">
        <v>2301</v>
      </c>
      <c r="B1609" s="2" t="str">
        <f t="shared" si="934"/>
        <v/>
      </c>
      <c r="C1609">
        <v>1</v>
      </c>
      <c r="D1609" t="s">
        <v>1156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946"/>
        <v>e</v>
      </c>
      <c r="N1609" t="str">
        <f t="shared" si="947"/>
        <v>1/2</v>
      </c>
      <c r="O1609">
        <v>78889.14</v>
      </c>
      <c r="P1609" t="str">
        <f t="shared" si="948"/>
        <v>o</v>
      </c>
      <c r="Q1609" t="str">
        <f t="shared" si="949"/>
        <v>3/2</v>
      </c>
      <c r="R1609">
        <v>15</v>
      </c>
      <c r="AA1609" s="10">
        <f t="shared" si="939"/>
        <v>3567.8969999999999</v>
      </c>
      <c r="AB1609" s="3">
        <f t="shared" si="940"/>
        <v>28019.71</v>
      </c>
      <c r="AC1609" s="3" cm="1">
        <f t="array" ref="AC1609">100000000/LvacE(AA1609)</f>
        <v>28019.713936592074</v>
      </c>
      <c r="AD1609" s="10">
        <f t="shared" si="941"/>
        <v>8.92664277256211E-3</v>
      </c>
      <c r="AE1609" s="10" t="b">
        <f t="shared" si="942"/>
        <v>1</v>
      </c>
      <c r="AJ1609" t="s">
        <v>4784</v>
      </c>
      <c r="AK1609" t="s">
        <v>4877</v>
      </c>
      <c r="AL1609">
        <v>50869.3</v>
      </c>
      <c r="AM1609">
        <v>78889.14</v>
      </c>
      <c r="AN1609" s="10" cm="1">
        <f t="array" ref="AN1609">Lair(100000000/($AM1609-$AL1609))</f>
        <v>3567.8809419289046</v>
      </c>
      <c r="AO1609" s="10">
        <f t="shared" si="950"/>
        <v>3568.8997510335539</v>
      </c>
      <c r="AP1609" s="12">
        <v>3940000</v>
      </c>
      <c r="AQ1609" s="3">
        <v>9.6000000000000002E-2</v>
      </c>
      <c r="AR1609" s="3">
        <f t="shared" ref="AR1609:AR1610" si="952">LN(AU1609*100000000/($AM1609-$AL1609)/AP1609)</f>
        <v>-7.821367626057957</v>
      </c>
      <c r="AS1609" s="13">
        <f t="shared" si="951"/>
        <v>0.26198180404809951</v>
      </c>
      <c r="AT1609" s="3">
        <f t="shared" ref="AT1609:AT1610" si="953">LN(AS1609/$C1609)</f>
        <v>-1.3394802278309104</v>
      </c>
      <c r="AU1609" s="16" cm="1">
        <f t="array" ref="AU1609">$C1609*EXP(poly_from_str(100000000/$E1609,AU$4342))</f>
        <v>0.44277701886862314</v>
      </c>
      <c r="AV1609" s="13">
        <f t="shared" ref="AV1609:AV1610" si="954">LN(AS1609/AU1609)</f>
        <v>-0.52479124876240391</v>
      </c>
    </row>
    <row r="1610" spans="1:48" x14ac:dyDescent="0.25">
      <c r="A1610" t="s">
        <v>2302</v>
      </c>
      <c r="B1610" s="2" t="str">
        <f t="shared" si="934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946"/>
        <v>e</v>
      </c>
      <c r="N1610" t="str">
        <f t="shared" si="947"/>
        <v>13/2</v>
      </c>
      <c r="O1610">
        <v>78694.570000000007</v>
      </c>
      <c r="P1610" t="str">
        <f t="shared" si="948"/>
        <v>o</v>
      </c>
      <c r="Q1610" t="str">
        <f t="shared" si="949"/>
        <v>11/2</v>
      </c>
      <c r="R1610">
        <v>15</v>
      </c>
      <c r="AA1610" s="10">
        <f t="shared" si="939"/>
        <v>3565.8449999999998</v>
      </c>
      <c r="AB1610" s="3">
        <f t="shared" si="940"/>
        <v>28035.84</v>
      </c>
      <c r="AC1610" s="3" cm="1">
        <f t="array" ref="AC1610">100000000/LvacE(AA1610)</f>
        <v>28035.837701447806</v>
      </c>
      <c r="AD1610" s="10">
        <f t="shared" si="941"/>
        <v>8.9311632588415651E-3</v>
      </c>
      <c r="AE1610" s="10" t="b">
        <f t="shared" si="942"/>
        <v>1</v>
      </c>
      <c r="AJ1610" t="s">
        <v>4921</v>
      </c>
      <c r="AK1610" t="s">
        <v>4885</v>
      </c>
      <c r="AL1610">
        <v>50658.720000000001</v>
      </c>
      <c r="AM1610">
        <v>78694.570000000007</v>
      </c>
      <c r="AN1610" s="10" cm="1">
        <f t="array" ref="AN1610">Lair(100000000/($AM1610-$AL1610))</f>
        <v>3565.8434303332974</v>
      </c>
      <c r="AO1610" s="10">
        <f t="shared" si="950"/>
        <v>3566.8617145547569</v>
      </c>
      <c r="AP1610" s="12">
        <v>53400000</v>
      </c>
      <c r="AQ1610" s="3">
        <v>0.57299999999999995</v>
      </c>
      <c r="AR1610" s="3">
        <f t="shared" si="952"/>
        <v>-8.222012412982437</v>
      </c>
      <c r="AS1610" s="13">
        <f t="shared" si="951"/>
        <v>3.6050039288512941</v>
      </c>
      <c r="AT1610" s="3">
        <f t="shared" si="953"/>
        <v>-0.91490171676597731</v>
      </c>
      <c r="AU1610" s="16" cm="1">
        <f t="array" ref="AU1610">$C1610*EXP(poly_from_str(100000000/$E1610,AU$4342))</f>
        <v>4.0223546876126637</v>
      </c>
      <c r="AV1610" s="13">
        <f t="shared" si="954"/>
        <v>-0.10954461376733594</v>
      </c>
    </row>
    <row r="1611" spans="1:48" x14ac:dyDescent="0.25">
      <c r="A1611" t="s">
        <v>2303</v>
      </c>
      <c r="B1611" s="2" t="str">
        <f t="shared" si="934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939"/>
        <v>3565.7939999999999</v>
      </c>
      <c r="AB1611" s="3">
        <f t="shared" si="940"/>
        <v>28036.240000000002</v>
      </c>
      <c r="AC1611" s="3" cm="1">
        <f t="array" ref="AC1611">100000000/LvacE(AA1611)</f>
        <v>28036.238674625401</v>
      </c>
      <c r="AD1611" s="10">
        <f t="shared" si="941"/>
        <v>8.9312757095089349E-3</v>
      </c>
      <c r="AE1611" s="10" t="b">
        <f t="shared" si="942"/>
        <v>1</v>
      </c>
      <c r="AP1611"/>
      <c r="AQ1611"/>
      <c r="AU1611" s="16" cm="1">
        <f t="array" ref="AU1611">$C1611*EXP(poly_from_str(100000000/$E1611,AU$4342))</f>
        <v>0</v>
      </c>
    </row>
    <row r="1612" spans="1:48" x14ac:dyDescent="0.25">
      <c r="A1612" t="s">
        <v>2304</v>
      </c>
      <c r="B1612" s="2" t="str">
        <f t="shared" si="934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939"/>
        <v>3565.7420000000002</v>
      </c>
      <c r="AB1612" s="3">
        <f t="shared" si="940"/>
        <v>28036.65</v>
      </c>
      <c r="AC1612" s="3" cm="1">
        <f t="array" ref="AC1612">100000000/LvacE(AA1612)</f>
        <v>28036.64752183123</v>
      </c>
      <c r="AD1612" s="10">
        <f t="shared" si="941"/>
        <v>8.9313903700591959E-3</v>
      </c>
      <c r="AE1612" s="10" t="b">
        <f t="shared" si="942"/>
        <v>1</v>
      </c>
      <c r="AP1612"/>
      <c r="AQ1612"/>
      <c r="AU1612" s="16" cm="1">
        <f t="array" ref="AU1612">$C1612*EXP(poly_from_str(100000000/$E1612,AU$4342))</f>
        <v>0</v>
      </c>
    </row>
    <row r="1613" spans="1:48" x14ac:dyDescent="0.25">
      <c r="A1613" t="s">
        <v>2305</v>
      </c>
      <c r="B1613" s="2" t="str">
        <f t="shared" si="934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939"/>
        <v>3565.6979999999999</v>
      </c>
      <c r="AB1613" s="3">
        <f t="shared" si="940"/>
        <v>28036.99</v>
      </c>
      <c r="AC1613" s="3" cm="1">
        <f t="array" ref="AC1613">100000000/LvacE(AA1613)</f>
        <v>28036.993478780521</v>
      </c>
      <c r="AD1613" s="10">
        <f t="shared" si="941"/>
        <v>8.9314873944429003E-3</v>
      </c>
      <c r="AE1613" s="10" t="b">
        <f t="shared" si="942"/>
        <v>1</v>
      </c>
      <c r="AP1613"/>
      <c r="AQ1613"/>
      <c r="AU1613" s="16" cm="1">
        <f t="array" ref="AU1613">$C1613*EXP(poly_from_str(100000000/$E1613,AU$4342))</f>
        <v>0</v>
      </c>
    </row>
    <row r="1614" spans="1:48" x14ac:dyDescent="0.25">
      <c r="A1614" t="s">
        <v>2306</v>
      </c>
      <c r="B1614" s="2" t="str">
        <f t="shared" si="934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939"/>
        <v>3565.654</v>
      </c>
      <c r="AB1614" s="3">
        <f t="shared" si="940"/>
        <v>28037.34</v>
      </c>
      <c r="AC1614" s="3" cm="1">
        <f t="array" ref="AC1614">100000000/LvacE(AA1614)</f>
        <v>28037.339444267596</v>
      </c>
      <c r="AD1614" s="10">
        <f t="shared" si="941"/>
        <v>8.9315844224183844E-3</v>
      </c>
      <c r="AE1614" s="10" t="b">
        <f t="shared" si="942"/>
        <v>1</v>
      </c>
      <c r="AP1614"/>
      <c r="AQ1614"/>
      <c r="AU1614" s="16" cm="1">
        <f t="array" ref="AU1614">$C1614*EXP(poly_from_str(100000000/$E1614,AU$4342))</f>
        <v>0</v>
      </c>
    </row>
    <row r="1615" spans="1:48" x14ac:dyDescent="0.25">
      <c r="A1615" t="s">
        <v>2307</v>
      </c>
      <c r="B1615" s="2" t="str">
        <f t="shared" si="934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939"/>
        <v>3564.442</v>
      </c>
      <c r="AB1615" s="3">
        <f t="shared" si="940"/>
        <v>28046.87</v>
      </c>
      <c r="AC1615" s="3" cm="1">
        <f t="array" ref="AC1615">100000000/LvacE(AA1615)</f>
        <v>28046.872578710725</v>
      </c>
      <c r="AD1615" s="10">
        <f t="shared" si="941"/>
        <v>8.9342585148966831E-3</v>
      </c>
      <c r="AE1615" s="10" t="b">
        <f t="shared" si="942"/>
        <v>1</v>
      </c>
      <c r="AP1615"/>
      <c r="AQ1615"/>
      <c r="AU1615" s="16" cm="1">
        <f t="array" ref="AU1615">$C1615*EXP(poly_from_str(100000000/$E1615,AU$4342))</f>
        <v>0</v>
      </c>
    </row>
    <row r="1616" spans="1:48" x14ac:dyDescent="0.25">
      <c r="A1616" t="s">
        <v>2308</v>
      </c>
      <c r="B1616" s="2" t="str">
        <f t="shared" si="934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955">$G1616&amp;""</f>
        <v>e</v>
      </c>
      <c r="N1616" t="str">
        <f t="shared" ref="N1616:N1617" si="956">$H1616&amp;""</f>
        <v>11/2</v>
      </c>
      <c r="O1616">
        <v>78694.570000000007</v>
      </c>
      <c r="P1616" t="str">
        <f t="shared" ref="P1616:P1617" si="957">$J1616&amp;""</f>
        <v>o</v>
      </c>
      <c r="Q1616" t="str">
        <f t="shared" ref="Q1616:Q1617" si="958">$K1616&amp;""</f>
        <v>11/2</v>
      </c>
      <c r="R1616">
        <v>15</v>
      </c>
      <c r="AA1616" s="10">
        <f t="shared" si="939"/>
        <v>3564.4050000000002</v>
      </c>
      <c r="AB1616" s="3">
        <f t="shared" si="940"/>
        <v>28047.16</v>
      </c>
      <c r="AC1616" s="3" cm="1">
        <f t="array" ref="AC1616">100000000/LvacE(AA1616)</f>
        <v>28047.163708716533</v>
      </c>
      <c r="AD1616" s="10">
        <f t="shared" si="941"/>
        <v>8.9343401926431677E-3</v>
      </c>
      <c r="AE1616" s="10" t="b">
        <f t="shared" si="942"/>
        <v>1</v>
      </c>
      <c r="AJ1616" t="s">
        <v>4937</v>
      </c>
      <c r="AK1616" t="s">
        <v>4885</v>
      </c>
      <c r="AL1616">
        <v>50647.35</v>
      </c>
      <c r="AM1616">
        <v>78694.570000000007</v>
      </c>
      <c r="AN1616" s="10" cm="1">
        <f t="array" ref="AN1616">Lair(100000000/($AM1616-$AL1616))</f>
        <v>3564.3978405852495</v>
      </c>
      <c r="AO1616" s="10">
        <f t="shared" ref="AO1616:AO1617" si="959">100000000/($AM1616-$AL1616)</f>
        <v>3565.4157524346429</v>
      </c>
      <c r="AP1616" s="12">
        <v>254000000</v>
      </c>
      <c r="AQ1616" s="3">
        <v>0.749</v>
      </c>
      <c r="AR1616" s="3">
        <f t="shared" ref="AR1616:AR1617" si="960">LN(AU1616*100000000/($AM1616-$AL1616)/AP1616)</f>
        <v>-8.5714324164217697</v>
      </c>
      <c r="AS1616" s="13">
        <f t="shared" ref="AS1616:AS1617" si="961">EXP(AR$4341*$AM1616+AR$4342)*$AP1616/(100000000/($AM1616-$AL1616))</f>
        <v>17.154351129116179</v>
      </c>
      <c r="AT1616" s="3">
        <f t="shared" ref="AT1616:AT1617" si="962">LN(AS1616/$C1616)</f>
        <v>-0.55894553007663772</v>
      </c>
      <c r="AU1616" s="16" cm="1">
        <f t="array" ref="AU1616">$C1616*EXP(poly_from_str(100000000/$E1616,AU$4342))</f>
        <v>13.495772144499817</v>
      </c>
      <c r="AV1616" s="13">
        <f t="shared" ref="AV1616:AV1617" si="963">LN(AS1616/AU1616)</f>
        <v>0.23987538967199779</v>
      </c>
    </row>
    <row r="1617" spans="1:48" x14ac:dyDescent="0.25">
      <c r="A1617" t="s">
        <v>2309</v>
      </c>
      <c r="B1617" s="2" t="str">
        <f t="shared" si="934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955"/>
        <v>e</v>
      </c>
      <c r="N1617" t="str">
        <f t="shared" si="956"/>
        <v>5/2</v>
      </c>
      <c r="O1617">
        <v>61717.98</v>
      </c>
      <c r="P1617" t="str">
        <f t="shared" si="957"/>
        <v>o</v>
      </c>
      <c r="Q1617" t="str">
        <f t="shared" si="958"/>
        <v>5/2</v>
      </c>
      <c r="R1617">
        <v>15</v>
      </c>
      <c r="AA1617" s="10">
        <f t="shared" si="939"/>
        <v>3563.0189999999998</v>
      </c>
      <c r="AB1617" s="3">
        <f t="shared" si="940"/>
        <v>28058.07</v>
      </c>
      <c r="AC1617" s="3" cm="1">
        <f t="array" ref="AC1617">100000000/LvacE(AA1617)</f>
        <v>28058.07363663568</v>
      </c>
      <c r="AD1617" s="10">
        <f t="shared" si="941"/>
        <v>8.9374016299991234E-3</v>
      </c>
      <c r="AE1617" s="10" t="b">
        <f t="shared" si="942"/>
        <v>1</v>
      </c>
      <c r="AJ1617" t="s">
        <v>4895</v>
      </c>
      <c r="AK1617" t="s">
        <v>4880</v>
      </c>
      <c r="AL1617">
        <v>33659.99</v>
      </c>
      <c r="AM1617">
        <v>61717.98</v>
      </c>
      <c r="AN1617" s="10" cm="1">
        <f t="array" ref="AN1617">Lair(100000000/($AM1617-$AL1617))</f>
        <v>3563.0296157280814</v>
      </c>
      <c r="AO1617" s="10">
        <f t="shared" si="959"/>
        <v>3564.0471751540285</v>
      </c>
      <c r="AP1617" s="12">
        <v>60200000</v>
      </c>
      <c r="AQ1617" s="3">
        <v>0.69099999999999995</v>
      </c>
      <c r="AR1617" s="3">
        <f t="shared" si="960"/>
        <v>-7.308186662092977</v>
      </c>
      <c r="AS1617" s="13">
        <f t="shared" si="961"/>
        <v>14.541577089868726</v>
      </c>
      <c r="AT1617" s="3">
        <f t="shared" si="962"/>
        <v>-0.54186389304171956</v>
      </c>
      <c r="AU1617" s="16" cm="1">
        <f t="array" ref="AU1617">$C1617*EXP(poly_from_str(100000000/$E1617,AU$4342))</f>
        <v>11.317432353012489</v>
      </c>
      <c r="AV1617" s="13">
        <f t="shared" si="963"/>
        <v>0.25066770871871064</v>
      </c>
    </row>
    <row r="1618" spans="1:48" x14ac:dyDescent="0.25">
      <c r="A1618" t="s">
        <v>2310</v>
      </c>
      <c r="B1618" s="2" t="str">
        <f t="shared" si="934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939"/>
        <v>3562.96</v>
      </c>
      <c r="AB1618" s="3">
        <f t="shared" si="940"/>
        <v>28058.54</v>
      </c>
      <c r="AC1618" s="3" cm="1">
        <f t="array" ref="AC1618">100000000/LvacE(AA1618)</f>
        <v>28058.53824470879</v>
      </c>
      <c r="AD1618" s="10">
        <f t="shared" si="941"/>
        <v>8.9375320302092637E-3</v>
      </c>
      <c r="AE1618" s="10" t="b">
        <f t="shared" si="942"/>
        <v>1</v>
      </c>
      <c r="AP1618"/>
      <c r="AQ1618"/>
      <c r="AU1618" s="16" cm="1">
        <f t="array" ref="AU1618">$C1618*EXP(poly_from_str(100000000/$E1618,AU$4342))</f>
        <v>0</v>
      </c>
    </row>
    <row r="1619" spans="1:48" x14ac:dyDescent="0.25">
      <c r="A1619" t="s">
        <v>2311</v>
      </c>
      <c r="B1619" s="2" t="str">
        <f t="shared" si="934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AA1619" s="10">
        <f t="shared" si="939"/>
        <v>3559.6030000000001</v>
      </c>
      <c r="AB1619" s="3">
        <f t="shared" si="940"/>
        <v>28085</v>
      </c>
      <c r="AC1619" s="3" cm="1">
        <f t="array" ref="AC1619">100000000/LvacE(AA1619)</f>
        <v>28084.99902435661</v>
      </c>
      <c r="AD1619" s="10">
        <f t="shared" si="941"/>
        <v>8.9449622646621853E-3</v>
      </c>
      <c r="AE1619" s="10" t="b">
        <f t="shared" si="942"/>
        <v>1</v>
      </c>
      <c r="AJ1619" t="s">
        <v>4939</v>
      </c>
      <c r="AK1619" t="s">
        <v>4872</v>
      </c>
      <c r="AL1619">
        <v>50227.79</v>
      </c>
      <c r="AM1619">
        <v>78312.91</v>
      </c>
      <c r="AN1619" s="10" cm="1">
        <f t="array" ref="AN1619">Lair(100000000/($AM1619-$AL1619))</f>
        <v>3559.5876613088149</v>
      </c>
      <c r="AO1619" s="10">
        <f>100000000/($AM1619-$AL1619)</f>
        <v>3560.6043342524436</v>
      </c>
      <c r="AP1619" s="12">
        <v>12800000</v>
      </c>
      <c r="AQ1619" s="3">
        <v>0.39800000000000002</v>
      </c>
      <c r="AR1619" s="3">
        <f>LN(AU1619*100000000/($AM1619-$AL1619)/AP1619)</f>
        <v>-8.2711730380103052</v>
      </c>
      <c r="AS1619" s="13">
        <f>EXP(AR$4341*$AM1619+AR$4342)*$AP1619/(100000000/($AM1619-$AL1619))</f>
        <v>0.89079182771779841</v>
      </c>
      <c r="AT1619" s="3">
        <f>LN(AS1619/$C1619)</f>
        <v>-0.80879169829412856</v>
      </c>
      <c r="AU1619" s="16" cm="1">
        <f t="array" ref="AU1619">$C1619*EXP(poly_from_str(100000000/$E1619,AU$4342))</f>
        <v>0.91952055985060477</v>
      </c>
      <c r="AV1619" s="13">
        <f>LN(AS1619/AU1619)</f>
        <v>-3.1741642362219644E-2</v>
      </c>
    </row>
    <row r="1620" spans="1:48" x14ac:dyDescent="0.25">
      <c r="A1620" t="s">
        <v>2312</v>
      </c>
      <c r="B1620" s="2" t="str">
        <f t="shared" si="934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939"/>
        <v>3559.5079999999998</v>
      </c>
      <c r="AB1620" s="3">
        <f t="shared" si="940"/>
        <v>28085.75</v>
      </c>
      <c r="AC1620" s="3" cm="1">
        <f t="array" ref="AC1620">100000000/LvacE(AA1620)</f>
        <v>28085.748566150807</v>
      </c>
      <c r="AD1620" s="10">
        <f t="shared" si="941"/>
        <v>8.9451728393574077E-3</v>
      </c>
      <c r="AE1620" s="10" t="b">
        <f t="shared" si="942"/>
        <v>1</v>
      </c>
      <c r="AP1620"/>
      <c r="AQ1620"/>
      <c r="AU1620" s="16" cm="1">
        <f t="array" ref="AU1620">$C1620*EXP(poly_from_str(100000000/$E1620,AU$4342))</f>
        <v>0.91991629878968251</v>
      </c>
    </row>
    <row r="1621" spans="1:48" x14ac:dyDescent="0.25">
      <c r="A1621" t="s">
        <v>2313</v>
      </c>
      <c r="B1621" s="2" t="str">
        <f t="shared" si="934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939"/>
        <v>3559.4340000000002</v>
      </c>
      <c r="AB1621" s="3">
        <f t="shared" si="940"/>
        <v>28086.33</v>
      </c>
      <c r="AC1621" s="3" cm="1">
        <f t="array" ref="AC1621">100000000/LvacE(AA1621)</f>
        <v>28086.332447478671</v>
      </c>
      <c r="AD1621" s="10">
        <f t="shared" si="941"/>
        <v>8.9453368776438429E-3</v>
      </c>
      <c r="AE1621" s="10" t="b">
        <f t="shared" si="942"/>
        <v>1</v>
      </c>
      <c r="AP1621"/>
      <c r="AQ1621"/>
      <c r="AU1621" s="16" cm="1">
        <f t="array" ref="AU1621">$C1621*EXP(poly_from_str(100000000/$E1621,AU$4342))</f>
        <v>0.46011121177030145</v>
      </c>
    </row>
    <row r="1622" spans="1:48" x14ac:dyDescent="0.25">
      <c r="A1622" t="s">
        <v>2314</v>
      </c>
      <c r="B1622" s="2" t="str">
        <f t="shared" si="934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939"/>
        <v>3547.9609999999998</v>
      </c>
      <c r="AB1622" s="3">
        <f t="shared" si="940"/>
        <v>28177.15</v>
      </c>
      <c r="AC1622" s="3" cm="1">
        <f t="array" ref="AC1622">100000000/LvacE(AA1622)</f>
        <v>28177.152328946366</v>
      </c>
      <c r="AD1622" s="10">
        <f t="shared" si="941"/>
        <v>8.9708937512202602E-3</v>
      </c>
      <c r="AE1622" s="10" t="b">
        <f t="shared" si="942"/>
        <v>1</v>
      </c>
      <c r="AJ1622" t="s">
        <v>4805</v>
      </c>
      <c r="AK1622" t="s">
        <v>4882</v>
      </c>
      <c r="AL1622">
        <v>36640.379999999997</v>
      </c>
      <c r="AM1622">
        <v>64817.53</v>
      </c>
      <c r="AN1622" s="10" cm="1">
        <f t="array" ref="AN1622">Lair(100000000/($AM1622-$AL1622))</f>
        <v>3547.9612878370403</v>
      </c>
      <c r="AO1622" s="10">
        <f>100000000/($AM1622-$AL1622)</f>
        <v>3548.9749673050678</v>
      </c>
      <c r="AP1622" s="12">
        <v>4940000</v>
      </c>
      <c r="AQ1622" s="3">
        <v>5.6000000000000001E-2</v>
      </c>
      <c r="AR1622" s="3">
        <f>LN(AU1622*100000000/($AM1622-$AL1622)/AP1622)</f>
        <v>-6.8643942529007846</v>
      </c>
      <c r="AS1622" s="13">
        <f>EXP(AR$4341*$AM1622+AR$4342)*$AP1622/(100000000/($AM1622-$AL1622))</f>
        <v>0.94964376589542931</v>
      </c>
      <c r="AT1622" s="3">
        <f>LN(AS1622/$C1622)</f>
        <v>-1.1502806366474359</v>
      </c>
      <c r="AU1622" s="16" cm="1">
        <f t="array" ref="AU1622">$C1622*EXP(poly_from_str(100000000/$E1622,AU$4342))</f>
        <v>1.4536353214440876</v>
      </c>
      <c r="AV1622" s="13">
        <f>LN(AS1622/AU1622)</f>
        <v>-0.42573588507127452</v>
      </c>
    </row>
    <row r="1623" spans="1:48" x14ac:dyDescent="0.25">
      <c r="A1623" t="s">
        <v>2315</v>
      </c>
      <c r="B1623" s="2" t="str">
        <f t="shared" si="934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939"/>
        <v>3546.1190000000001</v>
      </c>
      <c r="AB1623" s="3">
        <f t="shared" si="940"/>
        <v>28191.79</v>
      </c>
      <c r="AC1623" s="3" cm="1">
        <f t="array" ref="AC1623">100000000/LvacE(AA1623)</f>
        <v>28191.788285971052</v>
      </c>
      <c r="AD1623" s="10">
        <f t="shared" si="941"/>
        <v>8.9750200551604511E-3</v>
      </c>
      <c r="AE1623" s="10" t="b">
        <f t="shared" si="942"/>
        <v>1</v>
      </c>
      <c r="AP1623"/>
      <c r="AQ1623"/>
      <c r="AU1623" s="16" cm="1">
        <f t="array" ref="AU1623">$C1623*EXP(poly_from_str(100000000/$E1623,AU$4342))</f>
        <v>0</v>
      </c>
    </row>
    <row r="1624" spans="1:48" x14ac:dyDescent="0.25">
      <c r="A1624" t="s">
        <v>2316</v>
      </c>
      <c r="B1624" s="2" t="str">
        <f t="shared" si="934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964">$G1624&amp;""</f>
        <v>e</v>
      </c>
      <c r="N1624" t="str">
        <f t="shared" ref="N1624:N1625" si="965">$H1624&amp;""</f>
        <v>5/2</v>
      </c>
      <c r="O1624">
        <v>63576.27</v>
      </c>
      <c r="P1624" t="str">
        <f t="shared" ref="P1624:P1625" si="966">$J1624&amp;""</f>
        <v>o</v>
      </c>
      <c r="Q1624" t="str">
        <f t="shared" ref="Q1624:Q1625" si="967">$K1624&amp;""</f>
        <v>5/2</v>
      </c>
      <c r="R1624">
        <v>16</v>
      </c>
      <c r="AA1624" s="10">
        <f t="shared" si="939"/>
        <v>3546.0630000000001</v>
      </c>
      <c r="AB1624" s="3">
        <f t="shared" si="940"/>
        <v>28192.23</v>
      </c>
      <c r="AC1624" s="3" cm="1">
        <f t="array" ref="AC1624">100000000/LvacE(AA1624)</f>
        <v>28192.233482639826</v>
      </c>
      <c r="AD1624" s="10">
        <f t="shared" si="941"/>
        <v>8.9751456026923131E-3</v>
      </c>
      <c r="AE1624" s="10" t="b">
        <f t="shared" si="942"/>
        <v>1</v>
      </c>
      <c r="AJ1624" t="s">
        <v>4728</v>
      </c>
      <c r="AK1624" t="s">
        <v>4843</v>
      </c>
      <c r="AL1624">
        <v>35384.17</v>
      </c>
      <c r="AM1624">
        <v>63576.27</v>
      </c>
      <c r="AN1624" s="10" cm="1">
        <f t="array" ref="AN1624">Lair(100000000/($AM1624-$AL1624))</f>
        <v>3546.0797847818671</v>
      </c>
      <c r="AO1624" s="10">
        <f t="shared" ref="AO1624:AO1625" si="968">100000000/($AM1624-$AL1624)</f>
        <v>3547.0929799482838</v>
      </c>
      <c r="AP1624" s="12">
        <v>23100000</v>
      </c>
      <c r="AQ1624" s="3">
        <v>6.0999999999999999E-2</v>
      </c>
      <c r="AR1624" s="3">
        <f t="shared" ref="AR1624:AR1625" si="969">LN(AU1624*100000000/($AM1624-$AL1624)/AP1624)</f>
        <v>-7.705723003561487</v>
      </c>
      <c r="AS1624" s="13">
        <f t="shared" ref="AS1624:AS1625" si="970">EXP(AR$4341*$AM1624+AR$4342)*$AP1624/(100000000/($AM1624-$AL1624))</f>
        <v>4.8767641239819701</v>
      </c>
      <c r="AT1624" s="3">
        <f t="shared" ref="AT1624:AT1625" si="971">LN(AS1624/$C1624)</f>
        <v>-0.2072775586519302</v>
      </c>
      <c r="AU1624" s="16" cm="1">
        <f t="array" ref="AU1624">$C1624*EXP(poly_from_str(100000000/$E1624,AU$4342))</f>
        <v>2.9321516463427</v>
      </c>
      <c r="AV1624" s="13">
        <f t="shared" ref="AV1624:AV1625" si="972">LN(AS1624/AU1624)</f>
        <v>0.50874540676277857</v>
      </c>
    </row>
    <row r="1625" spans="1:48" x14ac:dyDescent="0.25">
      <c r="A1625" t="s">
        <v>2317</v>
      </c>
      <c r="B1625" s="2" t="str">
        <f t="shared" si="934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964"/>
        <v>e</v>
      </c>
      <c r="N1625" t="str">
        <f t="shared" si="965"/>
        <v>7/2</v>
      </c>
      <c r="O1625">
        <v>63232.14</v>
      </c>
      <c r="P1625" t="str">
        <f t="shared" si="966"/>
        <v>o</v>
      </c>
      <c r="Q1625" t="str">
        <f t="shared" si="967"/>
        <v>7/2</v>
      </c>
      <c r="R1625">
        <v>16</v>
      </c>
      <c r="AA1625" s="10">
        <f t="shared" si="939"/>
        <v>3544.1170000000002</v>
      </c>
      <c r="AB1625" s="3">
        <f t="shared" si="940"/>
        <v>28207.71</v>
      </c>
      <c r="AC1625" s="3" cm="1">
        <f t="array" ref="AC1625">100000000/LvacE(AA1625)</f>
        <v>28207.712805487092</v>
      </c>
      <c r="AD1625" s="10">
        <f t="shared" si="941"/>
        <v>8.9795120767016297E-3</v>
      </c>
      <c r="AE1625" s="10" t="b">
        <f t="shared" si="942"/>
        <v>1</v>
      </c>
      <c r="AJ1625" t="s">
        <v>4770</v>
      </c>
      <c r="AK1625" t="s">
        <v>4819</v>
      </c>
      <c r="AL1625">
        <v>35024.49</v>
      </c>
      <c r="AM1625">
        <v>63232.14</v>
      </c>
      <c r="AN1625" s="10" cm="1">
        <f t="array" ref="AN1625">Lair(100000000/($AM1625-$AL1625))</f>
        <v>3544.1248859140637</v>
      </c>
      <c r="AO1625" s="10">
        <f t="shared" si="968"/>
        <v>3545.1375779265554</v>
      </c>
      <c r="AP1625" s="12">
        <v>19200000</v>
      </c>
      <c r="AQ1625" s="3">
        <v>0.13200000000000001</v>
      </c>
      <c r="AR1625" s="3">
        <f t="shared" si="969"/>
        <v>-7.9180903219869574</v>
      </c>
      <c r="AS1625" s="13">
        <f t="shared" si="970"/>
        <v>4.1617548924182826</v>
      </c>
      <c r="AT1625" s="3">
        <f t="shared" si="971"/>
        <v>3.9642473338959199E-2</v>
      </c>
      <c r="AU1625" s="16" cm="1">
        <f t="array" ref="AU1625">$C1625*EXP(poly_from_str(100000000/$E1625,AU$4342))</f>
        <v>1.9719014253613969</v>
      </c>
      <c r="AV1625" s="13">
        <f t="shared" si="972"/>
        <v>0.74693856666705594</v>
      </c>
    </row>
    <row r="1626" spans="1:48" x14ac:dyDescent="0.25">
      <c r="A1626" t="s">
        <v>2318</v>
      </c>
      <c r="B1626" s="2" t="str">
        <f t="shared" si="934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939"/>
        <v>3544.0590000000002</v>
      </c>
      <c r="AB1626" s="3">
        <f t="shared" si="940"/>
        <v>28208.17</v>
      </c>
      <c r="AC1626" s="3" cm="1">
        <f t="array" ref="AC1626">100000000/LvacE(AA1626)</f>
        <v>28208.174423352244</v>
      </c>
      <c r="AD1626" s="10">
        <f t="shared" si="941"/>
        <v>8.9796423286621699E-3</v>
      </c>
      <c r="AE1626" s="10" t="b">
        <f t="shared" si="942"/>
        <v>1</v>
      </c>
      <c r="AP1626"/>
      <c r="AQ1626"/>
      <c r="AU1626" s="16" cm="1">
        <f t="array" ref="AU1626">$C1626*EXP(poly_from_str(100000000/$E1626,AU$4342))</f>
        <v>0.49310305328516807</v>
      </c>
    </row>
    <row r="1627" spans="1:48" x14ac:dyDescent="0.25">
      <c r="A1627" t="s">
        <v>2319</v>
      </c>
      <c r="B1627" s="2" t="str">
        <f t="shared" si="934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939"/>
        <v>3542.9859999999999</v>
      </c>
      <c r="AB1627" s="3">
        <f t="shared" si="940"/>
        <v>28216.720000000001</v>
      </c>
      <c r="AC1627" s="3" cm="1">
        <f t="array" ref="AC1627">100000000/LvacE(AA1627)</f>
        <v>28216.717079864546</v>
      </c>
      <c r="AD1627" s="10">
        <f t="shared" si="941"/>
        <v>8.9820531438544425E-3</v>
      </c>
      <c r="AE1627" s="10" t="b">
        <f t="shared" si="942"/>
        <v>1</v>
      </c>
      <c r="AJ1627" t="s">
        <v>4805</v>
      </c>
      <c r="AK1627" t="s">
        <v>4854</v>
      </c>
      <c r="AL1627">
        <v>36640.379999999997</v>
      </c>
      <c r="AM1627">
        <v>64857.15</v>
      </c>
      <c r="AN1627" s="10" cm="1">
        <f t="array" ref="AN1627">Lair(100000000/($AM1627-$AL1627))</f>
        <v>3542.9793495599606</v>
      </c>
      <c r="AO1627" s="10">
        <f>100000000/($AM1627-$AL1627)</f>
        <v>3543.9917467520195</v>
      </c>
      <c r="AP1627" s="12">
        <v>14700000</v>
      </c>
      <c r="AQ1627" s="3">
        <v>0.12</v>
      </c>
      <c r="AR1627" s="3">
        <f>LN(AU1627*100000000/($AM1627-$AL1627)/AP1627)</f>
        <v>-6.0368433114310243</v>
      </c>
      <c r="AS1627" s="13">
        <f>EXP(AR$4341*$AM1627+AR$4342)*$AP1627/(100000000/($AM1627-$AL1627))</f>
        <v>2.8214348799546918</v>
      </c>
      <c r="AT1627" s="3">
        <f>LN(AS1627/$C1627)</f>
        <v>-1.9584866953313647</v>
      </c>
      <c r="AU1627" s="16" cm="1">
        <f t="array" ref="AU1627">$C1627*EXP(poly_from_str(100000000/$E1627,AU$4342))</f>
        <v>9.909617571048452</v>
      </c>
      <c r="AV1627" s="13">
        <f>LN(AS1627/AU1627)</f>
        <v>-1.2562601791676311</v>
      </c>
    </row>
    <row r="1628" spans="1:48" x14ac:dyDescent="0.25">
      <c r="A1628" t="s">
        <v>2320</v>
      </c>
      <c r="B1628" s="2" t="str">
        <f t="shared" si="934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939"/>
        <v>3539.5659999999998</v>
      </c>
      <c r="AB1628" s="3">
        <f t="shared" si="940"/>
        <v>28243.98</v>
      </c>
      <c r="AC1628" s="3" cm="1">
        <f t="array" ref="AC1628">100000000/LvacE(AA1628)</f>
        <v>28243.979865631874</v>
      </c>
      <c r="AD1628" s="10">
        <f t="shared" si="941"/>
        <v>8.9897518319522612E-3</v>
      </c>
      <c r="AE1628" s="10" t="b">
        <f t="shared" si="942"/>
        <v>1</v>
      </c>
      <c r="AP1628"/>
      <c r="AQ1628"/>
      <c r="AU1628" s="16" cm="1">
        <f t="array" ref="AU1628">$C1628*EXP(poly_from_str(100000000/$E1628,AU$4342))</f>
        <v>0.50311692994159352</v>
      </c>
    </row>
    <row r="1629" spans="1:48" x14ac:dyDescent="0.25">
      <c r="A1629" t="s">
        <v>2321</v>
      </c>
      <c r="B1629" s="2" t="str">
        <f t="shared" si="934"/>
        <v/>
      </c>
      <c r="C1629">
        <v>1</v>
      </c>
      <c r="D1629" t="s">
        <v>1156</v>
      </c>
      <c r="E1629">
        <v>28277.88</v>
      </c>
      <c r="R1629">
        <v>16</v>
      </c>
      <c r="S1629" t="s">
        <v>22</v>
      </c>
      <c r="AA1629" s="10">
        <f t="shared" si="939"/>
        <v>3535.3220000000001</v>
      </c>
      <c r="AB1629" s="3">
        <f t="shared" si="940"/>
        <v>28277.88</v>
      </c>
      <c r="AC1629" s="3" cm="1">
        <f t="array" ref="AC1629">100000000/LvacE(AA1629)</f>
        <v>28277.884566404922</v>
      </c>
      <c r="AD1629" s="10">
        <f t="shared" si="941"/>
        <v>8.9993364913301989E-3</v>
      </c>
      <c r="AE1629" s="10" t="b">
        <f t="shared" si="942"/>
        <v>1</v>
      </c>
      <c r="AP1629"/>
      <c r="AQ1629"/>
      <c r="AU1629" s="16" cm="1">
        <f t="array" ref="AU1629">$C1629*EXP(poly_from_str(100000000/$E1629,AU$4342))</f>
        <v>0.51272931168381097</v>
      </c>
    </row>
    <row r="1630" spans="1:48" x14ac:dyDescent="0.25">
      <c r="A1630" t="s">
        <v>2322</v>
      </c>
      <c r="B1630" s="2" t="str">
        <f t="shared" si="934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939"/>
        <v>3532.2640000000001</v>
      </c>
      <c r="AB1630" s="3">
        <f t="shared" si="940"/>
        <v>28302.36</v>
      </c>
      <c r="AC1630" s="3" cm="1">
        <f t="array" ref="AC1630">100000000/LvacE(AA1630)</f>
        <v>28302.364984948232</v>
      </c>
      <c r="AD1630" s="10">
        <f t="shared" si="941"/>
        <v>9.0062641106310615E-3</v>
      </c>
      <c r="AE1630" s="10" t="b">
        <f t="shared" si="942"/>
        <v>1</v>
      </c>
      <c r="AJ1630" t="s">
        <v>4807</v>
      </c>
      <c r="AK1630" t="s">
        <v>4840</v>
      </c>
      <c r="AL1630">
        <v>35291</v>
      </c>
      <c r="AM1630">
        <v>63593.35</v>
      </c>
      <c r="AN1630" s="10" cm="1">
        <f t="array" ref="AN1630">Lair(100000000/($AM1630-$AL1630))</f>
        <v>3532.2658647896706</v>
      </c>
      <c r="AO1630" s="10">
        <f>100000000/($AM1630-$AL1630)</f>
        <v>3533.2755053908954</v>
      </c>
      <c r="AP1630" s="12">
        <v>16400000</v>
      </c>
      <c r="AQ1630" s="3">
        <v>0.13800000000000001</v>
      </c>
      <c r="AR1630" s="3">
        <f>LN(AU1630*100000000/($AM1630-$AL1630)/AP1630)</f>
        <v>-8.4040700412209386</v>
      </c>
      <c r="AS1630" s="13">
        <f>EXP(AR$4341*$AM1630+AR$4342)*$AP1630/(100000000/($AM1630-$AL1630))</f>
        <v>3.4713788301931499</v>
      </c>
      <c r="AT1630" s="3">
        <f>LN(AS1630/$C1630)</f>
        <v>0.55140469187764218</v>
      </c>
      <c r="AU1630" s="16" cm="1">
        <f t="array" ref="AU1630">$C1630*EXP(poly_from_str(100000000/$E1630,AU$4342))</f>
        <v>1.0395014535944107</v>
      </c>
      <c r="AV1630" s="13">
        <f>LN(AS1630/AU1630)</f>
        <v>1.2058106457634132</v>
      </c>
    </row>
    <row r="1631" spans="1:48" x14ac:dyDescent="0.25">
      <c r="A1631" t="s">
        <v>2323</v>
      </c>
      <c r="B1631" s="2" t="str">
        <f t="shared" si="934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939"/>
        <v>3532.2049999999999</v>
      </c>
      <c r="AB1631" s="3">
        <f t="shared" si="940"/>
        <v>28302.84</v>
      </c>
      <c r="AC1631" s="3" cm="1">
        <f t="array" ref="AC1631">100000000/LvacE(AA1631)</f>
        <v>28302.837718498802</v>
      </c>
      <c r="AD1631" s="10">
        <f t="shared" si="941"/>
        <v>9.0063979466790296E-3</v>
      </c>
      <c r="AE1631" s="10" t="b">
        <f t="shared" si="942"/>
        <v>1</v>
      </c>
      <c r="AP1631"/>
      <c r="AQ1631"/>
      <c r="AU1631" s="16" cm="1">
        <f t="array" ref="AU1631">$C1631*EXP(poly_from_str(100000000/$E1631,AU$4342))</f>
        <v>0</v>
      </c>
    </row>
    <row r="1632" spans="1:48" x14ac:dyDescent="0.25">
      <c r="A1632" t="s">
        <v>2324</v>
      </c>
      <c r="B1632" s="2" t="str">
        <f t="shared" si="934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939"/>
        <v>3532.154</v>
      </c>
      <c r="AB1632" s="3">
        <f t="shared" si="940"/>
        <v>28303.25</v>
      </c>
      <c r="AC1632" s="3" cm="1">
        <f t="array" ref="AC1632">100000000/LvacE(AA1632)</f>
        <v>28303.246365310155</v>
      </c>
      <c r="AD1632" s="10">
        <f t="shared" si="941"/>
        <v>9.0065136408704373E-3</v>
      </c>
      <c r="AE1632" s="10" t="b">
        <f t="shared" si="942"/>
        <v>1</v>
      </c>
      <c r="AP1632"/>
      <c r="AQ1632"/>
      <c r="AU1632" s="16" cm="1">
        <f t="array" ref="AU1632">$C1632*EXP(poly_from_str(100000000/$E1632,AU$4342))</f>
        <v>0</v>
      </c>
    </row>
    <row r="1633" spans="1:48" x14ac:dyDescent="0.25">
      <c r="A1633" t="s">
        <v>2325</v>
      </c>
      <c r="B1633" s="2" t="str">
        <f t="shared" si="934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939"/>
        <v>3531.962</v>
      </c>
      <c r="AB1633" s="3">
        <f t="shared" si="940"/>
        <v>28304.78</v>
      </c>
      <c r="AC1633" s="3" cm="1">
        <f t="array" ref="AC1633">100000000/LvacE(AA1633)</f>
        <v>28304.78490620439</v>
      </c>
      <c r="AD1633" s="10">
        <f t="shared" si="941"/>
        <v>9.0069492404227999E-3</v>
      </c>
      <c r="AE1633" s="10" t="b">
        <f t="shared" si="942"/>
        <v>1</v>
      </c>
      <c r="AJ1633" t="s">
        <v>4705</v>
      </c>
      <c r="AK1633" t="s">
        <v>4814</v>
      </c>
      <c r="AL1633">
        <v>24788.02</v>
      </c>
      <c r="AM1633">
        <v>53092.800000000003</v>
      </c>
      <c r="AN1633" s="10" cm="1">
        <f t="array" ref="AN1633">Lair(100000000/($AM1633-$AL1633))</f>
        <v>3531.9626067744448</v>
      </c>
      <c r="AO1633" s="10">
        <f>100000000/($AM1633-$AL1633)</f>
        <v>3532.9721693650326</v>
      </c>
      <c r="AP1633" s="12">
        <v>1440000</v>
      </c>
      <c r="AQ1633" s="3">
        <v>1.0999999999999999E-2</v>
      </c>
      <c r="AR1633" s="3"/>
      <c r="AS1633" s="13">
        <f>EXP(AR$4341*$AM1633+AR$4342)*$AP1633/(100000000/($AM1633-$AL1633))</f>
        <v>0.67034133614205305</v>
      </c>
      <c r="AT1633" s="3"/>
      <c r="AU1633" s="16" cm="1">
        <f t="array" ref="AU1633">$C1633*EXP(poly_from_str(100000000/$E1633,AU$4342))</f>
        <v>1.0408969618487347</v>
      </c>
    </row>
    <row r="1634" spans="1:48" x14ac:dyDescent="0.25">
      <c r="A1634" t="s">
        <v>2326</v>
      </c>
      <c r="B1634" s="2" t="str">
        <f t="shared" si="934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939"/>
        <v>3529.8240000000001</v>
      </c>
      <c r="AB1634" s="3">
        <f t="shared" si="940"/>
        <v>28321.93</v>
      </c>
      <c r="AC1634" s="3" cm="1">
        <f t="array" ref="AC1634">100000000/LvacE(AA1634)</f>
        <v>28321.92850842933</v>
      </c>
      <c r="AD1634" s="10">
        <f t="shared" si="941"/>
        <v>9.0118046265804368E-3</v>
      </c>
      <c r="AE1634" s="10" t="b">
        <f t="shared" si="942"/>
        <v>1</v>
      </c>
      <c r="AP1634"/>
      <c r="AQ1634"/>
      <c r="AU1634" s="16" cm="1">
        <f t="array" ref="AU1634">$C1634*EXP(poly_from_str(100000000/$E1634,AU$4342))</f>
        <v>0</v>
      </c>
    </row>
    <row r="1635" spans="1:48" x14ac:dyDescent="0.25">
      <c r="A1635" t="s">
        <v>2327</v>
      </c>
      <c r="B1635" s="2" t="str">
        <f t="shared" si="934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939"/>
        <v>3529.7779999999998</v>
      </c>
      <c r="AB1635" s="3">
        <f t="shared" si="940"/>
        <v>28322.3</v>
      </c>
      <c r="AC1635" s="3" cm="1">
        <f t="array" ref="AC1635">100000000/LvacE(AA1635)</f>
        <v>28322.297588699508</v>
      </c>
      <c r="AD1635" s="10">
        <f t="shared" si="941"/>
        <v>9.0119091892888886E-3</v>
      </c>
      <c r="AE1635" s="10" t="b">
        <f t="shared" si="942"/>
        <v>1</v>
      </c>
      <c r="AP1635"/>
      <c r="AQ1635"/>
      <c r="AU1635" s="16" cm="1">
        <f t="array" ref="AU1635">$C1635*EXP(poly_from_str(100000000/$E1635,AU$4342))</f>
        <v>0</v>
      </c>
    </row>
    <row r="1636" spans="1:48" x14ac:dyDescent="0.25">
      <c r="A1636" t="s">
        <v>2328</v>
      </c>
      <c r="B1636" s="2" t="str">
        <f t="shared" si="934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939"/>
        <v>3529.7280000000001</v>
      </c>
      <c r="AB1636" s="3">
        <f t="shared" si="940"/>
        <v>28322.7</v>
      </c>
      <c r="AC1636" s="3" cm="1">
        <f t="array" ref="AC1636">100000000/LvacE(AA1636)</f>
        <v>28322.698773816657</v>
      </c>
      <c r="AD1636" s="10">
        <f t="shared" si="941"/>
        <v>9.0120228490434186E-3</v>
      </c>
      <c r="AE1636" s="10" t="b">
        <f t="shared" si="942"/>
        <v>1</v>
      </c>
      <c r="AJ1636" t="s">
        <v>4750</v>
      </c>
      <c r="AK1636" t="s">
        <v>4862</v>
      </c>
      <c r="AL1636">
        <v>38726.5</v>
      </c>
      <c r="AM1636">
        <v>67049.179999999993</v>
      </c>
      <c r="AN1636" s="10" cm="1">
        <f t="array" ref="AN1636">Lair(100000000/($AM1636-$AL1636))</f>
        <v>3529.7303343038211</v>
      </c>
      <c r="AO1636" s="10">
        <f>100000000/($AM1636-$AL1636)</f>
        <v>3530.739322691215</v>
      </c>
      <c r="AP1636" s="12">
        <v>111000000</v>
      </c>
      <c r="AQ1636" s="3">
        <v>0.36399999999999999</v>
      </c>
      <c r="AR1636" s="3">
        <f>LN(AU1636*100000000/($AM1636-$AL1636)/AP1636)</f>
        <v>-8.8017005013715988</v>
      </c>
      <c r="AS1636" s="13">
        <f>EXP(AR$4341*$AM1636+AR$4342)*$AP1636/(100000000/($AM1636-$AL1636))</f>
        <v>18.14091622137218</v>
      </c>
      <c r="AT1636" s="3">
        <f>LN(AS1636/$C1636)</f>
        <v>0.70094537441993032</v>
      </c>
      <c r="AU1636" s="16" cm="1">
        <f t="array" ref="AU1636">$C1636*EXP(poly_from_str(100000000/$E1636,AU$4342))</f>
        <v>4.7307213210941477</v>
      </c>
      <c r="AV1636" s="13">
        <f>LN(AS1636/AU1636)</f>
        <v>1.3440922617048867</v>
      </c>
    </row>
    <row r="1637" spans="1:48" x14ac:dyDescent="0.25">
      <c r="A1637" t="s">
        <v>2329</v>
      </c>
      <c r="B1637" s="2" t="str">
        <f t="shared" si="934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939"/>
        <v>3527.7730000000001</v>
      </c>
      <c r="AB1637" s="3">
        <f t="shared" si="940"/>
        <v>28338.39</v>
      </c>
      <c r="AC1637" s="3" cm="1">
        <f t="array" ref="AC1637">100000000/LvacE(AA1637)</f>
        <v>28338.394026757996</v>
      </c>
      <c r="AD1637" s="10">
        <f t="shared" si="941"/>
        <v>9.016470734760711E-3</v>
      </c>
      <c r="AE1637" s="10" t="b">
        <f t="shared" si="942"/>
        <v>1</v>
      </c>
      <c r="AP1637"/>
      <c r="AQ1637"/>
      <c r="AU1637" s="16" cm="1">
        <f t="array" ref="AU1637">$C1637*EXP(poly_from_str(100000000/$E1637,AU$4342))</f>
        <v>7.9531031436153583</v>
      </c>
    </row>
    <row r="1638" spans="1:48" x14ac:dyDescent="0.25">
      <c r="A1638" t="s">
        <v>2330</v>
      </c>
      <c r="B1638" s="2">
        <f t="shared" si="934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973">$G1638&amp;""</f>
        <v>e</v>
      </c>
      <c r="N1638" t="str">
        <f t="shared" ref="N1638:N1639" si="974">$H1638&amp;""</f>
        <v>9/2</v>
      </c>
      <c r="O1638">
        <v>58174.15</v>
      </c>
      <c r="P1638" t="str">
        <f t="shared" ref="P1638:P1639" si="975">$J1638&amp;""</f>
        <v>o</v>
      </c>
      <c r="Q1638" t="str">
        <f t="shared" ref="Q1638:Q1639" si="976">$K1638&amp;""</f>
        <v>9/2</v>
      </c>
      <c r="R1638">
        <v>16</v>
      </c>
      <c r="AA1638" s="10">
        <f t="shared" si="939"/>
        <v>3527.6819999999998</v>
      </c>
      <c r="AB1638" s="3">
        <f t="shared" si="940"/>
        <v>28339.119999999999</v>
      </c>
      <c r="AC1638" s="3" cm="1">
        <f t="array" ref="AC1638">100000000/LvacE(AA1638)</f>
        <v>28339.125022333967</v>
      </c>
      <c r="AD1638" s="10">
        <f t="shared" si="941"/>
        <v>9.0166779520282677E-3</v>
      </c>
      <c r="AE1638" s="10" t="b">
        <f t="shared" si="942"/>
        <v>1</v>
      </c>
      <c r="AJ1638" t="s">
        <v>4697</v>
      </c>
      <c r="AK1638" t="s">
        <v>4698</v>
      </c>
      <c r="AL1638">
        <v>29835.09</v>
      </c>
      <c r="AM1638">
        <v>58174.15</v>
      </c>
      <c r="AN1638" s="10" cm="1">
        <f t="array" ref="AN1638">Lair(100000000/($AM1638-$AL1638))</f>
        <v>3527.6900888311502</v>
      </c>
      <c r="AO1638" s="10">
        <f t="shared" ref="AO1638:AO1639" si="977">100000000/($AM1638-$AL1638)</f>
        <v>3528.6985524572797</v>
      </c>
      <c r="AU1638" s="16" cm="1">
        <f t="array" ref="AU1638">$C1638*EXP(poly_from_str(100000000/$E1638,AU$4342))</f>
        <v>10.608404515544514</v>
      </c>
    </row>
    <row r="1639" spans="1:48" x14ac:dyDescent="0.25">
      <c r="A1639" t="s">
        <v>2330</v>
      </c>
      <c r="B1639" s="2">
        <f t="shared" si="934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973"/>
        <v>e</v>
      </c>
      <c r="N1639" t="str">
        <f t="shared" si="974"/>
        <v>7/2</v>
      </c>
      <c r="O1639">
        <v>64979.55</v>
      </c>
      <c r="P1639" t="str">
        <f t="shared" si="975"/>
        <v>o</v>
      </c>
      <c r="Q1639" t="str">
        <f t="shared" si="976"/>
        <v>7/2</v>
      </c>
      <c r="R1639">
        <v>16</v>
      </c>
      <c r="AA1639" s="10">
        <f t="shared" si="939"/>
        <v>3527.6819999999998</v>
      </c>
      <c r="AB1639" s="3">
        <f t="shared" si="940"/>
        <v>28339.119999999999</v>
      </c>
      <c r="AC1639" s="3" cm="1">
        <f t="array" ref="AC1639">100000000/LvacE(AA1639)</f>
        <v>28339.125022333967</v>
      </c>
      <c r="AD1639" s="10">
        <f t="shared" si="941"/>
        <v>9.0166779520282677E-3</v>
      </c>
      <c r="AE1639" s="10" t="b">
        <f t="shared" si="942"/>
        <v>1</v>
      </c>
      <c r="AJ1639" t="s">
        <v>4805</v>
      </c>
      <c r="AK1639" t="s">
        <v>4912</v>
      </c>
      <c r="AL1639">
        <v>36640.379999999997</v>
      </c>
      <c r="AM1639">
        <v>64979.55</v>
      </c>
      <c r="AN1639" s="10" cm="1">
        <f t="array" ref="AN1639">Lair(100000000/($AM1639-$AL1639))</f>
        <v>3527.6763955213282</v>
      </c>
      <c r="AO1639" s="10">
        <f t="shared" si="977"/>
        <v>3528.6848556256227</v>
      </c>
      <c r="AP1639" s="12">
        <v>13100000</v>
      </c>
      <c r="AQ1639" s="3">
        <v>9.2999999999999999E-2</v>
      </c>
      <c r="AR1639" s="3">
        <f>LN(AU1639*100000000/($AM1639-$AL1639)/AP1639)</f>
        <v>-5.8577957040276614</v>
      </c>
      <c r="AS1639" s="13">
        <f>EXP(AR$4341*$AM1639+AR$4342)*$AP1639/(100000000/($AM1639-$AL1639))</f>
        <v>2.5021567395846422</v>
      </c>
      <c r="AT1639" s="3">
        <f>LN(AS1639/$C1639)</f>
        <v>-2.0785792177541493</v>
      </c>
      <c r="AU1639" s="16" cm="1">
        <f t="array" ref="AU1639">$C1639*EXP(poly_from_str(100000000/$E1639,AU$4342))</f>
        <v>10.608404515544514</v>
      </c>
      <c r="AV1639" s="13">
        <f>LN(AS1639/AU1639)</f>
        <v>-1.4444935099807694</v>
      </c>
    </row>
    <row r="1640" spans="1:48" x14ac:dyDescent="0.25">
      <c r="A1640" t="s">
        <v>2331</v>
      </c>
      <c r="B1640" s="2" t="str">
        <f t="shared" si="934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939"/>
        <v>3523.8890000000001</v>
      </c>
      <c r="AB1640" s="3">
        <f t="shared" si="940"/>
        <v>28369.63</v>
      </c>
      <c r="AC1640" s="3" cm="1">
        <f t="array" ref="AC1640">100000000/LvacE(AA1640)</f>
        <v>28369.627462795681</v>
      </c>
      <c r="AD1640" s="10">
        <f t="shared" si="941"/>
        <v>9.02532932546906E-3</v>
      </c>
      <c r="AE1640" s="10" t="b">
        <f t="shared" si="942"/>
        <v>1</v>
      </c>
      <c r="AP1640"/>
      <c r="AQ1640"/>
      <c r="AU1640" s="16" cm="1">
        <f t="array" ref="AU1640">$C1640*EXP(poly_from_str(100000000/$E1640,AU$4342))</f>
        <v>1.078780390358838</v>
      </c>
    </row>
    <row r="1641" spans="1:48" x14ac:dyDescent="0.25">
      <c r="A1641" t="s">
        <v>2332</v>
      </c>
      <c r="B1641" s="2" t="str">
        <f t="shared" si="934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939"/>
        <v>3522.7649999999999</v>
      </c>
      <c r="AB1641" s="3">
        <f t="shared" si="940"/>
        <v>28378.68</v>
      </c>
      <c r="AC1641" s="3" cm="1">
        <f t="array" ref="AC1641">100000000/LvacE(AA1641)</f>
        <v>28378.679030076237</v>
      </c>
      <c r="AD1641" s="10">
        <f t="shared" si="941"/>
        <v>9.0278984022601899E-3</v>
      </c>
      <c r="AE1641" s="10" t="b">
        <f t="shared" si="942"/>
        <v>1</v>
      </c>
      <c r="AP1641"/>
      <c r="AQ1641"/>
      <c r="AU1641" s="16" cm="1">
        <f t="array" ref="AU1641">$C1641*EXP(poly_from_str(100000000/$E1641,AU$4342))</f>
        <v>0</v>
      </c>
    </row>
    <row r="1642" spans="1:48" x14ac:dyDescent="0.25">
      <c r="A1642" t="s">
        <v>2333</v>
      </c>
      <c r="B1642" s="2" t="str">
        <f t="shared" si="934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939"/>
        <v>3522.7060000000001</v>
      </c>
      <c r="AB1642" s="3">
        <f t="shared" si="940"/>
        <v>28379.15</v>
      </c>
      <c r="AC1642" s="3" cm="1">
        <f t="array" ref="AC1642">100000000/LvacE(AA1642)</f>
        <v>28379.154316378575</v>
      </c>
      <c r="AD1642" s="10">
        <f t="shared" si="941"/>
        <v>9.0280333238678696E-3</v>
      </c>
      <c r="AE1642" s="10" t="b">
        <f t="shared" si="942"/>
        <v>1</v>
      </c>
      <c r="AP1642"/>
      <c r="AQ1642"/>
      <c r="AU1642" s="16" cm="1">
        <f t="array" ref="AU1642">$C1642*EXP(poly_from_str(100000000/$E1642,AU$4342))</f>
        <v>0</v>
      </c>
    </row>
    <row r="1643" spans="1:48" x14ac:dyDescent="0.25">
      <c r="A1643" t="s">
        <v>2334</v>
      </c>
      <c r="B1643" s="2" t="str">
        <f t="shared" si="934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939"/>
        <v>3522.6350000000002</v>
      </c>
      <c r="AB1643" s="3">
        <f t="shared" si="940"/>
        <v>28379.73</v>
      </c>
      <c r="AC1643" s="3" cm="1">
        <f t="array" ref="AC1643">100000000/LvacE(AA1643)</f>
        <v>28379.726292187897</v>
      </c>
      <c r="AD1643" s="10">
        <f t="shared" si="941"/>
        <v>9.0281956961461955E-3</v>
      </c>
      <c r="AE1643" s="10" t="b">
        <f t="shared" si="942"/>
        <v>1</v>
      </c>
      <c r="AJ1643" t="s">
        <v>4974</v>
      </c>
      <c r="AK1643" t="s">
        <v>4880</v>
      </c>
      <c r="AL1643">
        <v>33338.370000000003</v>
      </c>
      <c r="AM1643">
        <v>61717.98</v>
      </c>
      <c r="AN1643" s="10" cm="1">
        <f t="array" ref="AN1643">Lair(100000000/($AM1643-$AL1643))</f>
        <v>3522.6494297757158</v>
      </c>
      <c r="AO1643" s="10">
        <f>100000000/($AM1643-$AL1643)</f>
        <v>3523.656597113209</v>
      </c>
      <c r="AP1643" s="12">
        <v>160000000</v>
      </c>
      <c r="AQ1643" s="3">
        <v>0.64800000000000002</v>
      </c>
      <c r="AR1643" s="3">
        <f>LN(AU1643*100000000/($AM1643-$AL1643)/AP1643)</f>
        <v>-7.9340163776198613</v>
      </c>
      <c r="AS1643" s="13">
        <f>EXP(AR$4341*$AM1643+AR$4342)*$AP1643/(100000000/($AM1643-$AL1643))</f>
        <v>39.09172799656676</v>
      </c>
      <c r="AT1643" s="3">
        <f>LN(AS1643/$C1643)</f>
        <v>0.26471350275704247</v>
      </c>
      <c r="AU1643" s="16" cm="1">
        <f t="array" ref="AU1643">$C1643*EXP(poly_from_str(100000000/$E1643,AU$4342))</f>
        <v>16.271473135284076</v>
      </c>
      <c r="AV1643" s="13">
        <f>LN(AS1643/AU1643)</f>
        <v>0.87649742424559451</v>
      </c>
    </row>
    <row r="1644" spans="1:48" x14ac:dyDescent="0.25">
      <c r="A1644" t="s">
        <v>2335</v>
      </c>
      <c r="B1644" s="2" t="str">
        <f t="shared" si="934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939"/>
        <v>3522.1120000000001</v>
      </c>
      <c r="AB1644" s="3">
        <f t="shared" si="940"/>
        <v>28383.94</v>
      </c>
      <c r="AC1644" s="3" cm="1">
        <f t="array" ref="AC1644">100000000/LvacE(AA1644)</f>
        <v>28383.940289315025</v>
      </c>
      <c r="AD1644" s="10">
        <f t="shared" si="941"/>
        <v>9.0293920649478256E-3</v>
      </c>
      <c r="AE1644" s="10" t="b">
        <f t="shared" si="942"/>
        <v>1</v>
      </c>
      <c r="AP1644"/>
      <c r="AQ1644"/>
      <c r="AU1644" s="16" cm="1">
        <f t="array" ref="AU1644">$C1644*EXP(poly_from_str(100000000/$E1644,AU$4342))</f>
        <v>0</v>
      </c>
    </row>
    <row r="1645" spans="1:48" x14ac:dyDescent="0.25">
      <c r="A1645" t="s">
        <v>2336</v>
      </c>
      <c r="B1645" s="2" t="str">
        <f t="shared" si="934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939"/>
        <v>3522.078</v>
      </c>
      <c r="AB1645" s="3">
        <f t="shared" si="940"/>
        <v>28384.21</v>
      </c>
      <c r="AC1645" s="3" cm="1">
        <f t="array" ref="AC1645">100000000/LvacE(AA1645)</f>
        <v>28384.214282736899</v>
      </c>
      <c r="AD1645" s="10">
        <f t="shared" si="941"/>
        <v>9.029469858807343E-3</v>
      </c>
      <c r="AE1645" s="10" t="b">
        <f t="shared" si="942"/>
        <v>1</v>
      </c>
      <c r="AP1645"/>
      <c r="AQ1645"/>
      <c r="AU1645" s="16" cm="1">
        <f t="array" ref="AU1645">$C1645*EXP(poly_from_str(100000000/$E1645,AU$4342))</f>
        <v>0</v>
      </c>
    </row>
    <row r="1646" spans="1:48" x14ac:dyDescent="0.25">
      <c r="A1646" t="s">
        <v>2337</v>
      </c>
      <c r="B1646" s="2" t="str">
        <f t="shared" si="934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939"/>
        <v>3522.0349999999999</v>
      </c>
      <c r="AB1646" s="3">
        <f t="shared" si="940"/>
        <v>28384.560000000001</v>
      </c>
      <c r="AC1646" s="3" cm="1">
        <f t="array" ref="AC1646">100000000/LvacE(AA1646)</f>
        <v>28384.560811404685</v>
      </c>
      <c r="AD1646" s="10">
        <f t="shared" si="941"/>
        <v>9.0295682483854771E-3</v>
      </c>
      <c r="AE1646" s="10" t="b">
        <f t="shared" si="942"/>
        <v>1</v>
      </c>
      <c r="AJ1646" t="s">
        <v>4728</v>
      </c>
      <c r="AK1646" t="s">
        <v>4850</v>
      </c>
      <c r="AL1646">
        <v>35384.17</v>
      </c>
      <c r="AM1646">
        <v>63768.66</v>
      </c>
      <c r="AN1646" s="10" cm="1">
        <f t="array" ref="AN1646">Lair(100000000/($AM1646-$AL1646))</f>
        <v>3522.0437812765749</v>
      </c>
      <c r="AO1646" s="10">
        <f>100000000/($AM1646-$AL1646)</f>
        <v>3523.0507928801953</v>
      </c>
      <c r="AP1646" s="12">
        <v>342000000</v>
      </c>
      <c r="AQ1646" s="3">
        <v>0.64500000000000002</v>
      </c>
      <c r="AR1646" s="3">
        <f>LN(AU1646*100000000/($AM1646-$AL1646)/AP1646)</f>
        <v>-8.6911830864424502</v>
      </c>
      <c r="AS1646" s="13">
        <f>EXP(AR$4341*$AM1646+AR$4342)*$AP1646/(100000000/($AM1646-$AL1646))</f>
        <v>71.652128185263521</v>
      </c>
      <c r="AT1646" s="3">
        <f>LN(AS1646/$C1646)</f>
        <v>0.87062547468680451</v>
      </c>
      <c r="AU1646" s="16" cm="1">
        <f t="array" ref="AU1646">$C1646*EXP(poly_from_str(100000000/$E1646,AU$4342))</f>
        <v>16.314521696795026</v>
      </c>
      <c r="AV1646" s="13">
        <f>LN(AS1646/AU1646)</f>
        <v>1.4797672435096989</v>
      </c>
    </row>
    <row r="1647" spans="1:48" x14ac:dyDescent="0.25">
      <c r="A1647" t="s">
        <v>2338</v>
      </c>
      <c r="B1647" s="2" t="str">
        <f t="shared" si="934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939"/>
        <v>3517.52</v>
      </c>
      <c r="AB1647" s="3">
        <f t="shared" si="940"/>
        <v>28420.99</v>
      </c>
      <c r="AC1647" s="3" cm="1">
        <f t="array" ref="AC1647">100000000/LvacE(AA1647)</f>
        <v>28420.993467572123</v>
      </c>
      <c r="AD1647" s="10">
        <f t="shared" si="941"/>
        <v>9.0399192424736909E-3</v>
      </c>
      <c r="AE1647" s="10" t="b">
        <f t="shared" si="942"/>
        <v>1</v>
      </c>
      <c r="AP1647"/>
      <c r="AQ1647"/>
      <c r="AU1647" s="16" cm="1">
        <f t="array" ref="AU1647">$C1647*EXP(poly_from_str(100000000/$E1647,AU$4342))</f>
        <v>1.1094476505030015</v>
      </c>
    </row>
    <row r="1648" spans="1:48" x14ac:dyDescent="0.25">
      <c r="A1648" t="s">
        <v>2339</v>
      </c>
      <c r="B1648" s="2" t="str">
        <f t="shared" si="934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939"/>
        <v>3515.886</v>
      </c>
      <c r="AB1648" s="3">
        <f t="shared" si="940"/>
        <v>28434.2</v>
      </c>
      <c r="AC1648" s="3" cm="1">
        <f t="array" ref="AC1648">100000000/LvacE(AA1648)</f>
        <v>28434.201677980054</v>
      </c>
      <c r="AD1648" s="10">
        <f t="shared" si="941"/>
        <v>9.0436751473142278E-3</v>
      </c>
      <c r="AE1648" s="10" t="b">
        <f t="shared" si="942"/>
        <v>1</v>
      </c>
      <c r="AP1648"/>
      <c r="AQ1648"/>
      <c r="AU1648" s="16" cm="1">
        <f t="array" ref="AU1648">$C1648*EXP(poly_from_str(100000000/$E1648,AU$4342))</f>
        <v>0</v>
      </c>
    </row>
    <row r="1649" spans="1:48" x14ac:dyDescent="0.25">
      <c r="A1649" t="s">
        <v>2340</v>
      </c>
      <c r="B1649" s="2" t="str">
        <f t="shared" si="934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978">$G1649&amp;""</f>
        <v>e</v>
      </c>
      <c r="N1649" t="str">
        <f t="shared" ref="N1649:N1650" si="979">$H1649&amp;""</f>
        <v>7/2</v>
      </c>
      <c r="O1649">
        <v>64235.61</v>
      </c>
      <c r="P1649" t="str">
        <f t="shared" ref="P1649:P1650" si="980">$J1649&amp;""</f>
        <v>o</v>
      </c>
      <c r="Q1649" t="str">
        <f t="shared" ref="Q1649:Q1650" si="981">$K1649&amp;""</f>
        <v>9/2</v>
      </c>
      <c r="R1649">
        <v>16</v>
      </c>
      <c r="AA1649" s="10">
        <f t="shared" si="939"/>
        <v>3515.8539999999998</v>
      </c>
      <c r="AB1649" s="3">
        <f t="shared" si="940"/>
        <v>28434.46</v>
      </c>
      <c r="AC1649" s="3" cm="1">
        <f t="array" ref="AC1649">100000000/LvacE(AA1649)</f>
        <v>28434.460468067966</v>
      </c>
      <c r="AD1649" s="10">
        <f t="shared" si="941"/>
        <v>9.0437487546507871E-3</v>
      </c>
      <c r="AE1649" s="10" t="b">
        <f t="shared" si="942"/>
        <v>1</v>
      </c>
      <c r="AJ1649" t="s">
        <v>4810</v>
      </c>
      <c r="AK1649" t="s">
        <v>4842</v>
      </c>
      <c r="AL1649">
        <v>35801.120000000003</v>
      </c>
      <c r="AM1649">
        <v>64235.61</v>
      </c>
      <c r="AN1649" s="10" cm="1">
        <f t="array" ref="AN1649">Lair(100000000/($AM1649-$AL1649))</f>
        <v>3515.8503428598674</v>
      </c>
      <c r="AO1649" s="10">
        <f t="shared" ref="AO1649:AO1650" si="982">100000000/($AM1649-$AL1649)</f>
        <v>3516.8557621395707</v>
      </c>
      <c r="AP1649" s="12">
        <v>22500000</v>
      </c>
      <c r="AQ1649" s="3">
        <v>0.40799999999999997</v>
      </c>
      <c r="AR1649" s="3">
        <f t="shared" ref="AR1649:AR1650" si="983">LN(AU1649*100000000/($AM1649-$AL1649)/AP1649)</f>
        <v>-9.3456781873529486</v>
      </c>
      <c r="AS1649" s="13">
        <f t="shared" ref="AS1649:AS1650" si="984">EXP(AR$4341*$AM1649+AR$4342)*$AP1649/(100000000/($AM1649-$AL1649))</f>
        <v>4.5596429485276868</v>
      </c>
      <c r="AT1649" s="3">
        <f t="shared" ref="AT1649:AT1650" si="985">LN(AS1649/$C1649)</f>
        <v>1.5172443196991579</v>
      </c>
      <c r="AU1649" s="16" cm="1">
        <f t="array" ref="AU1649">$C1649*EXP(poly_from_str(100000000/$E1649,AU$4342))</f>
        <v>0.5587936919692913</v>
      </c>
      <c r="AV1649" s="13">
        <f t="shared" ref="AV1649:AV1650" si="986">LN(AS1649/AU1649)</f>
        <v>2.0992192598924633</v>
      </c>
    </row>
    <row r="1650" spans="1:48" x14ac:dyDescent="0.25">
      <c r="A1650" t="s">
        <v>2341</v>
      </c>
      <c r="B1650" s="2" t="str">
        <f t="shared" si="934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978"/>
        <v>e</v>
      </c>
      <c r="N1650" t="str">
        <f t="shared" si="979"/>
        <v>9/2</v>
      </c>
      <c r="O1650">
        <v>68331.73</v>
      </c>
      <c r="P1650" t="str">
        <f t="shared" si="980"/>
        <v>o</v>
      </c>
      <c r="Q1650" t="str">
        <f t="shared" si="981"/>
        <v>7/2</v>
      </c>
      <c r="R1650">
        <v>16</v>
      </c>
      <c r="AA1650" s="10">
        <f t="shared" si="939"/>
        <v>3512.5070000000001</v>
      </c>
      <c r="AB1650" s="3">
        <f t="shared" si="940"/>
        <v>28461.55</v>
      </c>
      <c r="AC1650" s="3" cm="1">
        <f t="array" ref="AC1650">100000000/LvacE(AA1650)</f>
        <v>28461.554331571253</v>
      </c>
      <c r="AD1650" s="10">
        <f t="shared" si="941"/>
        <v>9.0514587346831269E-3</v>
      </c>
      <c r="AE1650" s="10" t="b">
        <f t="shared" si="942"/>
        <v>1</v>
      </c>
      <c r="AJ1650" t="s">
        <v>4731</v>
      </c>
      <c r="AK1650" t="s">
        <v>4923</v>
      </c>
      <c r="AL1650">
        <v>39870.17</v>
      </c>
      <c r="AM1650">
        <v>68331.75</v>
      </c>
      <c r="AN1650" s="10" cm="1">
        <f t="array" ref="AN1650">Lair(100000000/($AM1650-$AL1650))</f>
        <v>3512.503826619803</v>
      </c>
      <c r="AO1650" s="10">
        <f t="shared" si="982"/>
        <v>3513.5083856904639</v>
      </c>
      <c r="AP1650" s="12">
        <v>15200000</v>
      </c>
      <c r="AQ1650" s="3">
        <v>0.104</v>
      </c>
      <c r="AR1650" s="3">
        <f t="shared" si="983"/>
        <v>-7.5534678055133737</v>
      </c>
      <c r="AS1650" s="13">
        <f t="shared" si="984"/>
        <v>2.2672659221477884</v>
      </c>
      <c r="AT1650" s="3">
        <f t="shared" si="985"/>
        <v>-0.56771969512934861</v>
      </c>
      <c r="AU1650" s="16" cm="1">
        <f t="array" ref="AU1650">$C1650*EXP(poly_from_str(100000000/$E1650,AU$4342))</f>
        <v>2.2681574888162461</v>
      </c>
      <c r="AV1650" s="13">
        <f t="shared" si="986"/>
        <v>-3.9315697748826874E-4</v>
      </c>
    </row>
    <row r="1651" spans="1:48" x14ac:dyDescent="0.25">
      <c r="A1651" t="s">
        <v>2342</v>
      </c>
      <c r="B1651" s="2" t="str">
        <f t="shared" si="934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939"/>
        <v>3511.3629999999998</v>
      </c>
      <c r="AB1651" s="3">
        <f t="shared" si="940"/>
        <v>28470.83</v>
      </c>
      <c r="AC1651" s="3" cm="1">
        <f t="array" ref="AC1651">100000000/LvacE(AA1651)</f>
        <v>28470.826820584683</v>
      </c>
      <c r="AD1651" s="10">
        <f t="shared" si="941"/>
        <v>9.0540990522177123E-3</v>
      </c>
      <c r="AE1651" s="10" t="b">
        <f t="shared" si="942"/>
        <v>1</v>
      </c>
      <c r="AP1651"/>
      <c r="AQ1651"/>
      <c r="AU1651" s="16" cm="1">
        <f t="array" ref="AU1651">$C1651*EXP(poly_from_str(100000000/$E1651,AU$4342))</f>
        <v>1.1397652128120197</v>
      </c>
    </row>
    <row r="1652" spans="1:48" x14ac:dyDescent="0.25">
      <c r="A1652" t="s">
        <v>2343</v>
      </c>
      <c r="B1652" s="2" t="str">
        <f t="shared" si="934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939"/>
        <v>3510.5320000000002</v>
      </c>
      <c r="AB1652" s="3">
        <f t="shared" si="940"/>
        <v>28477.57</v>
      </c>
      <c r="AC1652" s="3" cm="1">
        <f t="array" ref="AC1652">100000000/LvacE(AA1652)</f>
        <v>28477.566132808817</v>
      </c>
      <c r="AD1652" s="10">
        <f t="shared" si="941"/>
        <v>9.0560185938781956E-3</v>
      </c>
      <c r="AE1652" s="10" t="b">
        <f t="shared" si="942"/>
        <v>1</v>
      </c>
      <c r="AJ1652" t="s">
        <v>4921</v>
      </c>
      <c r="AK1652" t="s">
        <v>4865</v>
      </c>
      <c r="AL1652">
        <v>50658.720000000001</v>
      </c>
      <c r="AM1652">
        <v>79136.23</v>
      </c>
      <c r="AN1652" s="10" cm="1">
        <f t="array" ref="AN1652">Lair(100000000/($AM1652-$AL1652))</f>
        <v>3510.5389144136425</v>
      </c>
      <c r="AO1652" s="10">
        <f>100000000/($AM1652-$AL1652)</f>
        <v>3511.5429684688029</v>
      </c>
      <c r="AP1652" s="12">
        <v>483000000</v>
      </c>
      <c r="AQ1652" s="3">
        <v>0.90700000000000003</v>
      </c>
      <c r="AR1652" s="3">
        <f>LN(AU1652*100000000/($AM1652-$AL1652)/AP1652)</f>
        <v>-9.3946816080204272</v>
      </c>
      <c r="AS1652" s="13">
        <f>EXP(AR$4341*$AM1652+AR$4342)*$AP1652/(100000000/($AM1652-$AL1652))</f>
        <v>32.040932335038221</v>
      </c>
      <c r="AT1652" s="3">
        <f>LN(AS1652/$C1652)</f>
        <v>0.47128194731887124</v>
      </c>
      <c r="AU1652" s="16" cm="1">
        <f t="array" ref="AU1652">$C1652*EXP(poly_from_str(100000000/$E1652,AU$4342))</f>
        <v>11.439071174010508</v>
      </c>
      <c r="AV1652" s="13">
        <f>LN(AS1652/AU1652)</f>
        <v>1.0299794293003826</v>
      </c>
    </row>
    <row r="1653" spans="1:48" x14ac:dyDescent="0.25">
      <c r="A1653" t="s">
        <v>2344</v>
      </c>
      <c r="B1653" s="2" t="str">
        <f t="shared" si="934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939"/>
        <v>3510.491</v>
      </c>
      <c r="AB1653" s="3">
        <f t="shared" si="940"/>
        <v>28477.9</v>
      </c>
      <c r="AC1653" s="3" cm="1">
        <f t="array" ref="AC1653">100000000/LvacE(AA1653)</f>
        <v>28477.89872057446</v>
      </c>
      <c r="AD1653" s="10">
        <f t="shared" si="941"/>
        <v>9.0561133357946882E-3</v>
      </c>
      <c r="AE1653" s="10" t="b">
        <f t="shared" si="942"/>
        <v>1</v>
      </c>
      <c r="AP1653"/>
      <c r="AQ1653"/>
      <c r="AU1653" s="16" cm="1">
        <f t="array" ref="AU1653">$C1653*EXP(poly_from_str(100000000/$E1653,AU$4342))</f>
        <v>0</v>
      </c>
    </row>
    <row r="1654" spans="1:48" x14ac:dyDescent="0.25">
      <c r="A1654" t="s">
        <v>2345</v>
      </c>
      <c r="B1654" s="2" t="str">
        <f t="shared" si="934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939"/>
        <v>3510.4459999999999</v>
      </c>
      <c r="AB1654" s="3">
        <f t="shared" si="940"/>
        <v>28478.26</v>
      </c>
      <c r="AC1654" s="3" cm="1">
        <f t="array" ref="AC1654">100000000/LvacE(AA1654)</f>
        <v>28478.263764869313</v>
      </c>
      <c r="AD1654" s="10">
        <f t="shared" si="941"/>
        <v>9.0562173246461139E-3</v>
      </c>
      <c r="AE1654" s="10" t="b">
        <f t="shared" si="942"/>
        <v>1</v>
      </c>
      <c r="AP1654"/>
      <c r="AQ1654"/>
      <c r="AU1654" s="16" cm="1">
        <f t="array" ref="AU1654">$C1654*EXP(poly_from_str(100000000/$E1654,AU$4342))</f>
        <v>0</v>
      </c>
    </row>
    <row r="1655" spans="1:48" x14ac:dyDescent="0.25">
      <c r="A1655" t="s">
        <v>2346</v>
      </c>
      <c r="B1655" s="2" t="str">
        <f t="shared" si="934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939"/>
        <v>3510.402</v>
      </c>
      <c r="AB1655" s="3">
        <f t="shared" si="940"/>
        <v>28478.62</v>
      </c>
      <c r="AC1655" s="3" cm="1">
        <f t="array" ref="AC1655">100000000/LvacE(AA1655)</f>
        <v>28478.620706117665</v>
      </c>
      <c r="AD1655" s="10">
        <f t="shared" si="941"/>
        <v>9.056319006500918E-3</v>
      </c>
      <c r="AE1655" s="10" t="b">
        <f t="shared" si="942"/>
        <v>1</v>
      </c>
      <c r="AP1655"/>
      <c r="AQ1655"/>
      <c r="AU1655" s="16" cm="1">
        <f t="array" ref="AU1655">$C1655*EXP(poly_from_str(100000000/$E1655,AU$4342))</f>
        <v>0</v>
      </c>
    </row>
    <row r="1656" spans="1:48" x14ac:dyDescent="0.25">
      <c r="A1656" t="s">
        <v>2347</v>
      </c>
      <c r="B1656" s="2" t="str">
        <f t="shared" si="934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939"/>
        <v>3510.3690000000001</v>
      </c>
      <c r="AB1656" s="3">
        <f t="shared" si="940"/>
        <v>28478.89</v>
      </c>
      <c r="AC1656" s="3" cm="1">
        <f t="array" ref="AC1656">100000000/LvacE(AA1656)</f>
        <v>28478.888417925777</v>
      </c>
      <c r="AD1656" s="10">
        <f t="shared" si="941"/>
        <v>9.0563952704011703E-3</v>
      </c>
      <c r="AE1656" s="10" t="b">
        <f t="shared" si="942"/>
        <v>1</v>
      </c>
      <c r="AP1656"/>
      <c r="AQ1656"/>
      <c r="AU1656" s="16" cm="1">
        <f t="array" ref="AU1656">$C1656*EXP(poly_from_str(100000000/$E1656,AU$4342))</f>
        <v>0</v>
      </c>
    </row>
    <row r="1657" spans="1:48" x14ac:dyDescent="0.25">
      <c r="A1657" t="s">
        <v>2348</v>
      </c>
      <c r="B1657" s="2" t="str">
        <f t="shared" si="934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939"/>
        <v>3510.335</v>
      </c>
      <c r="AB1657" s="3">
        <f t="shared" si="940"/>
        <v>28479.16</v>
      </c>
      <c r="AC1657" s="3" cm="1">
        <f t="array" ref="AC1657">100000000/LvacE(AA1657)</f>
        <v>28479.164247477187</v>
      </c>
      <c r="AD1657" s="10">
        <f t="shared" si="941"/>
        <v>9.0564738475782496E-3</v>
      </c>
      <c r="AE1657" s="10" t="b">
        <f t="shared" si="942"/>
        <v>1</v>
      </c>
      <c r="AP1657"/>
      <c r="AQ1657"/>
      <c r="AU1657" s="16" cm="1">
        <f t="array" ref="AU1657">$C1657*EXP(poly_from_str(100000000/$E1657,AU$4342))</f>
        <v>0</v>
      </c>
    </row>
    <row r="1658" spans="1:48" x14ac:dyDescent="0.25">
      <c r="A1658" t="s">
        <v>2349</v>
      </c>
      <c r="B1658" s="2" t="str">
        <f t="shared" si="934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939"/>
        <v>3509.183</v>
      </c>
      <c r="AB1658" s="3">
        <f t="shared" si="940"/>
        <v>28488.51</v>
      </c>
      <c r="AC1658" s="3" cm="1">
        <f t="array" ref="AC1658">100000000/LvacE(AA1658)</f>
        <v>28488.513160125025</v>
      </c>
      <c r="AD1658" s="10">
        <f t="shared" si="941"/>
        <v>9.0591375770549751E-3</v>
      </c>
      <c r="AE1658" s="10" t="b">
        <f t="shared" si="942"/>
        <v>1</v>
      </c>
      <c r="AP1658"/>
      <c r="AQ1658"/>
      <c r="AU1658" s="16" cm="1">
        <f t="array" ref="AU1658">$C1658*EXP(poly_from_str(100000000/$E1658,AU$4342))</f>
        <v>0</v>
      </c>
    </row>
    <row r="1659" spans="1:48" x14ac:dyDescent="0.25">
      <c r="A1659" t="s">
        <v>2350</v>
      </c>
      <c r="B1659" s="2" t="str">
        <f t="shared" si="934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987">$G1659&amp;""</f>
        <v>e</v>
      </c>
      <c r="N1659" t="str">
        <f t="shared" ref="N1659:N1660" si="988">$H1659&amp;""</f>
        <v>11/2</v>
      </c>
      <c r="O1659">
        <v>79136.23</v>
      </c>
      <c r="P1659" t="str">
        <f t="shared" ref="P1659:P1660" si="989">$J1659&amp;""</f>
        <v>o</v>
      </c>
      <c r="Q1659" t="str">
        <f t="shared" ref="Q1659:Q1660" si="990">$K1659&amp;""</f>
        <v>13/2</v>
      </c>
      <c r="R1659">
        <v>16</v>
      </c>
      <c r="AA1659" s="10">
        <f t="shared" si="939"/>
        <v>3509.1419999999998</v>
      </c>
      <c r="AB1659" s="3">
        <f t="shared" si="940"/>
        <v>28488.85</v>
      </c>
      <c r="AC1659" s="3" cm="1">
        <f t="array" ref="AC1659">100000000/LvacE(AA1659)</f>
        <v>28488.846003635666</v>
      </c>
      <c r="AD1659" s="10">
        <f t="shared" si="941"/>
        <v>9.0592324282738716E-3</v>
      </c>
      <c r="AE1659" s="10" t="b">
        <f t="shared" si="942"/>
        <v>1</v>
      </c>
      <c r="AJ1659" t="s">
        <v>4937</v>
      </c>
      <c r="AK1659" t="s">
        <v>4865</v>
      </c>
      <c r="AL1659">
        <v>50647.35</v>
      </c>
      <c r="AM1659">
        <v>79136.23</v>
      </c>
      <c r="AN1659" s="10" cm="1">
        <f t="array" ref="AN1659">Lair(100000000/($AM1659-$AL1659))</f>
        <v>3509.1378068511581</v>
      </c>
      <c r="AO1659" s="10">
        <f t="shared" ref="AO1659:AO1660" si="991">100000000/($AM1659-$AL1659)</f>
        <v>3510.1415008241815</v>
      </c>
      <c r="AP1659" s="12">
        <v>57400000</v>
      </c>
      <c r="AQ1659" s="3">
        <v>0.32300000000000001</v>
      </c>
      <c r="AR1659" s="3">
        <f>LN(AU1659*100000000/($AM1659-$AL1659)/AP1659)</f>
        <v>-9.1561675331574257</v>
      </c>
      <c r="AS1659" s="13">
        <f t="shared" ref="AS1659:AS1660" si="992">EXP(AR$4341*$AM1659+AR$4342)*$AP1659/(100000000/($AM1659-$AL1659))</f>
        <v>3.809283269867993</v>
      </c>
      <c r="AT1659" s="3">
        <f t="shared" ref="AT1659" si="993">LN(AS1659/$C1659)</f>
        <v>0.2388287646291786</v>
      </c>
      <c r="AU1659" s="16" cm="1">
        <f t="array" ref="AU1659">$C1659*EXP(poly_from_str(100000000/$E1659,AU$4342))</f>
        <v>1.7262919019794287</v>
      </c>
      <c r="AV1659" s="13">
        <f>LN(AS1659/AU1659)</f>
        <v>0.79146535443738042</v>
      </c>
    </row>
    <row r="1660" spans="1:48" x14ac:dyDescent="0.25">
      <c r="A1660" t="s">
        <v>2351</v>
      </c>
      <c r="B1660" s="2" t="str">
        <f t="shared" si="934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987"/>
        <v>e</v>
      </c>
      <c r="N1660" t="str">
        <f t="shared" si="988"/>
        <v>9/2</v>
      </c>
      <c r="O1660">
        <v>68374.539999999994</v>
      </c>
      <c r="P1660" t="str">
        <f t="shared" si="989"/>
        <v>o</v>
      </c>
      <c r="Q1660" t="str">
        <f t="shared" si="990"/>
        <v>9/2</v>
      </c>
      <c r="R1660">
        <v>16</v>
      </c>
      <c r="AA1660" s="10">
        <f t="shared" si="939"/>
        <v>3507.2310000000002</v>
      </c>
      <c r="AB1660" s="3">
        <f t="shared" si="940"/>
        <v>28504.37</v>
      </c>
      <c r="AC1660" s="3" cm="1">
        <f t="array" ref="AC1660">100000000/LvacE(AA1660)</f>
        <v>28504.368392470511</v>
      </c>
      <c r="AD1660" s="10">
        <f t="shared" si="941"/>
        <v>9.0636571119025976E-3</v>
      </c>
      <c r="AE1660" s="10" t="b">
        <f t="shared" si="942"/>
        <v>1</v>
      </c>
      <c r="AJ1660" t="s">
        <v>4731</v>
      </c>
      <c r="AK1660" t="s">
        <v>4739</v>
      </c>
      <c r="AL1660">
        <v>39870.17</v>
      </c>
      <c r="AM1660">
        <v>68374.539999999994</v>
      </c>
      <c r="AN1660" s="10" cm="1">
        <f t="array" ref="AN1660">Lair(100000000/($AM1660-$AL1660))</f>
        <v>3507.2307967013494</v>
      </c>
      <c r="AO1660" s="10">
        <f t="shared" si="991"/>
        <v>3508.2340006111349</v>
      </c>
      <c r="AP1660" s="12">
        <v>806000</v>
      </c>
      <c r="AQ1660" s="3">
        <v>0.02</v>
      </c>
      <c r="AR1660" s="3"/>
      <c r="AS1660" s="13">
        <f t="shared" si="992"/>
        <v>0.12001947616744436</v>
      </c>
      <c r="AT1660" s="3"/>
      <c r="AU1660" s="16" cm="1">
        <f t="array" ref="AU1660">$C1660*EXP(poly_from_str(100000000/$E1660,AU$4342))</f>
        <v>1.1604749357317474</v>
      </c>
    </row>
    <row r="1661" spans="1:48" x14ac:dyDescent="0.25">
      <c r="A1661" t="s">
        <v>2352</v>
      </c>
      <c r="B1661" s="2" t="str">
        <f t="shared" si="934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939"/>
        <v>3506.683</v>
      </c>
      <c r="AB1661" s="3">
        <f t="shared" si="940"/>
        <v>28508.82</v>
      </c>
      <c r="AC1661" s="3" cm="1">
        <f t="array" ref="AC1661">100000000/LvacE(AA1661)</f>
        <v>28508.822727197923</v>
      </c>
      <c r="AD1661" s="10">
        <f t="shared" si="941"/>
        <v>9.0649272727529005E-3</v>
      </c>
      <c r="AE1661" s="10" t="b">
        <f t="shared" si="942"/>
        <v>1</v>
      </c>
      <c r="AP1661"/>
      <c r="AQ1661"/>
      <c r="AU1661" s="16" cm="1">
        <f t="array" ref="AU1661">$C1661*EXP(poly_from_str(100000000/$E1661,AU$4342))</f>
        <v>8.7243085948087309</v>
      </c>
    </row>
    <row r="1662" spans="1:48" x14ac:dyDescent="0.25">
      <c r="A1662" t="s">
        <v>2353</v>
      </c>
      <c r="B1662" s="2" t="str">
        <f t="shared" si="934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994">$G1662&amp;""</f>
        <v>e</v>
      </c>
      <c r="N1662" t="str">
        <f t="shared" ref="N1662:N1664" si="995">$H1662&amp;""</f>
        <v>7/2</v>
      </c>
      <c r="O1662">
        <v>63593.35</v>
      </c>
      <c r="P1662" t="str">
        <f t="shared" ref="P1662:P1664" si="996">$J1662&amp;""</f>
        <v>o</v>
      </c>
      <c r="Q1662" t="str">
        <f t="shared" ref="Q1662:Q1664" si="997">$K1662&amp;""</f>
        <v>9/2</v>
      </c>
      <c r="R1662">
        <v>16</v>
      </c>
      <c r="AA1662" s="10">
        <f t="shared" si="939"/>
        <v>3499.3130000000001</v>
      </c>
      <c r="AB1662" s="3">
        <f t="shared" si="940"/>
        <v>28568.86</v>
      </c>
      <c r="AC1662" s="3" cm="1">
        <f t="array" ref="AC1662">100000000/LvacE(AA1662)</f>
        <v>28568.864196594626</v>
      </c>
      <c r="AD1662" s="10">
        <f t="shared" si="941"/>
        <v>9.0820675653470601E-3</v>
      </c>
      <c r="AE1662" s="10" t="b">
        <f t="shared" si="942"/>
        <v>1</v>
      </c>
      <c r="AJ1662" t="s">
        <v>4770</v>
      </c>
      <c r="AK1662" t="s">
        <v>4840</v>
      </c>
      <c r="AL1662">
        <v>35024.49</v>
      </c>
      <c r="AM1662">
        <v>63593.35</v>
      </c>
      <c r="AN1662" s="10" cm="1">
        <f t="array" ref="AN1662">Lair(100000000/($AM1662-$AL1662))</f>
        <v>3499.3135085307008</v>
      </c>
      <c r="AO1662" s="10">
        <f t="shared" ref="AO1662:AO1664" si="998">100000000/($AM1662-$AL1662)</f>
        <v>3500.3146782895783</v>
      </c>
      <c r="AP1662" s="12">
        <v>5910000</v>
      </c>
      <c r="AQ1662" s="3">
        <v>8.6999999999999994E-2</v>
      </c>
      <c r="AR1662" s="3">
        <f>LN(AU1662*100000000/($AM1662-$AL1662)/AP1662)</f>
        <v>-5.8621122929042819</v>
      </c>
      <c r="AS1662" s="13">
        <f t="shared" ref="AS1662:AS1664" si="999">EXP(AR$4341*$AM1662+AR$4342)*$AP1662/(100000000/($AM1662-$AL1662))</f>
        <v>1.2627461612963184</v>
      </c>
      <c r="AT1662" s="3">
        <f t="shared" ref="AT1662:AT1664" si="1000">LN(AS1662/$C1662)</f>
        <v>-1.846152699273832</v>
      </c>
      <c r="AU1662" s="16" cm="1">
        <f t="array" ref="AU1662">$C1662*EXP(poly_from_str(100000000/$E1662,AU$4342))</f>
        <v>4.8039377441256095</v>
      </c>
      <c r="AV1662" s="13">
        <f>LN(AS1662/AU1662)</f>
        <v>-1.336147102553243</v>
      </c>
    </row>
    <row r="1663" spans="1:48" x14ac:dyDescent="0.25">
      <c r="A1663" t="s">
        <v>2354</v>
      </c>
      <c r="B1663" s="2" t="str">
        <f t="shared" si="934"/>
        <v/>
      </c>
      <c r="C1663">
        <v>1</v>
      </c>
      <c r="D1663" t="s">
        <v>1156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994"/>
        <v>e</v>
      </c>
      <c r="N1663" t="str">
        <f t="shared" si="995"/>
        <v>11/2</v>
      </c>
      <c r="O1663">
        <v>62062.63</v>
      </c>
      <c r="P1663" t="str">
        <f t="shared" si="996"/>
        <v>o</v>
      </c>
      <c r="Q1663" t="str">
        <f t="shared" si="997"/>
        <v>9/2</v>
      </c>
      <c r="R1663">
        <v>16</v>
      </c>
      <c r="AA1663" s="10">
        <f t="shared" si="939"/>
        <v>3495.9650000000001</v>
      </c>
      <c r="AB1663" s="3">
        <f t="shared" si="940"/>
        <v>28596.22</v>
      </c>
      <c r="AC1663" s="3" cm="1">
        <f t="array" ref="AC1663">100000000/LvacE(AA1663)</f>
        <v>28596.223097144142</v>
      </c>
      <c r="AD1663" s="10">
        <f t="shared" si="941"/>
        <v>9.0898897868176808E-3</v>
      </c>
      <c r="AE1663" s="10" t="b">
        <f t="shared" si="942"/>
        <v>1</v>
      </c>
      <c r="AJ1663" t="s">
        <v>4774</v>
      </c>
      <c r="AK1663" t="s">
        <v>4848</v>
      </c>
      <c r="AL1663">
        <v>33466.410000000003</v>
      </c>
      <c r="AM1663">
        <v>62062.63</v>
      </c>
      <c r="AN1663" s="10" cm="1">
        <f t="array" ref="AN1663">Lair(100000000/($AM1663-$AL1663))</f>
        <v>3495.965373127533</v>
      </c>
      <c r="AO1663" s="10">
        <f t="shared" si="998"/>
        <v>3496.9656828769685</v>
      </c>
      <c r="AP1663" s="12">
        <v>1350000</v>
      </c>
      <c r="AQ1663" s="3">
        <v>0.02</v>
      </c>
      <c r="AR1663" s="3"/>
      <c r="AS1663" s="13">
        <f t="shared" si="999"/>
        <v>0.32386789025573803</v>
      </c>
      <c r="AT1663" s="3"/>
      <c r="AU1663" s="16" cm="1">
        <f t="array" ref="AU1663">$C1663*EXP(poly_from_str(100000000/$E1663,AU$4342))</f>
        <v>0.60922123849398335</v>
      </c>
    </row>
    <row r="1664" spans="1:48" x14ac:dyDescent="0.25">
      <c r="A1664" t="s">
        <v>2355</v>
      </c>
      <c r="B1664" s="2" t="str">
        <f t="shared" si="934"/>
        <v/>
      </c>
      <c r="C1664">
        <v>4</v>
      </c>
      <c r="D1664" t="s">
        <v>1156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994"/>
        <v>e</v>
      </c>
      <c r="N1664" t="str">
        <f t="shared" si="995"/>
        <v>7/2</v>
      </c>
      <c r="O1664">
        <v>64401.03</v>
      </c>
      <c r="P1664" t="str">
        <f t="shared" si="996"/>
        <v>o</v>
      </c>
      <c r="Q1664" t="str">
        <f t="shared" si="997"/>
        <v>5/2</v>
      </c>
      <c r="R1664">
        <v>16</v>
      </c>
      <c r="AA1664" s="10">
        <f t="shared" si="939"/>
        <v>3495.5650000000001</v>
      </c>
      <c r="AB1664" s="3">
        <f t="shared" si="940"/>
        <v>28599.5</v>
      </c>
      <c r="AC1664" s="3" cm="1">
        <f t="array" ref="AC1664">100000000/LvacE(AA1664)</f>
        <v>28599.495287557449</v>
      </c>
      <c r="AD1664" s="10">
        <f t="shared" si="941"/>
        <v>9.0908258446856863E-3</v>
      </c>
      <c r="AE1664" s="10" t="b">
        <f t="shared" si="942"/>
        <v>1</v>
      </c>
      <c r="AJ1664" t="s">
        <v>4810</v>
      </c>
      <c r="AK1664" t="s">
        <v>4837</v>
      </c>
      <c r="AL1664">
        <v>35801.120000000003</v>
      </c>
      <c r="AM1664">
        <v>64401.03</v>
      </c>
      <c r="AN1664" s="10" cm="1">
        <f t="array" ref="AN1664">Lair(100000000/($AM1664-$AL1664))</f>
        <v>3495.5143056242846</v>
      </c>
      <c r="AO1664" s="10">
        <f t="shared" si="998"/>
        <v>3496.5144995211526</v>
      </c>
      <c r="AP1664" s="12">
        <v>23400000</v>
      </c>
      <c r="AQ1664" s="3">
        <v>8.5999999999999993E-2</v>
      </c>
      <c r="AR1664" s="3">
        <f>LN(AU1664*100000000/($AM1664-$AL1664)/AP1664)</f>
        <v>-7.9162790441683715</v>
      </c>
      <c r="AS1664" s="13">
        <f t="shared" si="999"/>
        <v>4.7107706935433979</v>
      </c>
      <c r="AT1664" s="3">
        <f t="shared" si="1000"/>
        <v>0.16355716272505796</v>
      </c>
      <c r="AU1664" s="16" cm="1">
        <f t="array" ref="AU1664">$C1664*EXP(poly_from_str(100000000/$E1664,AU$4342))</f>
        <v>2.4410923954201196</v>
      </c>
      <c r="AV1664" s="13">
        <f>LN(AS1664/AU1664)</f>
        <v>0.6574058816879097</v>
      </c>
    </row>
    <row r="1665" spans="1:48" x14ac:dyDescent="0.25">
      <c r="A1665" t="s">
        <v>2356</v>
      </c>
      <c r="B1665" s="2" t="str">
        <f t="shared" si="934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939"/>
        <v>3494.1060000000002</v>
      </c>
      <c r="AB1665" s="3">
        <f t="shared" si="940"/>
        <v>28611.439999999999</v>
      </c>
      <c r="AC1665" s="3" cm="1">
        <f t="array" ref="AC1665">100000000/LvacE(AA1665)</f>
        <v>28611.436951829422</v>
      </c>
      <c r="AD1665" s="10">
        <f t="shared" si="941"/>
        <v>9.0942428409197407E-3</v>
      </c>
      <c r="AE1665" s="10" t="b">
        <f t="shared" si="942"/>
        <v>1</v>
      </c>
      <c r="AP1665"/>
      <c r="AQ1665"/>
      <c r="AU1665" s="16" cm="1">
        <f t="array" ref="AU1665">$C1665*EXP(poly_from_str(100000000/$E1665,AU$4342))</f>
        <v>2.4564474323379697</v>
      </c>
    </row>
    <row r="1666" spans="1:48" x14ac:dyDescent="0.25">
      <c r="A1666" t="s">
        <v>2357</v>
      </c>
      <c r="B1666" s="2" t="str">
        <f t="shared" ref="B1666:B1729" si="1001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939"/>
        <v>3494.0369999999998</v>
      </c>
      <c r="AB1666" s="3">
        <f t="shared" si="940"/>
        <v>28612</v>
      </c>
      <c r="AC1666" s="3" cm="1">
        <f t="array" ref="AC1666">100000000/LvacE(AA1666)</f>
        <v>28612.001951935592</v>
      </c>
      <c r="AD1666" s="10">
        <f t="shared" si="941"/>
        <v>9.0944045457926736E-3</v>
      </c>
      <c r="AE1666" s="10" t="b">
        <f t="shared" si="942"/>
        <v>1</v>
      </c>
      <c r="AP1666"/>
      <c r="AQ1666"/>
      <c r="AU1666" s="16" cm="1">
        <f t="array" ref="AU1666">$C1666*EXP(poly_from_str(100000000/$E1666,AU$4342))</f>
        <v>2.457169099050784</v>
      </c>
    </row>
    <row r="1667" spans="1:48" x14ac:dyDescent="0.25">
      <c r="A1667" t="s">
        <v>2358</v>
      </c>
      <c r="B1667" s="2" t="str">
        <f t="shared" si="1001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1002">ROUND($A1667,3)+0</f>
        <v>3488.797</v>
      </c>
      <c r="AB1667" s="3">
        <f t="shared" ref="AB1667:AB1730" si="1003">ROUND($E1667,2)+0</f>
        <v>28654.97</v>
      </c>
      <c r="AC1667" s="3" cm="1">
        <f t="array" ref="AC1667">100000000/LvacE(AA1667)</f>
        <v>28654.974496336134</v>
      </c>
      <c r="AD1667" s="10">
        <f t="shared" ref="AD1667:AD1730" si="1004">0.0005/$AA1667*AC1667+0.005</f>
        <v>9.1067127861460748E-3</v>
      </c>
      <c r="AE1667" s="10" t="b">
        <f t="shared" ref="AE1667:AE1730" si="1005">ABS(AB1667-AC1667)&lt;AD1667</f>
        <v>1</v>
      </c>
      <c r="AJ1667" t="s">
        <v>4702</v>
      </c>
      <c r="AK1667" t="s">
        <v>4861</v>
      </c>
      <c r="AL1667">
        <v>39024.269999999997</v>
      </c>
      <c r="AM1667">
        <v>67679.210000000006</v>
      </c>
      <c r="AN1667" s="10" cm="1">
        <f t="array" ref="AN1667">Lair(100000000/($AM1667-$AL1667))</f>
        <v>3488.8011945935891</v>
      </c>
      <c r="AO1667" s="10">
        <f>100000000/($AM1667-$AL1667)</f>
        <v>3489.7996645604549</v>
      </c>
      <c r="AP1667" s="12">
        <v>34400000</v>
      </c>
      <c r="AQ1667" s="3">
        <v>0.188</v>
      </c>
      <c r="AR1667" s="3">
        <f>LN(AU1667*100000000/($AM1667-$AL1667)/AP1667)</f>
        <v>-8.2745131420743903</v>
      </c>
      <c r="AS1667" s="13">
        <f>EXP(AR$4341*$AM1667+AR$4342)*$AP1667/(100000000/($AM1667-$AL1667))</f>
        <v>5.4253236775065261</v>
      </c>
      <c r="AT1667" s="3">
        <f>LN(AS1667/$C1667)</f>
        <v>0.3047832005833061</v>
      </c>
      <c r="AU1667" s="16" cm="1">
        <f t="array" ref="AU1667">$C1667*EXP(poly_from_str(100000000/$E1667,AU$4342))</f>
        <v>2.5129424802586371</v>
      </c>
      <c r="AV1667" s="13">
        <f>LN(AS1667/AU1667)</f>
        <v>0.76962319227809428</v>
      </c>
    </row>
    <row r="1668" spans="1:48" x14ac:dyDescent="0.25">
      <c r="A1668" t="s">
        <v>2359</v>
      </c>
      <c r="B1668" s="2" t="str">
        <f t="shared" si="1001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1002"/>
        <v>3488.308</v>
      </c>
      <c r="AB1668" s="3">
        <f t="shared" si="1003"/>
        <v>28658.99</v>
      </c>
      <c r="AC1668" s="3" cm="1">
        <f t="array" ref="AC1668">100000000/LvacE(AA1668)</f>
        <v>28658.99130626395</v>
      </c>
      <c r="AD1668" s="10">
        <f t="shared" si="1004"/>
        <v>9.107864229056602E-3</v>
      </c>
      <c r="AE1668" s="10" t="b">
        <f t="shared" si="1005"/>
        <v>1</v>
      </c>
      <c r="AP1668"/>
      <c r="AQ1668"/>
      <c r="AU1668" s="16" cm="1">
        <f t="array" ref="AU1668">$C1668*EXP(poly_from_str(100000000/$E1668,AU$4342))</f>
        <v>2.5182003512100239</v>
      </c>
    </row>
    <row r="1669" spans="1:48" x14ac:dyDescent="0.25">
      <c r="A1669" t="s">
        <v>2360</v>
      </c>
      <c r="B1669" s="2" t="str">
        <f t="shared" si="1001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1002"/>
        <v>3488.26</v>
      </c>
      <c r="AB1669" s="3">
        <f t="shared" si="1003"/>
        <v>28659.39</v>
      </c>
      <c r="AC1669" s="3" cm="1">
        <f t="array" ref="AC1669">100000000/LvacE(AA1669)</f>
        <v>28659.385655050693</v>
      </c>
      <c r="AD1669" s="10">
        <f t="shared" si="1004"/>
        <v>9.107977280227204E-3</v>
      </c>
      <c r="AE1669" s="10" t="b">
        <f t="shared" si="1005"/>
        <v>1</v>
      </c>
      <c r="AP1669"/>
      <c r="AQ1669"/>
      <c r="AU1669" s="16" cm="1">
        <f t="array" ref="AU1669">$C1669*EXP(poly_from_str(100000000/$E1669,AU$4342))</f>
        <v>2.518723895919198</v>
      </c>
    </row>
    <row r="1670" spans="1:48" x14ac:dyDescent="0.25">
      <c r="A1670" t="s">
        <v>2361</v>
      </c>
      <c r="B1670" s="2" t="str">
        <f t="shared" si="1001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1002"/>
        <v>3483.2</v>
      </c>
      <c r="AB1670" s="3">
        <f t="shared" si="1003"/>
        <v>28701.02</v>
      </c>
      <c r="AC1670" s="3" cm="1">
        <f t="array" ref="AC1670">100000000/LvacE(AA1670)</f>
        <v>28701.017549074946</v>
      </c>
      <c r="AD1670" s="10">
        <f t="shared" si="1004"/>
        <v>9.1199209848809928E-3</v>
      </c>
      <c r="AE1670" s="10" t="b">
        <f t="shared" si="1005"/>
        <v>1</v>
      </c>
      <c r="AJ1670" t="s">
        <v>4722</v>
      </c>
      <c r="AK1670" t="s">
        <v>4707</v>
      </c>
      <c r="AL1670">
        <v>34520.269999999997</v>
      </c>
      <c r="AM1670">
        <v>63221.279999999999</v>
      </c>
      <c r="AN1670" s="10" cm="1">
        <f t="array" ref="AN1670">Lair(100000000/($AM1670-$AL1670))</f>
        <v>3483.2009106576907</v>
      </c>
      <c r="AO1670" s="10">
        <f>100000000/($AM1670-$AL1670)</f>
        <v>3484.1979428598502</v>
      </c>
      <c r="AP1670" s="12">
        <v>5170000</v>
      </c>
      <c r="AQ1670" s="3">
        <v>4.2999999999999997E-2</v>
      </c>
      <c r="AR1670" s="3"/>
      <c r="AS1670" s="13">
        <f>EXP(AR$4341*$AM1670+AR$4342)*$AP1670/(100000000/($AM1670-$AL1670))</f>
        <v>1.1411691964989674</v>
      </c>
      <c r="AT1670" s="3"/>
      <c r="AU1670" s="16" cm="1">
        <f t="array" ref="AU1670">$C1670*EXP(poly_from_str(100000000/$E1670,AU$4342))</f>
        <v>2.5735798571759623</v>
      </c>
    </row>
    <row r="1671" spans="1:48" x14ac:dyDescent="0.25">
      <c r="A1671" t="s">
        <v>2362</v>
      </c>
      <c r="B1671" s="2" t="str">
        <f t="shared" si="1001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1002"/>
        <v>3481.0810000000001</v>
      </c>
      <c r="AB1671" s="3">
        <f t="shared" si="1003"/>
        <v>28718.49</v>
      </c>
      <c r="AC1671" s="3" cm="1">
        <f t="array" ref="AC1671">100000000/LvacE(AA1671)</f>
        <v>28718.487886139745</v>
      </c>
      <c r="AD1671" s="10">
        <f t="shared" si="1004"/>
        <v>9.1249381853136628E-3</v>
      </c>
      <c r="AE1671" s="10" t="b">
        <f t="shared" si="1005"/>
        <v>1</v>
      </c>
      <c r="AP1671"/>
      <c r="AQ1671"/>
      <c r="AU1671" s="16" cm="1">
        <f t="array" ref="AU1671">$C1671*EXP(poly_from_str(100000000/$E1671,AU$4342))</f>
        <v>0.6492040172650656</v>
      </c>
    </row>
    <row r="1672" spans="1:48" x14ac:dyDescent="0.25">
      <c r="A1672" t="s">
        <v>2363</v>
      </c>
      <c r="B1672" s="2" t="str">
        <f t="shared" si="1001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1002"/>
        <v>3481.0349999999999</v>
      </c>
      <c r="AB1672" s="3">
        <f t="shared" si="1003"/>
        <v>28718.87</v>
      </c>
      <c r="AC1672" s="3" cm="1">
        <f t="array" ref="AC1672">100000000/LvacE(AA1672)</f>
        <v>28718.867374244743</v>
      </c>
      <c r="AD1672" s="10">
        <f t="shared" si="1004"/>
        <v>9.1250472020885653E-3</v>
      </c>
      <c r="AE1672" s="10" t="b">
        <f t="shared" si="1005"/>
        <v>1</v>
      </c>
      <c r="AP1672"/>
      <c r="AQ1672"/>
      <c r="AU1672" s="16" cm="1">
        <f t="array" ref="AU1672">$C1672*EXP(poly_from_str(100000000/$E1672,AU$4342))</f>
        <v>0</v>
      </c>
    </row>
    <row r="1673" spans="1:48" x14ac:dyDescent="0.25">
      <c r="A1673" t="s">
        <v>2364</v>
      </c>
      <c r="B1673" s="2" t="str">
        <f t="shared" si="1001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1002"/>
        <v>3480.9920000000002</v>
      </c>
      <c r="AB1673" s="3">
        <f t="shared" si="1003"/>
        <v>28719.22</v>
      </c>
      <c r="AC1673" s="3" cm="1">
        <f t="array" ref="AC1673">100000000/LvacE(AA1673)</f>
        <v>28719.222122194813</v>
      </c>
      <c r="AD1673" s="10">
        <f t="shared" si="1004"/>
        <v>9.1251491129819909E-3</v>
      </c>
      <c r="AE1673" s="10" t="b">
        <f t="shared" si="1005"/>
        <v>1</v>
      </c>
      <c r="AP1673"/>
      <c r="AQ1673"/>
      <c r="AU1673" s="16" cm="1">
        <f t="array" ref="AU1673">$C1673*EXP(poly_from_str(100000000/$E1673,AU$4342))</f>
        <v>0</v>
      </c>
    </row>
    <row r="1674" spans="1:48" x14ac:dyDescent="0.25">
      <c r="A1674" t="s">
        <v>2365</v>
      </c>
      <c r="B1674" s="2" t="str">
        <f t="shared" si="1001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1002"/>
        <v>3480.9490000000001</v>
      </c>
      <c r="AB1674" s="3">
        <f t="shared" si="1003"/>
        <v>28719.58</v>
      </c>
      <c r="AC1674" s="3" cm="1">
        <f t="array" ref="AC1674">100000000/LvacE(AA1674)</f>
        <v>28719.576878908822</v>
      </c>
      <c r="AD1674" s="10">
        <f t="shared" si="1004"/>
        <v>9.1252510276520586E-3</v>
      </c>
      <c r="AE1674" s="10" t="b">
        <f t="shared" si="1005"/>
        <v>1</v>
      </c>
      <c r="AP1674"/>
      <c r="AQ1674"/>
      <c r="AU1674" s="16" cm="1">
        <f t="array" ref="AU1674">$C1674*EXP(poly_from_str(100000000/$E1674,AU$4342))</f>
        <v>0</v>
      </c>
    </row>
    <row r="1675" spans="1:48" x14ac:dyDescent="0.25">
      <c r="A1675" t="s">
        <v>2366</v>
      </c>
      <c r="B1675" s="2" t="str">
        <f t="shared" si="1001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1006">$G1675&amp;""</f>
        <v>e</v>
      </c>
      <c r="N1675" t="str">
        <f t="shared" ref="N1675:N1676" si="1007">$H1675&amp;""</f>
        <v>7/2</v>
      </c>
      <c r="O1675">
        <v>63768.66</v>
      </c>
      <c r="P1675" t="str">
        <f t="shared" ref="P1675:P1676" si="1008">$J1675&amp;""</f>
        <v>o</v>
      </c>
      <c r="Q1675" t="str">
        <f t="shared" ref="Q1675:Q1676" si="1009">$K1675&amp;""</f>
        <v>7/2</v>
      </c>
      <c r="R1675">
        <v>16</v>
      </c>
      <c r="AA1675" s="10">
        <f t="shared" si="1002"/>
        <v>3477.9690000000001</v>
      </c>
      <c r="AB1675" s="3">
        <f t="shared" si="1003"/>
        <v>28744.18</v>
      </c>
      <c r="AC1675" s="3" cm="1">
        <f t="array" ref="AC1675">100000000/LvacE(AA1675)</f>
        <v>28744.183712474285</v>
      </c>
      <c r="AD1675" s="10">
        <f t="shared" si="1004"/>
        <v>9.1323231622355283E-3</v>
      </c>
      <c r="AE1675" s="10" t="b">
        <f t="shared" si="1005"/>
        <v>1</v>
      </c>
      <c r="AJ1675" t="s">
        <v>4770</v>
      </c>
      <c r="AK1675" t="s">
        <v>4850</v>
      </c>
      <c r="AL1675">
        <v>35024.49</v>
      </c>
      <c r="AM1675">
        <v>63768.66</v>
      </c>
      <c r="AN1675" s="10" cm="1">
        <f t="array" ref="AN1675">Lair(100000000/($AM1675-$AL1675))</f>
        <v>3477.9706536780218</v>
      </c>
      <c r="AO1675" s="10">
        <f t="shared" ref="AO1675:AO1676" si="1010">100000000/($AM1675-$AL1675)</f>
        <v>3478.9663434359031</v>
      </c>
      <c r="AP1675" s="12">
        <v>21400000</v>
      </c>
      <c r="AQ1675" s="3">
        <v>8.7999999999999995E-2</v>
      </c>
      <c r="AR1675" s="3">
        <f t="shared" ref="AR1675:AR1676" si="1011">LN(AU1675*100000000/($AM1675-$AL1675)/AP1675)</f>
        <v>-7.351500025260413</v>
      </c>
      <c r="AS1675" s="13">
        <f t="shared" ref="AS1675:AS1676" si="1012">EXP(AR$4341*$AM1675+AR$4342)*$AP1675/(100000000/($AM1675-$AL1675))</f>
        <v>4.5403092939823653</v>
      </c>
      <c r="AT1675" s="3">
        <f t="shared" ref="AT1675:AT1676" si="1013">LN(AS1675/$C1675)</f>
        <v>-0.27876433306746434</v>
      </c>
      <c r="AU1675" s="16" cm="1">
        <f t="array" ref="AU1675">$C1675*EXP(poly_from_str(100000000/$E1675,AU$4342))</f>
        <v>3.9468230092482219</v>
      </c>
      <c r="AV1675" s="13">
        <f t="shared" ref="AV1675:AV1676" si="1014">LN(AS1675/AU1675)</f>
        <v>0.14008418232766184</v>
      </c>
    </row>
    <row r="1676" spans="1:48" x14ac:dyDescent="0.25">
      <c r="A1676" t="s">
        <v>2367</v>
      </c>
      <c r="B1676" s="2" t="str">
        <f t="shared" si="1001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1006"/>
        <v>e</v>
      </c>
      <c r="N1676" t="str">
        <f t="shared" si="1007"/>
        <v>7/2</v>
      </c>
      <c r="O1676">
        <v>63593.35</v>
      </c>
      <c r="P1676" t="str">
        <f t="shared" si="1008"/>
        <v>o</v>
      </c>
      <c r="Q1676" t="str">
        <f t="shared" si="1009"/>
        <v>9/2</v>
      </c>
      <c r="R1676">
        <v>16</v>
      </c>
      <c r="AA1676" s="10">
        <f t="shared" si="1002"/>
        <v>3475.1010000000001</v>
      </c>
      <c r="AB1676" s="3">
        <f t="shared" si="1003"/>
        <v>28767.91</v>
      </c>
      <c r="AC1676" s="3" cm="1">
        <f t="array" ref="AC1676">100000000/LvacE(AA1676)</f>
        <v>28767.905576243891</v>
      </c>
      <c r="AD1676" s="10">
        <f t="shared" si="1004"/>
        <v>9.1391466861314094E-3</v>
      </c>
      <c r="AE1676" s="10" t="b">
        <f t="shared" si="1005"/>
        <v>1</v>
      </c>
      <c r="AJ1676" t="s">
        <v>4761</v>
      </c>
      <c r="AK1676" t="s">
        <v>4840</v>
      </c>
      <c r="AL1676">
        <v>34825.49</v>
      </c>
      <c r="AM1676">
        <v>63593.35</v>
      </c>
      <c r="AN1676" s="10" cm="1">
        <f t="array" ref="AN1676">Lair(100000000/($AM1676-$AL1676))</f>
        <v>3475.1065001357983</v>
      </c>
      <c r="AO1676" s="10">
        <f t="shared" si="1010"/>
        <v>3476.1014548875028</v>
      </c>
      <c r="AP1676" s="12">
        <v>31600000</v>
      </c>
      <c r="AQ1676" s="3">
        <v>0.29299999999999998</v>
      </c>
      <c r="AR1676" s="3">
        <f t="shared" si="1011"/>
        <v>-8.1354607307639526</v>
      </c>
      <c r="AS1676" s="13">
        <f t="shared" si="1012"/>
        <v>6.7987692957866219</v>
      </c>
      <c r="AT1676" s="3">
        <f t="shared" si="1013"/>
        <v>0.53044724876851146</v>
      </c>
      <c r="AU1676" s="16" cm="1">
        <f t="array" ref="AU1676">$C1676*EXP(poly_from_str(100000000/$E1676,AU$4342))</f>
        <v>2.6632316051896736</v>
      </c>
      <c r="AV1676" s="13">
        <f t="shared" si="1014"/>
        <v>0.93720133530642724</v>
      </c>
    </row>
    <row r="1677" spans="1:48" x14ac:dyDescent="0.25">
      <c r="A1677" t="s">
        <v>2368</v>
      </c>
      <c r="B1677" s="2" t="str">
        <f t="shared" si="1001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1002"/>
        <v>3475.0610000000001</v>
      </c>
      <c r="AB1677" s="3">
        <f t="shared" si="1003"/>
        <v>28768.240000000002</v>
      </c>
      <c r="AC1677" s="3" cm="1">
        <f t="array" ref="AC1677">100000000/LvacE(AA1677)</f>
        <v>28768.236701958107</v>
      </c>
      <c r="AD1677" s="10">
        <f t="shared" si="1004"/>
        <v>9.139241973300339E-3</v>
      </c>
      <c r="AE1677" s="10" t="b">
        <f t="shared" si="1005"/>
        <v>1</v>
      </c>
      <c r="AP1677"/>
      <c r="AQ1677"/>
      <c r="AU1677" s="16" cm="1">
        <f t="array" ref="AU1677">$C1677*EXP(poly_from_str(100000000/$E1677,AU$4342))</f>
        <v>0</v>
      </c>
    </row>
    <row r="1678" spans="1:48" x14ac:dyDescent="0.25">
      <c r="A1678" t="s">
        <v>2369</v>
      </c>
      <c r="B1678" s="2" t="str">
        <f t="shared" si="1001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1002"/>
        <v>3475.029</v>
      </c>
      <c r="AB1678" s="3">
        <f t="shared" si="1003"/>
        <v>28768.5</v>
      </c>
      <c r="AC1678" s="3" cm="1">
        <f t="array" ref="AC1678">100000000/LvacE(AA1678)</f>
        <v>28768.501608017752</v>
      </c>
      <c r="AD1678" s="10">
        <f t="shared" si="1004"/>
        <v>9.1393182054045827E-3</v>
      </c>
      <c r="AE1678" s="10" t="b">
        <f t="shared" si="1005"/>
        <v>1</v>
      </c>
      <c r="AP1678"/>
      <c r="AQ1678"/>
      <c r="AU1678" s="16" cm="1">
        <f t="array" ref="AU1678">$C1678*EXP(poly_from_str(100000000/$E1678,AU$4342))</f>
        <v>0</v>
      </c>
    </row>
    <row r="1679" spans="1:48" x14ac:dyDescent="0.25">
      <c r="A1679" t="s">
        <v>2370</v>
      </c>
      <c r="B1679" s="2" t="str">
        <f t="shared" si="1001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1002"/>
        <v>3474.9960000000001</v>
      </c>
      <c r="AB1679" s="3">
        <f t="shared" si="1003"/>
        <v>28768.77</v>
      </c>
      <c r="AC1679" s="3" cm="1">
        <f t="array" ref="AC1679">100000000/LvacE(AA1679)</f>
        <v>28768.774797501435</v>
      </c>
      <c r="AD1679" s="10">
        <f t="shared" si="1004"/>
        <v>9.1393968219677709E-3</v>
      </c>
      <c r="AE1679" s="10" t="b">
        <f t="shared" si="1005"/>
        <v>1</v>
      </c>
      <c r="AP1679"/>
      <c r="AQ1679"/>
      <c r="AU1679" s="16" cm="1">
        <f t="array" ref="AU1679">$C1679*EXP(poly_from_str(100000000/$E1679,AU$4342))</f>
        <v>0</v>
      </c>
    </row>
    <row r="1680" spans="1:48" x14ac:dyDescent="0.25">
      <c r="A1680" t="s">
        <v>2371</v>
      </c>
      <c r="B1680" s="2" t="str">
        <f t="shared" si="1001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1002"/>
        <v>3474.4670000000001</v>
      </c>
      <c r="AB1680" s="3">
        <f t="shared" si="1003"/>
        <v>28773.15</v>
      </c>
      <c r="AC1680" s="3" cm="1">
        <f t="array" ref="AC1680">100000000/LvacE(AA1680)</f>
        <v>28773.154816034006</v>
      </c>
      <c r="AD1680" s="10">
        <f t="shared" si="1004"/>
        <v>9.1406573750785376E-3</v>
      </c>
      <c r="AE1680" s="10" t="b">
        <f t="shared" si="1005"/>
        <v>1</v>
      </c>
      <c r="AP1680"/>
      <c r="AQ1680"/>
      <c r="AU1680" s="16" cm="1">
        <f t="array" ref="AU1680">$C1680*EXP(poly_from_str(100000000/$E1680,AU$4342))</f>
        <v>0</v>
      </c>
    </row>
    <row r="1681" spans="1:48" x14ac:dyDescent="0.25">
      <c r="A1681" t="s">
        <v>2372</v>
      </c>
      <c r="B1681" s="2" t="str">
        <f t="shared" si="1001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1002"/>
        <v>3474.43</v>
      </c>
      <c r="AB1681" s="3">
        <f t="shared" si="1003"/>
        <v>28773.46</v>
      </c>
      <c r="AC1681" s="3" cm="1">
        <f t="array" ref="AC1681">100000000/LvacE(AA1681)</f>
        <v>28773.461218840803</v>
      </c>
      <c r="AD1681" s="10">
        <f t="shared" si="1004"/>
        <v>9.1407455638537541E-3</v>
      </c>
      <c r="AE1681" s="10" t="b">
        <f t="shared" si="1005"/>
        <v>1</v>
      </c>
      <c r="AP1681"/>
      <c r="AQ1681"/>
      <c r="AU1681" s="16" cm="1">
        <f t="array" ref="AU1681">$C1681*EXP(poly_from_str(100000000/$E1681,AU$4342))</f>
        <v>0</v>
      </c>
    </row>
    <row r="1682" spans="1:48" x14ac:dyDescent="0.25">
      <c r="A1682" t="s">
        <v>2373</v>
      </c>
      <c r="B1682" s="2" t="str">
        <f t="shared" si="1001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1002"/>
        <v>3474.3980000000001</v>
      </c>
      <c r="AB1682" s="3">
        <f t="shared" si="1003"/>
        <v>28773.73</v>
      </c>
      <c r="AC1682" s="3" cm="1">
        <f t="array" ref="AC1682">100000000/LvacE(AA1682)</f>
        <v>28773.726221125355</v>
      </c>
      <c r="AD1682" s="10">
        <f t="shared" si="1004"/>
        <v>9.140821837498949E-3</v>
      </c>
      <c r="AE1682" s="10" t="b">
        <f t="shared" si="1005"/>
        <v>1</v>
      </c>
      <c r="AP1682"/>
      <c r="AQ1682"/>
      <c r="AU1682" s="16" cm="1">
        <f t="array" ref="AU1682">$C1682*EXP(poly_from_str(100000000/$E1682,AU$4342))</f>
        <v>0</v>
      </c>
    </row>
    <row r="1683" spans="1:48" x14ac:dyDescent="0.25">
      <c r="A1683" t="s">
        <v>2374</v>
      </c>
      <c r="B1683" s="2" t="str">
        <f t="shared" si="1001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1002"/>
        <v>3474.357</v>
      </c>
      <c r="AB1683" s="3">
        <f t="shared" si="1003"/>
        <v>28774.07</v>
      </c>
      <c r="AC1683" s="3" cm="1">
        <f t="array" ref="AC1683">100000000/LvacE(AA1683)</f>
        <v>28774.065762436065</v>
      </c>
      <c r="AD1683" s="10">
        <f t="shared" si="1004"/>
        <v>9.1409195661867892E-3</v>
      </c>
      <c r="AE1683" s="10" t="b">
        <f t="shared" si="1005"/>
        <v>1</v>
      </c>
      <c r="AP1683"/>
      <c r="AQ1683"/>
      <c r="AU1683" s="16" cm="1">
        <f t="array" ref="AU1683">$C1683*EXP(poly_from_str(100000000/$E1683,AU$4342))</f>
        <v>0</v>
      </c>
    </row>
    <row r="1684" spans="1:48" x14ac:dyDescent="0.25">
      <c r="A1684" t="s">
        <v>2375</v>
      </c>
      <c r="B1684" s="2" t="str">
        <f t="shared" si="1001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1015">$G1684&amp;""</f>
        <v>e</v>
      </c>
      <c r="N1684" t="str">
        <f t="shared" ref="N1684:N1687" si="1016">$H1684&amp;""</f>
        <v>11/2</v>
      </c>
      <c r="O1684">
        <v>62240.83</v>
      </c>
      <c r="P1684" t="str">
        <f t="shared" ref="P1684:P1687" si="1017">$J1684&amp;""</f>
        <v>o</v>
      </c>
      <c r="Q1684" t="str">
        <f t="shared" ref="Q1684:Q1687" si="1018">$K1684&amp;""</f>
        <v>11/2</v>
      </c>
      <c r="R1684">
        <v>16</v>
      </c>
      <c r="AA1684" s="10">
        <f t="shared" si="1002"/>
        <v>3474.3110000000001</v>
      </c>
      <c r="AB1684" s="3">
        <f t="shared" si="1003"/>
        <v>28774.45</v>
      </c>
      <c r="AC1684" s="3" cm="1">
        <f t="array" ref="AC1684">100000000/LvacE(AA1684)</f>
        <v>28774.446720762528</v>
      </c>
      <c r="AD1684" s="10">
        <f t="shared" si="1004"/>
        <v>9.1410292171257151E-3</v>
      </c>
      <c r="AE1684" s="10" t="b">
        <f t="shared" si="1005"/>
        <v>1</v>
      </c>
      <c r="AJ1684" t="s">
        <v>4774</v>
      </c>
      <c r="AK1684" t="s">
        <v>4892</v>
      </c>
      <c r="AL1684">
        <v>33466.410000000003</v>
      </c>
      <c r="AM1684">
        <v>62240.83</v>
      </c>
      <c r="AN1684" s="10" cm="1">
        <f t="array" ref="AN1684">Lair(100000000/($AM1684-$AL1684))</f>
        <v>3474.3142208924751</v>
      </c>
      <c r="AO1684" s="10">
        <f t="shared" ref="AO1684:AO1687" si="1019">100000000/($AM1684-$AL1684)</f>
        <v>3475.3089723441863</v>
      </c>
      <c r="AP1684" s="12">
        <v>267000000</v>
      </c>
      <c r="AQ1684" s="3">
        <v>0.42599999999999999</v>
      </c>
      <c r="AR1684" s="3">
        <f t="shared" ref="AR1684:AR1687" si="1020">LN(AU1684*100000000/($AM1684-$AL1684)/AP1684)</f>
        <v>-8.6570195246103463</v>
      </c>
      <c r="AS1684" s="13">
        <f t="shared" ref="AS1684:AS1687" si="1021">EXP(AR$4341*$AM1684+AR$4342)*$AP1684/(100000000/($AM1684-$AL1684))</f>
        <v>63.596815455231997</v>
      </c>
      <c r="AT1684" s="3">
        <f t="shared" ref="AT1684:AT1687" si="1022">LN(AS1684/$C1684)</f>
        <v>1.1568311240798519</v>
      </c>
      <c r="AU1684" s="16" cm="1">
        <f t="array" ref="AU1684">$C1684*EXP(poly_from_str(100000000/$E1684,AU$4342))</f>
        <v>13.360479054027124</v>
      </c>
      <c r="AV1684" s="13">
        <f t="shared" ref="AV1684:AV1687" si="1023">LN(AS1684/AU1684)</f>
        <v>1.5602623728308425</v>
      </c>
    </row>
    <row r="1685" spans="1:48" x14ac:dyDescent="0.25">
      <c r="A1685" t="s">
        <v>2376</v>
      </c>
      <c r="B1685" s="2" t="str">
        <f t="shared" si="1001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1015"/>
        <v>e</v>
      </c>
      <c r="N1685" t="str">
        <f t="shared" si="1016"/>
        <v>3/2</v>
      </c>
      <c r="O1685">
        <v>80897.850000000006</v>
      </c>
      <c r="P1685" t="str">
        <f t="shared" si="1017"/>
        <v>o</v>
      </c>
      <c r="Q1685" t="str">
        <f t="shared" si="1018"/>
        <v>3/2</v>
      </c>
      <c r="R1685">
        <v>16</v>
      </c>
      <c r="AA1685" s="10">
        <f t="shared" si="1002"/>
        <v>3462.7</v>
      </c>
      <c r="AB1685" s="3">
        <f t="shared" si="1003"/>
        <v>28870.93</v>
      </c>
      <c r="AC1685" s="3" cm="1">
        <f t="array" ref="AC1685">100000000/LvacE(AA1685)</f>
        <v>28870.929268982673</v>
      </c>
      <c r="AD1685" s="10">
        <f t="shared" si="1004"/>
        <v>9.1688464592633891E-3</v>
      </c>
      <c r="AE1685" s="10" t="b">
        <f t="shared" si="1005"/>
        <v>1</v>
      </c>
      <c r="AJ1685" t="s">
        <v>4777</v>
      </c>
      <c r="AK1685" t="s">
        <v>4911</v>
      </c>
      <c r="AL1685">
        <v>52026.9</v>
      </c>
      <c r="AM1685">
        <v>80897.850000000006</v>
      </c>
      <c r="AN1685" s="10" cm="1">
        <f t="array" ref="AN1685">Lair(100000000/($AM1685-$AL1685))</f>
        <v>3462.6975079413728</v>
      </c>
      <c r="AO1685" s="10">
        <f t="shared" si="1019"/>
        <v>3463.6892793621264</v>
      </c>
      <c r="AP1685" s="12">
        <v>35900000</v>
      </c>
      <c r="AQ1685" s="3">
        <v>0.17899999999999999</v>
      </c>
      <c r="AR1685" s="3">
        <f t="shared" si="1020"/>
        <v>-9.6010969068119429</v>
      </c>
      <c r="AS1685" s="13">
        <f t="shared" si="1021"/>
        <v>2.1154175916852256</v>
      </c>
      <c r="AT1685" s="3">
        <f t="shared" si="1022"/>
        <v>0.74925223588613699</v>
      </c>
      <c r="AU1685" s="16" cm="1">
        <f t="array" ref="AU1685">$C1685*EXP(poly_from_str(100000000/$E1685,AU$4342))</f>
        <v>0.70121648321502705</v>
      </c>
      <c r="AV1685" s="13">
        <f t="shared" si="1023"/>
        <v>1.1041908549454196</v>
      </c>
    </row>
    <row r="1686" spans="1:48" x14ac:dyDescent="0.25">
      <c r="A1686" t="s">
        <v>2377</v>
      </c>
      <c r="B1686" s="2" t="str">
        <f t="shared" si="1001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1015"/>
        <v>e</v>
      </c>
      <c r="N1686" t="str">
        <f t="shared" si="1016"/>
        <v>1/2</v>
      </c>
      <c r="O1686">
        <v>79742.36</v>
      </c>
      <c r="P1686" t="str">
        <f t="shared" si="1017"/>
        <v>o</v>
      </c>
      <c r="Q1686" t="str">
        <f t="shared" si="1018"/>
        <v>1/2</v>
      </c>
      <c r="R1686">
        <v>16</v>
      </c>
      <c r="AA1686" s="10">
        <f t="shared" si="1002"/>
        <v>3462.4319999999998</v>
      </c>
      <c r="AB1686" s="3">
        <f t="shared" si="1003"/>
        <v>28873.16</v>
      </c>
      <c r="AC1686" s="3" cm="1">
        <f t="array" ref="AC1686">100000000/LvacE(AA1686)</f>
        <v>28873.163876720308</v>
      </c>
      <c r="AD1686" s="10">
        <f t="shared" si="1004"/>
        <v>9.169491830701702E-3</v>
      </c>
      <c r="AE1686" s="10" t="b">
        <f t="shared" si="1005"/>
        <v>1</v>
      </c>
      <c r="AJ1686" t="s">
        <v>4784</v>
      </c>
      <c r="AK1686" t="s">
        <v>4897</v>
      </c>
      <c r="AL1686">
        <v>50869.3</v>
      </c>
      <c r="AM1686">
        <v>79742.36</v>
      </c>
      <c r="AN1686" s="10" cm="1">
        <f t="array" ref="AN1686">Lair(100000000/($AM1686-$AL1686))</f>
        <v>3462.4444516131753</v>
      </c>
      <c r="AO1686" s="10">
        <f t="shared" si="1019"/>
        <v>3463.436158134954</v>
      </c>
      <c r="AP1686" s="12">
        <v>32500000</v>
      </c>
      <c r="AQ1686" s="3">
        <v>0.26700000000000002</v>
      </c>
      <c r="AR1686" s="3">
        <f t="shared" si="1020"/>
        <v>-9.5005637016132898</v>
      </c>
      <c r="AS1686" s="13">
        <f t="shared" si="1021"/>
        <v>2.0887042371408651</v>
      </c>
      <c r="AT1686" s="3">
        <f t="shared" si="1022"/>
        <v>0.73654389147901334</v>
      </c>
      <c r="AU1686" s="16" cm="1">
        <f t="array" ref="AU1686">$C1686*EXP(poly_from_str(100000000/$E1686,AU$4342))</f>
        <v>0.70199461997015455</v>
      </c>
      <c r="AV1686" s="13">
        <f t="shared" si="1023"/>
        <v>1.0903734303248855</v>
      </c>
    </row>
    <row r="1687" spans="1:48" x14ac:dyDescent="0.25">
      <c r="A1687" t="s">
        <v>2378</v>
      </c>
      <c r="B1687" s="2" t="str">
        <f t="shared" si="1001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1015"/>
        <v>e</v>
      </c>
      <c r="N1687" t="str">
        <f t="shared" si="1016"/>
        <v>7/2</v>
      </c>
      <c r="O1687">
        <v>63768.66</v>
      </c>
      <c r="P1687" t="str">
        <f t="shared" si="1017"/>
        <v>o</v>
      </c>
      <c r="Q1687" t="str">
        <f t="shared" si="1018"/>
        <v>7/2</v>
      </c>
      <c r="R1687">
        <v>16</v>
      </c>
      <c r="AA1687" s="10">
        <f t="shared" si="1002"/>
        <v>3454.0509999999999</v>
      </c>
      <c r="AB1687" s="3">
        <f t="shared" si="1003"/>
        <v>28943.22</v>
      </c>
      <c r="AC1687" s="3" cm="1">
        <f t="array" ref="AC1687">100000000/LvacE(AA1687)</f>
        <v>28943.220372703894</v>
      </c>
      <c r="AD1687" s="10">
        <f t="shared" si="1004"/>
        <v>9.1897500026351525E-3</v>
      </c>
      <c r="AE1687" s="10" t="b">
        <f t="shared" si="1005"/>
        <v>1</v>
      </c>
      <c r="AJ1687" t="s">
        <v>4761</v>
      </c>
      <c r="AK1687" t="s">
        <v>4850</v>
      </c>
      <c r="AL1687">
        <v>34825.49</v>
      </c>
      <c r="AM1687">
        <v>63768.66</v>
      </c>
      <c r="AN1687" s="10" cm="1">
        <f t="array" ref="AN1687">Lair(100000000/($AM1687-$AL1687))</f>
        <v>3454.0570060376922</v>
      </c>
      <c r="AO1687" s="10">
        <f t="shared" si="1019"/>
        <v>3455.0465619349911</v>
      </c>
      <c r="AP1687" s="12">
        <v>169000000</v>
      </c>
      <c r="AQ1687" s="3">
        <v>0.442</v>
      </c>
      <c r="AR1687" s="3">
        <f t="shared" si="1020"/>
        <v>-6.8685821647544127</v>
      </c>
      <c r="AS1687" s="13">
        <f t="shared" si="1021"/>
        <v>36.1039478166634</v>
      </c>
      <c r="AT1687" s="3">
        <f t="shared" si="1022"/>
        <v>-0.66209302488734201</v>
      </c>
      <c r="AU1687" s="16" cm="1">
        <f t="array" ref="AU1687">$C1687*EXP(poly_from_str(100000000/$E1687,AU$4342))</f>
        <v>50.868094267741952</v>
      </c>
      <c r="AV1687" s="13">
        <f t="shared" si="1023"/>
        <v>-0.3428336781783386</v>
      </c>
    </row>
    <row r="1688" spans="1:48" x14ac:dyDescent="0.25">
      <c r="A1688" t="s">
        <v>2379</v>
      </c>
      <c r="B1688" s="2" t="str">
        <f t="shared" si="1001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1002"/>
        <v>3454.011</v>
      </c>
      <c r="AB1688" s="3">
        <f t="shared" si="1003"/>
        <v>28943.56</v>
      </c>
      <c r="AC1688" s="3" cm="1">
        <f t="array" ref="AC1688">100000000/LvacE(AA1688)</f>
        <v>28943.555546490137</v>
      </c>
      <c r="AD1688" s="10">
        <f t="shared" si="1004"/>
        <v>9.1898470425383905E-3</v>
      </c>
      <c r="AE1688" s="10" t="b">
        <f t="shared" si="1005"/>
        <v>1</v>
      </c>
      <c r="AP1688"/>
      <c r="AQ1688"/>
      <c r="AU1688" s="16" cm="1">
        <f t="array" ref="AU1688">$C1688*EXP(poly_from_str(100000000/$E1688,AU$4342))</f>
        <v>0</v>
      </c>
    </row>
    <row r="1689" spans="1:48" x14ac:dyDescent="0.25">
      <c r="A1689" t="s">
        <v>2380</v>
      </c>
      <c r="B1689" s="2" t="str">
        <f t="shared" si="1001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1002"/>
        <v>3453.0010000000002</v>
      </c>
      <c r="AB1689" s="3">
        <f t="shared" si="1003"/>
        <v>28952.02</v>
      </c>
      <c r="AC1689" s="3" cm="1">
        <f t="array" ref="AC1689">100000000/LvacE(AA1689)</f>
        <v>28952.021257961878</v>
      </c>
      <c r="AD1689" s="10">
        <f t="shared" si="1004"/>
        <v>9.1922984178055382E-3</v>
      </c>
      <c r="AE1689" s="10" t="b">
        <f t="shared" si="1005"/>
        <v>1</v>
      </c>
      <c r="AP1689"/>
      <c r="AQ1689"/>
      <c r="AU1689" s="16" cm="1">
        <f t="array" ref="AU1689">$C1689*EXP(poly_from_str(100000000/$E1689,AU$4342))</f>
        <v>0</v>
      </c>
    </row>
    <row r="1690" spans="1:48" x14ac:dyDescent="0.25">
      <c r="A1690" t="s">
        <v>2381</v>
      </c>
      <c r="B1690" s="2" t="str">
        <f t="shared" si="1001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1002"/>
        <v>3452.9639999999999</v>
      </c>
      <c r="AB1690" s="3">
        <f t="shared" si="1003"/>
        <v>28952.33</v>
      </c>
      <c r="AC1690" s="3" cm="1">
        <f t="array" ref="AC1690">100000000/LvacE(AA1690)</f>
        <v>28952.331482018268</v>
      </c>
      <c r="AD1690" s="10">
        <f t="shared" si="1004"/>
        <v>9.1923882615078337E-3</v>
      </c>
      <c r="AE1690" s="10" t="b">
        <f t="shared" si="1005"/>
        <v>1</v>
      </c>
      <c r="AP1690"/>
      <c r="AQ1690"/>
      <c r="AU1690" s="16" cm="1">
        <f t="array" ref="AU1690">$C1690*EXP(poly_from_str(100000000/$E1690,AU$4342))</f>
        <v>0</v>
      </c>
    </row>
    <row r="1691" spans="1:48" x14ac:dyDescent="0.25">
      <c r="A1691" t="s">
        <v>2382</v>
      </c>
      <c r="B1691" s="2" t="str">
        <f t="shared" si="1001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1024">$G1691&amp;""</f>
        <v>e</v>
      </c>
      <c r="N1691" t="str">
        <f t="shared" ref="N1691:N1693" si="1025">$H1691&amp;""</f>
        <v>7/2</v>
      </c>
      <c r="O1691">
        <v>67679.210000000006</v>
      </c>
      <c r="P1691" t="str">
        <f t="shared" ref="P1691:P1693" si="1026">$J1691&amp;""</f>
        <v>o</v>
      </c>
      <c r="Q1691" t="str">
        <f t="shared" ref="Q1691:Q1693" si="1027">$K1691&amp;""</f>
        <v>7/2</v>
      </c>
      <c r="R1691">
        <v>16</v>
      </c>
      <c r="AA1691" s="10">
        <f t="shared" si="1002"/>
        <v>3452.9270000000001</v>
      </c>
      <c r="AB1691" s="3">
        <f t="shared" si="1003"/>
        <v>28952.639999999999</v>
      </c>
      <c r="AC1691" s="3" cm="1">
        <f t="array" ref="AC1691">100000000/LvacE(AA1691)</f>
        <v>28952.641712722758</v>
      </c>
      <c r="AD1691" s="10">
        <f t="shared" si="1004"/>
        <v>9.192478108098253E-3</v>
      </c>
      <c r="AE1691" s="10" t="b">
        <f t="shared" si="1005"/>
        <v>1</v>
      </c>
      <c r="AJ1691" t="s">
        <v>4750</v>
      </c>
      <c r="AK1691" t="s">
        <v>4861</v>
      </c>
      <c r="AL1691">
        <v>38726.5</v>
      </c>
      <c r="AM1691">
        <v>67679.210000000006</v>
      </c>
      <c r="AN1691" s="10" cm="1">
        <f t="array" ref="AN1691">Lair(100000000/($AM1691-$AL1691))</f>
        <v>3452.918850174276</v>
      </c>
      <c r="AO1691" s="10">
        <f t="shared" ref="AO1691:AO1693" si="1028">100000000/($AM1691-$AL1691)</f>
        <v>3453.9081143008711</v>
      </c>
      <c r="AP1691" s="12">
        <v>141000000</v>
      </c>
      <c r="AQ1691" s="3">
        <v>0.245</v>
      </c>
      <c r="AR1691" s="3">
        <f>LN(AU1691*100000000/($AM1691-$AL1691)/AP1691)</f>
        <v>-7.5304632892740946</v>
      </c>
      <c r="AS1691" s="13">
        <f>EXP(AR$4341*$AM1691+AR$4342)*$AP1691/(100000000/($AM1691-$AL1691))</f>
        <v>22.468601436314877</v>
      </c>
      <c r="AT1691" s="3">
        <f>LN(AS1691/$C1691)</f>
        <v>-0.28907853877649708</v>
      </c>
      <c r="AU1691" s="16" cm="1">
        <f t="array" ref="AU1691">$C1691*EXP(poly_from_str(100000000/$E1691,AU$4342))</f>
        <v>21.901289216165868</v>
      </c>
      <c r="AV1691" s="13">
        <f>LN(AS1691/AU1691)</f>
        <v>2.5573339477798478E-2</v>
      </c>
    </row>
    <row r="1692" spans="1:48" x14ac:dyDescent="0.25">
      <c r="A1692" t="s">
        <v>2383</v>
      </c>
      <c r="B1692" s="2" t="str">
        <f t="shared" si="1001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1024"/>
        <v>o</v>
      </c>
      <c r="N1692" t="str">
        <f t="shared" si="1025"/>
        <v>5/2</v>
      </c>
      <c r="O1692">
        <v>39120.49</v>
      </c>
      <c r="P1692" t="str">
        <f t="shared" si="1026"/>
        <v>e</v>
      </c>
      <c r="Q1692" t="str">
        <f t="shared" si="1027"/>
        <v>3/2</v>
      </c>
      <c r="R1692">
        <v>16</v>
      </c>
      <c r="AA1692" s="10">
        <f t="shared" si="1002"/>
        <v>3449.3919999999998</v>
      </c>
      <c r="AB1692" s="3">
        <f t="shared" si="1003"/>
        <v>28982.31</v>
      </c>
      <c r="AC1692" s="3" cm="1">
        <f t="array" ref="AC1692">100000000/LvacE(AA1692)</f>
        <v>28982.312013512037</v>
      </c>
      <c r="AD1692" s="10">
        <f t="shared" si="1004"/>
        <v>9.2010754378615174E-3</v>
      </c>
      <c r="AE1692" s="10" t="b">
        <f t="shared" si="1005"/>
        <v>1</v>
      </c>
      <c r="AJ1692" t="s">
        <v>4715</v>
      </c>
      <c r="AK1692" t="s">
        <v>4733</v>
      </c>
      <c r="AL1692">
        <v>10138.18</v>
      </c>
      <c r="AM1692">
        <v>39120.400000000001</v>
      </c>
      <c r="AN1692" s="10" cm="1">
        <f t="array" ref="AN1692">Lair(100000000/($AM1692-$AL1692))</f>
        <v>3449.402945970779</v>
      </c>
      <c r="AO1692" s="10">
        <f t="shared" si="1028"/>
        <v>3450.3913088783397</v>
      </c>
      <c r="AU1692" s="16" cm="1">
        <f t="array" ref="AU1692">$C1692*EXP(poly_from_str(100000000/$E1692,AU$4342))</f>
        <v>3.7033379775078989</v>
      </c>
    </row>
    <row r="1693" spans="1:48" x14ac:dyDescent="0.25">
      <c r="A1693" t="s">
        <v>2384</v>
      </c>
      <c r="B1693" s="2" t="str">
        <f t="shared" si="1001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1024"/>
        <v>e</v>
      </c>
      <c r="N1693" t="str">
        <f t="shared" si="1025"/>
        <v>5/2</v>
      </c>
      <c r="O1693">
        <v>64401.03</v>
      </c>
      <c r="P1693" t="str">
        <f t="shared" si="1026"/>
        <v>o</v>
      </c>
      <c r="Q1693" t="str">
        <f t="shared" si="1027"/>
        <v>5/2</v>
      </c>
      <c r="R1693">
        <v>16</v>
      </c>
      <c r="AA1693" s="10">
        <f t="shared" si="1002"/>
        <v>3445.288</v>
      </c>
      <c r="AB1693" s="3">
        <f t="shared" si="1003"/>
        <v>29016.83</v>
      </c>
      <c r="AC1693" s="3" cm="1">
        <f t="array" ref="AC1693">100000000/LvacE(AA1693)</f>
        <v>29016.834470693691</v>
      </c>
      <c r="AD1693" s="10">
        <f t="shared" si="1004"/>
        <v>9.2110898233607307E-3</v>
      </c>
      <c r="AE1693" s="10" t="b">
        <f t="shared" si="1005"/>
        <v>1</v>
      </c>
      <c r="AJ1693" t="s">
        <v>4728</v>
      </c>
      <c r="AK1693" t="s">
        <v>4837</v>
      </c>
      <c r="AL1693">
        <v>35384.17</v>
      </c>
      <c r="AM1693">
        <v>64401.03</v>
      </c>
      <c r="AN1693" s="10" cm="1">
        <f t="array" ref="AN1693">Lair(100000000/($AM1693-$AL1693))</f>
        <v>3445.2849631266013</v>
      </c>
      <c r="AO1693" s="10">
        <f t="shared" si="1028"/>
        <v>3446.272270672981</v>
      </c>
      <c r="AP1693" s="12">
        <v>127000000</v>
      </c>
      <c r="AQ1693" s="3">
        <v>0.29699999999999999</v>
      </c>
      <c r="AR1693" s="3">
        <f>LN(AU1693*100000000/($AM1693-$AL1693)/AP1693)</f>
        <v>-6.8861411451442329</v>
      </c>
      <c r="AS1693" s="13">
        <f>EXP(AR$4341*$AM1693+AR$4342)*$AP1693/(100000000/($AM1693-$AL1693))</f>
        <v>25.939737448197704</v>
      </c>
      <c r="AT1693" s="3">
        <f>LN(AS1693/$C1693)</f>
        <v>-0.65624694809462913</v>
      </c>
      <c r="AU1693" s="16" cm="1">
        <f t="array" ref="AU1693">$C1693*EXP(poly_from_str(100000000/$E1693,AU$4342))</f>
        <v>37.656593861300735</v>
      </c>
      <c r="AV1693" s="13">
        <f>LN(AS1693/AU1693)</f>
        <v>-0.37273201733622863</v>
      </c>
    </row>
    <row r="1694" spans="1:48" x14ac:dyDescent="0.25">
      <c r="A1694" t="s">
        <v>2385</v>
      </c>
      <c r="B1694" s="2" t="str">
        <f t="shared" si="1001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1002"/>
        <v>3440.7080000000001</v>
      </c>
      <c r="AB1694" s="3">
        <f t="shared" si="1003"/>
        <v>29055.46</v>
      </c>
      <c r="AC1694" s="3" cm="1">
        <f t="array" ref="AC1694">100000000/LvacE(AA1694)</f>
        <v>29055.458226656414</v>
      </c>
      <c r="AD1694" s="10">
        <f t="shared" si="1004"/>
        <v>9.2223080579137209E-3</v>
      </c>
      <c r="AE1694" s="10" t="b">
        <f t="shared" si="1005"/>
        <v>1</v>
      </c>
      <c r="AP1694"/>
      <c r="AQ1694"/>
      <c r="AU1694" s="16" cm="1">
        <f t="array" ref="AU1694">$C1694*EXP(poly_from_str(100000000/$E1694,AU$4342))</f>
        <v>0</v>
      </c>
    </row>
    <row r="1695" spans="1:48" x14ac:dyDescent="0.25">
      <c r="A1695" t="s">
        <v>2386</v>
      </c>
      <c r="B1695" s="2" t="str">
        <f t="shared" si="1001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1002"/>
        <v>3440.6669999999999</v>
      </c>
      <c r="AB1695" s="3">
        <f t="shared" si="1003"/>
        <v>29055.8</v>
      </c>
      <c r="AC1695" s="3" cm="1">
        <f t="array" ref="AC1695">100000000/LvacE(AA1695)</f>
        <v>29055.804449519012</v>
      </c>
      <c r="AD1695" s="10">
        <f t="shared" si="1004"/>
        <v>9.2224086855134495E-3</v>
      </c>
      <c r="AE1695" s="10" t="b">
        <f t="shared" si="1005"/>
        <v>1</v>
      </c>
      <c r="AP1695"/>
      <c r="AQ1695"/>
      <c r="AU1695" s="16" cm="1">
        <f t="array" ref="AU1695">$C1695*EXP(poly_from_str(100000000/$E1695,AU$4342))</f>
        <v>0</v>
      </c>
    </row>
    <row r="1696" spans="1:48" x14ac:dyDescent="0.25">
      <c r="A1696" t="s">
        <v>2387</v>
      </c>
      <c r="B1696" s="2" t="str">
        <f t="shared" si="1001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1002"/>
        <v>3440.623</v>
      </c>
      <c r="AB1696" s="3">
        <f t="shared" si="1003"/>
        <v>29056.18</v>
      </c>
      <c r="AC1696" s="3" cm="1">
        <f t="array" ref="AC1696">100000000/LvacE(AA1696)</f>
        <v>29056.176014940564</v>
      </c>
      <c r="AD1696" s="10">
        <f t="shared" si="1004"/>
        <v>9.2225166801100499E-3</v>
      </c>
      <c r="AE1696" s="10" t="b">
        <f t="shared" si="1005"/>
        <v>1</v>
      </c>
      <c r="AJ1696" t="s">
        <v>4810</v>
      </c>
      <c r="AK1696" t="s">
        <v>4854</v>
      </c>
      <c r="AL1696">
        <v>35801.120000000003</v>
      </c>
      <c r="AM1696">
        <v>64857.15</v>
      </c>
      <c r="AN1696" s="10" cm="1">
        <f t="array" ref="AN1696">Lair(100000000/($AM1696-$AL1696))</f>
        <v>3440.6402850600093</v>
      </c>
      <c r="AO1696" s="10">
        <f>100000000/($AM1696-$AL1696)</f>
        <v>3441.6264025057794</v>
      </c>
      <c r="AP1696" s="12">
        <v>767000000</v>
      </c>
      <c r="AQ1696" s="3">
        <v>0.66100000000000003</v>
      </c>
      <c r="AR1696" s="3">
        <f>LN(AU1696*100000000/($AM1696-$AL1696)/AP1696)</f>
        <v>-7.5683151651984515</v>
      </c>
      <c r="AS1696" s="13">
        <f>EXP(AR$4341*$AM1696+AR$4342)*$AP1696/(100000000/($AM1696-$AL1696))</f>
        <v>151.59226336141506</v>
      </c>
      <c r="AT1696" s="3">
        <f>LN(AS1696/$C1696)</f>
        <v>1.0559144573727355E-2</v>
      </c>
      <c r="AU1696" s="16" cm="1">
        <f t="array" ref="AU1696">$C1696*EXP(poly_from_str(100000000/$E1696,AU$4342))</f>
        <v>115.12088659906652</v>
      </c>
      <c r="AV1696" s="13">
        <f>LN(AS1696/AU1696)</f>
        <v>0.2752116745997964</v>
      </c>
    </row>
    <row r="1697" spans="1:48" x14ac:dyDescent="0.25">
      <c r="A1697" t="s">
        <v>2388</v>
      </c>
      <c r="B1697" s="2" t="str">
        <f t="shared" si="1001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1002"/>
        <v>3436.3969999999999</v>
      </c>
      <c r="AB1697" s="3">
        <f t="shared" si="1003"/>
        <v>29091.91</v>
      </c>
      <c r="AC1697" s="3" cm="1">
        <f t="array" ref="AC1697">100000000/LvacE(AA1697)</f>
        <v>29091.907526662264</v>
      </c>
      <c r="AD1697" s="10">
        <f t="shared" si="1004"/>
        <v>9.2329084105623217E-3</v>
      </c>
      <c r="AE1697" s="10" t="b">
        <f t="shared" si="1005"/>
        <v>1</v>
      </c>
      <c r="AP1697"/>
      <c r="AQ1697"/>
      <c r="AU1697" s="16" cm="1">
        <f t="array" ref="AU1697">$C1697*EXP(poly_from_str(100000000/$E1697,AU$4342))</f>
        <v>0</v>
      </c>
    </row>
    <row r="1698" spans="1:48" x14ac:dyDescent="0.25">
      <c r="A1698" t="s">
        <v>2389</v>
      </c>
      <c r="B1698" s="2" t="str">
        <f t="shared" si="1001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1029">$G1698&amp;""</f>
        <v>e</v>
      </c>
      <c r="N1698" t="str">
        <f t="shared" ref="N1698:N1699" si="1030">$H1698&amp;""</f>
        <v>11/2</v>
      </c>
      <c r="O1698">
        <v>62558.67</v>
      </c>
      <c r="P1698" t="str">
        <f t="shared" ref="P1698:P1699" si="1031">$J1698&amp;""</f>
        <v>o</v>
      </c>
      <c r="Q1698" t="str">
        <f t="shared" ref="Q1698:Q1699" si="1032">$K1698&amp;""</f>
        <v>11/2</v>
      </c>
      <c r="R1698">
        <v>16</v>
      </c>
      <c r="AA1698" s="10">
        <f t="shared" si="1002"/>
        <v>3436.3580000000002</v>
      </c>
      <c r="AB1698" s="3">
        <f t="shared" si="1003"/>
        <v>29092.240000000002</v>
      </c>
      <c r="AC1698" s="3" cm="1">
        <f t="array" ref="AC1698">100000000/LvacE(AA1698)</f>
        <v>29092.237687200039</v>
      </c>
      <c r="AD1698" s="10">
        <f t="shared" si="1004"/>
        <v>9.2330044901026073E-3</v>
      </c>
      <c r="AE1698" s="10" t="b">
        <f t="shared" si="1005"/>
        <v>1</v>
      </c>
      <c r="AJ1698" t="s">
        <v>4774</v>
      </c>
      <c r="AK1698" t="s">
        <v>4821</v>
      </c>
      <c r="AL1698">
        <v>33466.410000000003</v>
      </c>
      <c r="AM1698">
        <v>62558.67</v>
      </c>
      <c r="AN1698" s="10" cm="1">
        <f t="array" ref="AN1698">Lair(100000000/($AM1698-$AL1698))</f>
        <v>3436.3553587529973</v>
      </c>
      <c r="AO1698" s="10">
        <f t="shared" ref="AO1698:AO1699" si="1033">100000000/($AM1698-$AL1698)</f>
        <v>3437.3403785061737</v>
      </c>
      <c r="AP1698" s="12">
        <v>540000000</v>
      </c>
      <c r="AQ1698" s="3">
        <v>0.46</v>
      </c>
      <c r="AR1698" s="3">
        <f t="shared" ref="AR1698:AR1699" si="1034">LN(AU1698*100000000/($AM1698-$AL1698)/AP1698)</f>
        <v>-6.5083627862229161</v>
      </c>
      <c r="AS1698" s="13">
        <f t="shared" ref="AS1698:AS1699" si="1035">EXP(AR$4341*$AM1698+AR$4342)*$AP1698/(100000000/($AM1698-$AL1698))</f>
        <v>126.97832187976425</v>
      </c>
      <c r="AT1698" s="3">
        <f t="shared" ref="AT1698:AT1699" si="1036">LN(AS1698/$C1698)</f>
        <v>-0.85976609662758874</v>
      </c>
      <c r="AU1698" s="16" cm="1">
        <f t="array" ref="AU1698">$C1698*EXP(poly_from_str(100000000/$E1698,AU$4342))</f>
        <v>234.22064671338734</v>
      </c>
      <c r="AV1698" s="13">
        <f t="shared" ref="AV1698:AV1699" si="1037">LN(AS1698/AU1698)</f>
        <v>-0.61224722771805118</v>
      </c>
    </row>
    <row r="1699" spans="1:48" x14ac:dyDescent="0.25">
      <c r="A1699" t="s">
        <v>2390</v>
      </c>
      <c r="B1699" s="2" t="str">
        <f t="shared" si="1001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1029"/>
        <v>e</v>
      </c>
      <c r="N1699" t="str">
        <f t="shared" si="1030"/>
        <v>7/2</v>
      </c>
      <c r="O1699">
        <v>67870.759999999995</v>
      </c>
      <c r="P1699" t="str">
        <f t="shared" si="1031"/>
        <v>o</v>
      </c>
      <c r="Q1699" t="str">
        <f t="shared" si="1032"/>
        <v>9/2</v>
      </c>
      <c r="R1699">
        <v>16</v>
      </c>
      <c r="AA1699" s="10">
        <f t="shared" si="1002"/>
        <v>3430.2269999999999</v>
      </c>
      <c r="AB1699" s="3">
        <f t="shared" si="1003"/>
        <v>29144.23</v>
      </c>
      <c r="AC1699" s="3" cm="1">
        <f t="array" ref="AC1699">100000000/LvacE(AA1699)</f>
        <v>29144.233970643872</v>
      </c>
      <c r="AD1699" s="10">
        <f t="shared" si="1004"/>
        <v>9.2481494622139986E-3</v>
      </c>
      <c r="AE1699" s="10" t="b">
        <f t="shared" si="1005"/>
        <v>1</v>
      </c>
      <c r="AJ1699" t="s">
        <v>4750</v>
      </c>
      <c r="AK1699" t="s">
        <v>4755</v>
      </c>
      <c r="AL1699">
        <v>38726.5</v>
      </c>
      <c r="AM1699">
        <v>67870.759999999995</v>
      </c>
      <c r="AN1699" s="10" cm="1">
        <f t="array" ref="AN1699">Lair(100000000/($AM1699-$AL1699))</f>
        <v>3430.2239306981564</v>
      </c>
      <c r="AO1699" s="10">
        <f t="shared" si="1033"/>
        <v>3431.2073801153306</v>
      </c>
      <c r="AP1699" s="12">
        <v>52300000</v>
      </c>
      <c r="AQ1699" s="3">
        <v>0.11700000000000001</v>
      </c>
      <c r="AR1699" s="3">
        <f t="shared" si="1034"/>
        <v>-8.0631534578898467</v>
      </c>
      <c r="AS1699" s="13">
        <f t="shared" si="1035"/>
        <v>8.26950198949657</v>
      </c>
      <c r="AT1699" s="3">
        <f t="shared" si="1036"/>
        <v>0.32081481907007692</v>
      </c>
      <c r="AU1699" s="16" cm="1">
        <f t="array" ref="AU1699">$C1699*EXP(poly_from_str(100000000/$E1699,AU$4342))</f>
        <v>4.8003363436866007</v>
      </c>
      <c r="AV1699" s="13">
        <f t="shared" si="1037"/>
        <v>0.54388830123781151</v>
      </c>
    </row>
    <row r="1700" spans="1:48" x14ac:dyDescent="0.25">
      <c r="A1700" t="s">
        <v>2391</v>
      </c>
      <c r="B1700" s="2" t="str">
        <f t="shared" si="1001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1002"/>
        <v>3429.4839999999999</v>
      </c>
      <c r="AB1700" s="3">
        <f t="shared" si="1003"/>
        <v>29150.55</v>
      </c>
      <c r="AC1700" s="3" cm="1">
        <f t="array" ref="AC1700">100000000/LvacE(AA1700)</f>
        <v>29150.547895033334</v>
      </c>
      <c r="AD1700" s="10">
        <f t="shared" si="1004"/>
        <v>9.2499903622576072E-3</v>
      </c>
      <c r="AE1700" s="10" t="b">
        <f t="shared" si="1005"/>
        <v>1</v>
      </c>
      <c r="AP1700"/>
      <c r="AQ1700"/>
      <c r="AU1700" s="16" cm="1">
        <f t="array" ref="AU1700">$C1700*EXP(poly_from_str(100000000/$E1700,AU$4342))</f>
        <v>0</v>
      </c>
    </row>
    <row r="1701" spans="1:48" x14ac:dyDescent="0.25">
      <c r="A1701" t="s">
        <v>2392</v>
      </c>
      <c r="B1701" s="2" t="str">
        <f t="shared" si="1001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1002"/>
        <v>3429.4160000000002</v>
      </c>
      <c r="AB1701" s="3">
        <f t="shared" si="1003"/>
        <v>29151.13</v>
      </c>
      <c r="AC1701" s="3" cm="1">
        <f t="array" ref="AC1701">100000000/LvacE(AA1701)</f>
        <v>29151.125887478382</v>
      </c>
      <c r="AD1701" s="10">
        <f t="shared" si="1004"/>
        <v>9.2501589027808792E-3</v>
      </c>
      <c r="AE1701" s="10" t="b">
        <f t="shared" si="1005"/>
        <v>1</v>
      </c>
      <c r="AJ1701" t="s">
        <v>4773</v>
      </c>
      <c r="AK1701" t="s">
        <v>4912</v>
      </c>
      <c r="AL1701">
        <v>35828.46</v>
      </c>
      <c r="AM1701">
        <v>64979.55</v>
      </c>
      <c r="AN1701" s="10" cm="1">
        <f t="array" ref="AN1701">Lair(100000000/($AM1701-$AL1701))</f>
        <v>3429.4202164325893</v>
      </c>
      <c r="AO1701" s="10">
        <f>100000000/($AM1701-$AL1701)</f>
        <v>3430.4034600421455</v>
      </c>
      <c r="AP1701" s="12">
        <v>76600000</v>
      </c>
      <c r="AQ1701" s="3">
        <v>0.152</v>
      </c>
      <c r="AR1701" s="3">
        <f>LN(AU1701*100000000/($AM1701-$AL1701)/AP1701)</f>
        <v>-9.5403794042519756</v>
      </c>
      <c r="AS1701" s="13">
        <f>EXP(AR$4341*$AM1701+AR$4342)*$AP1701/(100000000/($AM1701-$AL1701))</f>
        <v>15.050109405327701</v>
      </c>
      <c r="AT1701" s="3">
        <f>LN(AS1701/$C1701)</f>
        <v>2.0182380800655073</v>
      </c>
      <c r="AU1701" s="16" cm="1">
        <f t="array" ref="AU1701">$C1701*EXP(poly_from_str(100000000/$E1701,AU$4342))</f>
        <v>1.605274982202334</v>
      </c>
      <c r="AV1701" s="13">
        <f>LN(AS1701/AU1701)</f>
        <v>2.2380901902435459</v>
      </c>
    </row>
    <row r="1702" spans="1:48" x14ac:dyDescent="0.25">
      <c r="A1702" t="s">
        <v>2393</v>
      </c>
      <c r="B1702" s="2" t="str">
        <f t="shared" si="1001"/>
        <v/>
      </c>
      <c r="C1702">
        <v>4</v>
      </c>
      <c r="D1702" t="s">
        <v>1156</v>
      </c>
      <c r="E1702">
        <v>29164.26</v>
      </c>
      <c r="R1702">
        <v>16</v>
      </c>
      <c r="S1702" t="s">
        <v>22</v>
      </c>
      <c r="AA1702" s="10">
        <f t="shared" si="1002"/>
        <v>3427.8719999999998</v>
      </c>
      <c r="AB1702" s="3">
        <f t="shared" si="1003"/>
        <v>29164.26</v>
      </c>
      <c r="AC1702" s="3" cm="1">
        <f t="array" ref="AC1702">100000000/LvacE(AA1702)</f>
        <v>29164.25588726436</v>
      </c>
      <c r="AD1702" s="10">
        <f t="shared" si="1004"/>
        <v>9.2539884638726828E-3</v>
      </c>
      <c r="AE1702" s="10" t="b">
        <f t="shared" si="1005"/>
        <v>1</v>
      </c>
      <c r="AP1702"/>
      <c r="AQ1702"/>
      <c r="AU1702" s="16" cm="1">
        <f t="array" ref="AU1702">$C1702*EXP(poly_from_str(100000000/$E1702,AU$4342))</f>
        <v>3.2302426849949937</v>
      </c>
    </row>
    <row r="1703" spans="1:48" x14ac:dyDescent="0.25">
      <c r="A1703" t="s">
        <v>2394</v>
      </c>
      <c r="B1703" s="2" t="str">
        <f t="shared" si="1001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1038">$G1703&amp;""</f>
        <v>e</v>
      </c>
      <c r="N1703" t="str">
        <f t="shared" ref="N1703:N1705" si="1039">$H1703&amp;""</f>
        <v>9/2</v>
      </c>
      <c r="O1703">
        <v>60166.2</v>
      </c>
      <c r="P1703" t="str">
        <f t="shared" ref="P1703:P1705" si="1040">$J1703&amp;""</f>
        <v>o</v>
      </c>
      <c r="Q1703" t="str">
        <f t="shared" ref="Q1703:Q1705" si="1041">$K1703&amp;""</f>
        <v>9/2</v>
      </c>
      <c r="R1703">
        <v>16</v>
      </c>
      <c r="AA1703" s="10">
        <f t="shared" si="1002"/>
        <v>3427.018</v>
      </c>
      <c r="AB1703" s="3">
        <f t="shared" si="1003"/>
        <v>29171.52</v>
      </c>
      <c r="AC1703" s="3" cm="1">
        <f t="array" ref="AC1703">100000000/LvacE(AA1703)</f>
        <v>29171.52328722602</v>
      </c>
      <c r="AD1703" s="10">
        <f t="shared" si="1004"/>
        <v>9.2561088513725374E-3</v>
      </c>
      <c r="AE1703" s="10" t="b">
        <f t="shared" si="1005"/>
        <v>1</v>
      </c>
      <c r="AJ1703" t="s">
        <v>4788</v>
      </c>
      <c r="AK1703" t="s">
        <v>4726</v>
      </c>
      <c r="AL1703">
        <v>30994.55</v>
      </c>
      <c r="AM1703">
        <v>60166.2</v>
      </c>
      <c r="AN1703" s="10" cm="1">
        <f t="array" ref="AN1703">Lair(100000000/($AM1703-$AL1703))</f>
        <v>3427.0031080170097</v>
      </c>
      <c r="AO1703" s="10">
        <f t="shared" ref="AO1703:AO1705" si="1042">100000000/($AM1703-$AL1703)</f>
        <v>3427.9857327233808</v>
      </c>
      <c r="AP1703" s="12">
        <v>563000000</v>
      </c>
      <c r="AQ1703" s="3">
        <v>0.497</v>
      </c>
      <c r="AR1703" s="3">
        <f t="shared" ref="AR1703:AR1704" si="1043">LN(AU1703*100000000/($AM1703-$AL1703)/AP1703)</f>
        <v>-6.0048182857415782</v>
      </c>
      <c r="AS1703" s="13">
        <f t="shared" ref="AS1703:AS1704" si="1044">EXP(AR$4341*$AM1703+AR$4342)*$AP1703/(100000000/($AM1703-$AL1703))</f>
        <v>158.85616593647313</v>
      </c>
      <c r="AT1703" s="3">
        <f t="shared" ref="AT1703:AT1704" si="1045">LN(AS1703/$C1703)</f>
        <v>-1.1466089223663616</v>
      </c>
      <c r="AU1703" s="16" cm="1">
        <f t="array" ref="AU1703">$C1703*EXP(poly_from_str(100000000/$E1703,AU$4342))</f>
        <v>405.14449555982668</v>
      </c>
      <c r="AV1703" s="13">
        <f t="shared" ref="AV1703:AV1704" si="1046">LN(AS1703/AU1703)</f>
        <v>-0.93624460658022457</v>
      </c>
    </row>
    <row r="1704" spans="1:48" x14ac:dyDescent="0.25">
      <c r="A1704" t="s">
        <v>2395</v>
      </c>
      <c r="B1704" s="2" t="str">
        <f t="shared" si="1001"/>
        <v/>
      </c>
      <c r="C1704">
        <v>50</v>
      </c>
      <c r="D1704" t="s">
        <v>1156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1038"/>
        <v>e</v>
      </c>
      <c r="N1704" t="str">
        <f t="shared" si="1039"/>
        <v>7/2</v>
      </c>
      <c r="O1704">
        <v>64979.55</v>
      </c>
      <c r="P1704" t="str">
        <f t="shared" si="1040"/>
        <v>o</v>
      </c>
      <c r="Q1704" t="str">
        <f t="shared" si="1041"/>
        <v>7/2</v>
      </c>
      <c r="R1704">
        <v>16</v>
      </c>
      <c r="AA1704" s="10">
        <f t="shared" si="1002"/>
        <v>3426.2669999999998</v>
      </c>
      <c r="AB1704" s="3">
        <f t="shared" si="1003"/>
        <v>29177.919999999998</v>
      </c>
      <c r="AC1704" s="3" cm="1">
        <f t="array" ref="AC1704">100000000/LvacE(AA1704)</f>
        <v>29177.917167669249</v>
      </c>
      <c r="AD1704" s="10">
        <f t="shared" si="1004"/>
        <v>9.2579748116053493E-3</v>
      </c>
      <c r="AE1704" s="10" t="b">
        <f t="shared" si="1005"/>
        <v>1</v>
      </c>
      <c r="AJ1704" t="s">
        <v>4810</v>
      </c>
      <c r="AK1704" t="s">
        <v>4912</v>
      </c>
      <c r="AL1704">
        <v>35801.120000000003</v>
      </c>
      <c r="AM1704">
        <v>64979.55</v>
      </c>
      <c r="AN1704" s="10" cm="1">
        <f t="array" ref="AN1704">Lair(100000000/($AM1704-$AL1704))</f>
        <v>3426.206773389948</v>
      </c>
      <c r="AO1704" s="10">
        <f t="shared" si="1042"/>
        <v>3427.1891942095581</v>
      </c>
      <c r="AP1704" s="12">
        <v>147000000</v>
      </c>
      <c r="AQ1704" s="3">
        <v>0.30499999999999999</v>
      </c>
      <c r="AR1704" s="3">
        <f t="shared" si="1043"/>
        <v>-6.9618204582589716</v>
      </c>
      <c r="AS1704" s="13">
        <f t="shared" si="1044"/>
        <v>28.909151429017051</v>
      </c>
      <c r="AT1704" s="3">
        <f t="shared" si="1045"/>
        <v>-0.54786480199196641</v>
      </c>
      <c r="AU1704" s="16" cm="1">
        <f t="array" ref="AU1704">$C1704*EXP(poly_from_str(100000000/$E1704,AU$4342))</f>
        <v>40.634886018191267</v>
      </c>
      <c r="AV1704" s="13">
        <f t="shared" si="1046"/>
        <v>-0.34046875574945867</v>
      </c>
    </row>
    <row r="1705" spans="1:48" x14ac:dyDescent="0.25">
      <c r="A1705" t="s">
        <v>2396</v>
      </c>
      <c r="B1705" s="2" t="str">
        <f t="shared" si="1001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1038"/>
        <v>o</v>
      </c>
      <c r="N1705" t="str">
        <f t="shared" si="1039"/>
        <v>3/2</v>
      </c>
      <c r="O1705">
        <v>38549.9</v>
      </c>
      <c r="P1705" t="str">
        <f t="shared" si="1040"/>
        <v>e</v>
      </c>
      <c r="Q1705" t="str">
        <f t="shared" si="1041"/>
        <v>1/2</v>
      </c>
      <c r="R1705">
        <v>16</v>
      </c>
      <c r="S1705" t="s">
        <v>97</v>
      </c>
      <c r="AA1705" s="10">
        <f t="shared" si="1002"/>
        <v>3426.1170000000002</v>
      </c>
      <c r="AB1705" s="3">
        <f t="shared" si="1003"/>
        <v>29179.19</v>
      </c>
      <c r="AC1705" s="3" cm="1">
        <f t="array" ref="AC1705">100000000/LvacE(AA1705)</f>
        <v>29179.194576820788</v>
      </c>
      <c r="AD1705" s="10">
        <f t="shared" si="1004"/>
        <v>9.2583476537463245E-3</v>
      </c>
      <c r="AE1705" s="10" t="b">
        <f t="shared" si="1005"/>
        <v>1</v>
      </c>
      <c r="AJ1705" t="s">
        <v>4967</v>
      </c>
      <c r="AK1705" t="s">
        <v>4704</v>
      </c>
      <c r="AL1705">
        <v>9370.66</v>
      </c>
      <c r="AM1705">
        <v>38549.9</v>
      </c>
      <c r="AN1705" s="10" cm="1">
        <f t="array" ref="AN1705">Lair(100000000/($AM1705-$AL1705))</f>
        <v>3426.1116608135112</v>
      </c>
      <c r="AO1705" s="10">
        <f t="shared" si="1042"/>
        <v>3427.0940572818208</v>
      </c>
      <c r="AU1705" s="16" cm="1">
        <f t="array" ref="AU1705">$C1705*EXP(poly_from_str(100000000/$E1705,AU$4342))</f>
        <v>4.0658805101395732</v>
      </c>
    </row>
    <row r="1706" spans="1:48" x14ac:dyDescent="0.25">
      <c r="A1706" t="s">
        <v>2397</v>
      </c>
      <c r="B1706" s="2" t="str">
        <f t="shared" si="1001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1002"/>
        <v>3422.3580000000002</v>
      </c>
      <c r="AB1706" s="3">
        <f t="shared" si="1003"/>
        <v>29211.24</v>
      </c>
      <c r="AC1706" s="3" cm="1">
        <f t="array" ref="AC1706">100000000/LvacE(AA1706)</f>
        <v>29211.243012068608</v>
      </c>
      <c r="AD1706" s="10">
        <f t="shared" si="1004"/>
        <v>9.2677070914364609E-3</v>
      </c>
      <c r="AE1706" s="10" t="b">
        <f t="shared" si="1005"/>
        <v>1</v>
      </c>
      <c r="AP1706"/>
      <c r="AQ1706"/>
      <c r="AU1706" s="16" cm="1">
        <f t="array" ref="AU1706">$C1706*EXP(poly_from_str(100000000/$E1706,AU$4342))</f>
        <v>0</v>
      </c>
    </row>
    <row r="1707" spans="1:48" x14ac:dyDescent="0.25">
      <c r="A1707" t="s">
        <v>2398</v>
      </c>
      <c r="B1707" s="2" t="str">
        <f t="shared" si="1001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1002"/>
        <v>3422.317</v>
      </c>
      <c r="AB1707" s="3">
        <f t="shared" si="1003"/>
        <v>29211.59</v>
      </c>
      <c r="AC1707" s="3" cm="1">
        <f t="array" ref="AC1707">100000000/LvacE(AA1707)</f>
        <v>29211.592957470453</v>
      </c>
      <c r="AD1707" s="10">
        <f t="shared" si="1004"/>
        <v>9.267809346339112E-3</v>
      </c>
      <c r="AE1707" s="10" t="b">
        <f t="shared" si="1005"/>
        <v>1</v>
      </c>
      <c r="AP1707"/>
      <c r="AQ1707"/>
      <c r="AU1707" s="16" cm="1">
        <f t="array" ref="AU1707">$C1707*EXP(poly_from_str(100000000/$E1707,AU$4342))</f>
        <v>0</v>
      </c>
    </row>
    <row r="1708" spans="1:48" x14ac:dyDescent="0.25">
      <c r="A1708" t="s">
        <v>2399</v>
      </c>
      <c r="B1708" s="2" t="str">
        <f t="shared" si="1001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1002"/>
        <v>3422.2719999999999</v>
      </c>
      <c r="AB1708" s="3">
        <f t="shared" si="1003"/>
        <v>29211.98</v>
      </c>
      <c r="AC1708" s="3" cm="1">
        <f t="array" ref="AC1708">100000000/LvacE(AA1708)</f>
        <v>29211.977053538514</v>
      </c>
      <c r="AD1708" s="10">
        <f t="shared" si="1004"/>
        <v>9.2679215815602203E-3</v>
      </c>
      <c r="AE1708" s="10" t="b">
        <f t="shared" si="1005"/>
        <v>1</v>
      </c>
      <c r="AP1708"/>
      <c r="AQ1708"/>
      <c r="AU1708" s="16" cm="1">
        <f t="array" ref="AU1708">$C1708*EXP(poly_from_str(100000000/$E1708,AU$4342))</f>
        <v>0</v>
      </c>
    </row>
    <row r="1709" spans="1:48" x14ac:dyDescent="0.25">
      <c r="A1709" t="s">
        <v>2400</v>
      </c>
      <c r="B1709" s="2" t="str">
        <f t="shared" si="1001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1047">$G1709&amp;""</f>
        <v>e</v>
      </c>
      <c r="N1709" t="str">
        <f t="shared" ref="N1709:N1710" si="1048">$H1709&amp;""</f>
        <v>11/2</v>
      </c>
      <c r="O1709">
        <v>62678.7</v>
      </c>
      <c r="P1709" t="str">
        <f t="shared" ref="P1709:P1710" si="1049">$J1709&amp;""</f>
        <v>o</v>
      </c>
      <c r="Q1709" t="str">
        <f t="shared" ref="Q1709:Q1710" si="1050">$K1709&amp;""</f>
        <v>13/2</v>
      </c>
      <c r="R1709">
        <v>16</v>
      </c>
      <c r="AA1709" s="10">
        <f t="shared" si="1002"/>
        <v>3422.2220000000002</v>
      </c>
      <c r="AB1709" s="3">
        <f t="shared" si="1003"/>
        <v>29212.400000000001</v>
      </c>
      <c r="AC1709" s="3" cm="1">
        <f t="array" ref="AC1709">100000000/LvacE(AA1709)</f>
        <v>29212.40383879398</v>
      </c>
      <c r="AD1709" s="10">
        <f t="shared" si="1004"/>
        <v>9.2680462925540733E-3</v>
      </c>
      <c r="AE1709" s="10" t="b">
        <f t="shared" si="1005"/>
        <v>1</v>
      </c>
      <c r="AJ1709" t="s">
        <v>4774</v>
      </c>
      <c r="AK1709" t="s">
        <v>4888</v>
      </c>
      <c r="AL1709">
        <v>33466.410000000003</v>
      </c>
      <c r="AM1709">
        <v>62678.7</v>
      </c>
      <c r="AN1709" s="10" cm="1">
        <f t="array" ref="AN1709">Lair(100000000/($AM1709-$AL1709))</f>
        <v>3422.2353310273925</v>
      </c>
      <c r="AO1709" s="10">
        <f t="shared" ref="AO1709:AO1710" si="1051">100000000/($AM1709-$AL1709)</f>
        <v>3423.216735148118</v>
      </c>
      <c r="AP1709" s="12">
        <v>870000000</v>
      </c>
      <c r="AQ1709" s="3">
        <v>0.63200000000000001</v>
      </c>
      <c r="AR1709" s="3">
        <f t="shared" ref="AR1709:AR1710" si="1052">LN(AU1709*100000000/($AM1709-$AL1709)/AP1709)</f>
        <v>-6.933370289101692</v>
      </c>
      <c r="AS1709" s="13">
        <f t="shared" ref="AS1709:AS1710" si="1053">EXP(AR$4341*$AM1709+AR$4342)*$AP1709/(100000000/($AM1709-$AL1709))</f>
        <v>203.57814564389548</v>
      </c>
      <c r="AT1709" s="3">
        <f t="shared" ref="AT1709:AT1710" si="1054">LN(AS1709/$C1709)</f>
        <v>-0.38773253540767277</v>
      </c>
      <c r="AU1709" s="16" cm="1">
        <f t="array" ref="AU1709">$C1709*EXP(poly_from_str(100000000/$E1709,AU$4342))</f>
        <v>247.71961618461245</v>
      </c>
      <c r="AV1709" s="13">
        <f t="shared" ref="AV1709:AV1710" si="1055">LN(AS1709/AU1709)</f>
        <v>-0.19624758742812637</v>
      </c>
    </row>
    <row r="1710" spans="1:48" x14ac:dyDescent="0.25">
      <c r="A1710" t="s">
        <v>2401</v>
      </c>
      <c r="B1710" s="2" t="str">
        <f t="shared" si="1001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1047"/>
        <v>e</v>
      </c>
      <c r="N1710" t="str">
        <f t="shared" si="1048"/>
        <v>9/2</v>
      </c>
      <c r="O1710">
        <v>67679.210000000006</v>
      </c>
      <c r="P1710" t="str">
        <f t="shared" si="1049"/>
        <v>o</v>
      </c>
      <c r="Q1710" t="str">
        <f t="shared" si="1050"/>
        <v>7/2</v>
      </c>
      <c r="R1710">
        <v>16</v>
      </c>
      <c r="AA1710" s="10">
        <f t="shared" si="1002"/>
        <v>3420.0709999999999</v>
      </c>
      <c r="AB1710" s="3">
        <f t="shared" si="1003"/>
        <v>29230.78</v>
      </c>
      <c r="AC1710" s="3" cm="1">
        <f t="array" ref="AC1710">100000000/LvacE(AA1710)</f>
        <v>29230.775955715621</v>
      </c>
      <c r="AD1710" s="10">
        <f t="shared" si="1004"/>
        <v>9.2734165395565796E-3</v>
      </c>
      <c r="AE1710" s="10" t="b">
        <f t="shared" si="1005"/>
        <v>1</v>
      </c>
      <c r="AJ1710" t="s">
        <v>4816</v>
      </c>
      <c r="AK1710" t="s">
        <v>4861</v>
      </c>
      <c r="AL1710">
        <v>38448.379999999997</v>
      </c>
      <c r="AM1710">
        <v>67679.210000000006</v>
      </c>
      <c r="AN1710" s="10" cm="1">
        <f t="array" ref="AN1710">Lair(100000000/($AM1710-$AL1710))</f>
        <v>3420.0646708973422</v>
      </c>
      <c r="AO1710" s="10">
        <f t="shared" si="1051"/>
        <v>3421.0455194053666</v>
      </c>
      <c r="AP1710" s="12">
        <v>600000000</v>
      </c>
      <c r="AQ1710" s="3">
        <v>0.73799999999999999</v>
      </c>
      <c r="AR1710" s="3">
        <f t="shared" si="1052"/>
        <v>-7.2471623986770242</v>
      </c>
      <c r="AS1710" s="13">
        <f t="shared" si="1053"/>
        <v>96.529510763788792</v>
      </c>
      <c r="AT1710" s="3">
        <f t="shared" si="1054"/>
        <v>-0.44078652147825748</v>
      </c>
      <c r="AU1710" s="16" cm="1">
        <f t="array" ref="AU1710">$C1710*EXP(poly_from_str(100000000/$E1710,AU$4342))</f>
        <v>124.90785728219164</v>
      </c>
      <c r="AV1710" s="13">
        <f t="shared" si="1055"/>
        <v>-0.25772755111927254</v>
      </c>
    </row>
    <row r="1711" spans="1:48" x14ac:dyDescent="0.25">
      <c r="A1711" t="s">
        <v>2402</v>
      </c>
      <c r="B1711" s="2" t="str">
        <f t="shared" si="1001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1002"/>
        <v>3420.0059999999999</v>
      </c>
      <c r="AB1711" s="3">
        <f t="shared" si="1003"/>
        <v>29231.33</v>
      </c>
      <c r="AC1711" s="3" cm="1">
        <f t="array" ref="AC1711">100000000/LvacE(AA1711)</f>
        <v>29231.331493296351</v>
      </c>
      <c r="AD1711" s="10">
        <f t="shared" si="1004"/>
        <v>9.2735789781211442E-3</v>
      </c>
      <c r="AE1711" s="10" t="b">
        <f t="shared" si="1005"/>
        <v>1</v>
      </c>
      <c r="AP1711"/>
      <c r="AQ1711"/>
      <c r="AU1711" s="16" cm="1">
        <f t="array" ref="AU1711">$C1711*EXP(poly_from_str(100000000/$E1711,AU$4342))</f>
        <v>0</v>
      </c>
    </row>
    <row r="1712" spans="1:48" x14ac:dyDescent="0.25">
      <c r="A1712" t="s">
        <v>2403</v>
      </c>
      <c r="B1712" s="2" t="str">
        <f t="shared" si="1001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1002"/>
        <v>3419.9490000000001</v>
      </c>
      <c r="AB1712" s="3">
        <f t="shared" si="1003"/>
        <v>29231.82</v>
      </c>
      <c r="AC1712" s="3" cm="1">
        <f t="array" ref="AC1712">100000000/LvacE(AA1712)</f>
        <v>29231.818674398703</v>
      </c>
      <c r="AD1712" s="10">
        <f t="shared" si="1004"/>
        <v>9.2737214318691155E-3</v>
      </c>
      <c r="AE1712" s="10" t="b">
        <f t="shared" si="1005"/>
        <v>1</v>
      </c>
      <c r="AP1712"/>
      <c r="AQ1712"/>
      <c r="AU1712" s="16" cm="1">
        <f t="array" ref="AU1712">$C1712*EXP(poly_from_str(100000000/$E1712,AU$4342))</f>
        <v>0</v>
      </c>
    </row>
    <row r="1713" spans="1:48" x14ac:dyDescent="0.25">
      <c r="A1713" t="s">
        <v>2404</v>
      </c>
      <c r="B1713" s="2" t="str">
        <f t="shared" si="1001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1002"/>
        <v>3419.904</v>
      </c>
      <c r="AB1713" s="3">
        <f t="shared" si="1003"/>
        <v>29232.2</v>
      </c>
      <c r="AC1713" s="3" cm="1">
        <f t="array" ref="AC1713">100000000/LvacE(AA1713)</f>
        <v>29232.203302529208</v>
      </c>
      <c r="AD1713" s="10">
        <f t="shared" si="1004"/>
        <v>9.2738339003856848E-3</v>
      </c>
      <c r="AE1713" s="10" t="b">
        <f t="shared" si="1005"/>
        <v>1</v>
      </c>
      <c r="AP1713"/>
      <c r="AQ1713"/>
      <c r="AU1713" s="16" cm="1">
        <f t="array" ref="AU1713">$C1713*EXP(poly_from_str(100000000/$E1713,AU$4342))</f>
        <v>0</v>
      </c>
    </row>
    <row r="1714" spans="1:48" x14ac:dyDescent="0.25">
      <c r="A1714" t="s">
        <v>2405</v>
      </c>
      <c r="B1714" s="2" t="str">
        <f t="shared" si="1001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1002"/>
        <v>3419.8649999999998</v>
      </c>
      <c r="AB1714" s="3">
        <f t="shared" si="1003"/>
        <v>29232.54</v>
      </c>
      <c r="AC1714" s="3" cm="1">
        <f t="array" ref="AC1714">100000000/LvacE(AA1714)</f>
        <v>29232.536655096283</v>
      </c>
      <c r="AD1714" s="10">
        <f t="shared" si="1004"/>
        <v>9.273931376691226E-3</v>
      </c>
      <c r="AE1714" s="10" t="b">
        <f t="shared" si="1005"/>
        <v>1</v>
      </c>
      <c r="AP1714"/>
      <c r="AQ1714"/>
      <c r="AU1714" s="16" cm="1">
        <f t="array" ref="AU1714">$C1714*EXP(poly_from_str(100000000/$E1714,AU$4342))</f>
        <v>0</v>
      </c>
    </row>
    <row r="1715" spans="1:48" x14ac:dyDescent="0.25">
      <c r="A1715" t="s">
        <v>2406</v>
      </c>
      <c r="B1715" s="2" t="str">
        <f t="shared" si="1001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1056">$G1715&amp;""</f>
        <v>o</v>
      </c>
      <c r="N1715" t="str">
        <f t="shared" ref="N1715:N1719" si="1057">$H1715&amp;""</f>
        <v>7/2</v>
      </c>
      <c r="O1715">
        <v>40098.660000000003</v>
      </c>
      <c r="P1715" t="str">
        <f t="shared" ref="P1715:P1719" si="1058">$J1715&amp;""</f>
        <v>e</v>
      </c>
      <c r="Q1715" t="str">
        <f t="shared" ref="Q1715:Q1719" si="1059">$K1715&amp;""</f>
        <v>5/2</v>
      </c>
      <c r="R1715">
        <v>16</v>
      </c>
      <c r="S1715" t="s">
        <v>6</v>
      </c>
      <c r="AA1715" s="10">
        <f t="shared" si="1002"/>
        <v>3419.038</v>
      </c>
      <c r="AB1715" s="3">
        <f t="shared" si="1003"/>
        <v>29239.61</v>
      </c>
      <c r="AC1715" s="3" cm="1">
        <f t="array" ref="AC1715">100000000/LvacE(AA1715)</f>
        <v>29239.607229361209</v>
      </c>
      <c r="AD1715" s="10">
        <f t="shared" si="1004"/>
        <v>9.2759991596117405E-3</v>
      </c>
      <c r="AE1715" s="10" t="b">
        <f t="shared" si="1005"/>
        <v>1</v>
      </c>
      <c r="AJ1715" t="s">
        <v>4817</v>
      </c>
      <c r="AK1715" t="s">
        <v>4737</v>
      </c>
      <c r="AL1715">
        <v>10859.06</v>
      </c>
      <c r="AM1715">
        <v>40098.660000000003</v>
      </c>
      <c r="AN1715" s="10" cm="1">
        <f t="array" ref="AN1715">Lair(100000000/($AM1715-$AL1715))</f>
        <v>3419.0388397589136</v>
      </c>
      <c r="AO1715" s="10">
        <f t="shared" ref="AO1715:AO1719" si="1060">100000000/($AM1715-$AL1715)</f>
        <v>3420.0194257103371</v>
      </c>
      <c r="AU1715" s="16" cm="1">
        <f t="array" ref="AU1715">$C1715*EXP(poly_from_str(100000000/$E1715,AU$4342))</f>
        <v>6.6886811742451311</v>
      </c>
    </row>
    <row r="1716" spans="1:48" x14ac:dyDescent="0.25">
      <c r="A1716" t="s">
        <v>2407</v>
      </c>
      <c r="B1716" s="2" t="str">
        <f t="shared" si="1001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1056"/>
        <v>e</v>
      </c>
      <c r="N1716" t="str">
        <f t="shared" si="1057"/>
        <v>11/2</v>
      </c>
      <c r="O1716">
        <v>65922.42</v>
      </c>
      <c r="P1716" t="str">
        <f t="shared" si="1058"/>
        <v>o</v>
      </c>
      <c r="Q1716" t="str">
        <f t="shared" si="1059"/>
        <v>11/2</v>
      </c>
      <c r="R1716">
        <v>16</v>
      </c>
      <c r="AA1716" s="10">
        <f t="shared" si="1002"/>
        <v>3417.607</v>
      </c>
      <c r="AB1716" s="3">
        <f t="shared" si="1003"/>
        <v>29251.85</v>
      </c>
      <c r="AC1716" s="3" cm="1">
        <f t="array" ref="AC1716">100000000/LvacE(AA1716)</f>
        <v>29251.849885159281</v>
      </c>
      <c r="AD1716" s="10">
        <f t="shared" si="1004"/>
        <v>9.2795806956679459E-3</v>
      </c>
      <c r="AE1716" s="10" t="b">
        <f t="shared" si="1005"/>
        <v>1</v>
      </c>
      <c r="AJ1716" t="s">
        <v>4772</v>
      </c>
      <c r="AK1716" t="s">
        <v>4833</v>
      </c>
      <c r="AL1716">
        <v>36670.57</v>
      </c>
      <c r="AM1716">
        <v>65922.42</v>
      </c>
      <c r="AN1716" s="10" cm="1">
        <f t="array" ref="AN1716">Lair(100000000/($AM1716-$AL1716))</f>
        <v>3417.6069809720589</v>
      </c>
      <c r="AO1716" s="10">
        <f t="shared" si="1060"/>
        <v>3418.587200467663</v>
      </c>
      <c r="AP1716" s="12">
        <v>1170000</v>
      </c>
      <c r="AQ1716" s="3">
        <v>4.2999999999999997E-2</v>
      </c>
      <c r="AR1716" s="3"/>
      <c r="AS1716" s="13">
        <f t="shared" ref="AS1716:AS1719" si="1061">EXP(AR$4341*$AM1716+AR$4342)*$AP1716/(100000000/($AM1716-$AL1716))</f>
        <v>0.21491409450211638</v>
      </c>
      <c r="AT1716" s="3"/>
      <c r="AU1716" s="16" cm="1">
        <f t="array" ref="AU1716">$C1716*EXP(poly_from_str(100000000/$E1716,AU$4342))</f>
        <v>1.6815224161488276</v>
      </c>
    </row>
    <row r="1717" spans="1:48" x14ac:dyDescent="0.25">
      <c r="A1717" t="s">
        <v>2408</v>
      </c>
      <c r="B1717" s="2" t="str">
        <f t="shared" si="1001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1056"/>
        <v>o</v>
      </c>
      <c r="N1717" t="str">
        <f t="shared" si="1057"/>
        <v>9/2</v>
      </c>
      <c r="O1717">
        <v>41023.980000000003</v>
      </c>
      <c r="P1717" t="str">
        <f t="shared" si="1058"/>
        <v>e</v>
      </c>
      <c r="Q1717" t="str">
        <f t="shared" si="1059"/>
        <v>7/2</v>
      </c>
      <c r="R1717">
        <v>16</v>
      </c>
      <c r="S1717" t="s">
        <v>6</v>
      </c>
      <c r="AA1717" s="10">
        <f t="shared" si="1002"/>
        <v>3416.3890000000001</v>
      </c>
      <c r="AB1717" s="3">
        <f t="shared" si="1003"/>
        <v>29262.28</v>
      </c>
      <c r="AC1717" s="3" cm="1">
        <f t="array" ref="AC1717">100000000/LvacE(AA1717)</f>
        <v>29262.278338187971</v>
      </c>
      <c r="AD1717" s="10">
        <f t="shared" si="1004"/>
        <v>9.2826326771026334E-3</v>
      </c>
      <c r="AE1717" s="10" t="b">
        <f t="shared" si="1005"/>
        <v>1</v>
      </c>
      <c r="AJ1717" t="s">
        <v>4695</v>
      </c>
      <c r="AK1717" t="s">
        <v>4711</v>
      </c>
      <c r="AL1717">
        <v>11761.69</v>
      </c>
      <c r="AM1717">
        <v>41023.980000000003</v>
      </c>
      <c r="AN1717" s="10" cm="1">
        <f t="array" ref="AN1717">Lair(100000000/($AM1717-$AL1717))</f>
        <v>3416.3876328235547</v>
      </c>
      <c r="AO1717" s="10">
        <f t="shared" si="1060"/>
        <v>3417.3675402711133</v>
      </c>
      <c r="AP1717" s="12">
        <v>10600000</v>
      </c>
      <c r="AQ1717" s="3">
        <v>0.17</v>
      </c>
      <c r="AR1717" s="3">
        <f t="shared" ref="AR1717:AR1719" si="1062">LN(AU1717*100000000/($AM1717-$AL1717)/AP1717)</f>
        <v>-6.2625373473426542</v>
      </c>
      <c r="AS1717" s="13">
        <f t="shared" si="1061"/>
        <v>12.619426926580381</v>
      </c>
      <c r="AT1717" s="3">
        <f t="shared" ref="AT1717:AT1719" si="1063">LN(AS1717/$C1717)</f>
        <v>0.58932729708852816</v>
      </c>
      <c r="AU1717" s="16" cm="1">
        <f t="array" ref="AU1717">$C1717*EXP(poly_from_str(100000000/$E1717,AU$4342))</f>
        <v>5.9132843411381488</v>
      </c>
      <c r="AV1717" s="13">
        <f t="shared" ref="AV1717:AV1719" si="1064">LN(AS1717/AU1717)</f>
        <v>0.75803604300348348</v>
      </c>
    </row>
    <row r="1718" spans="1:48" x14ac:dyDescent="0.25">
      <c r="A1718" t="s">
        <v>2409</v>
      </c>
      <c r="B1718" s="2" t="str">
        <f t="shared" si="1001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1056"/>
        <v>e</v>
      </c>
      <c r="N1718" t="str">
        <f t="shared" si="1057"/>
        <v>9/2</v>
      </c>
      <c r="O1718">
        <v>69138.28</v>
      </c>
      <c r="P1718" t="str">
        <f t="shared" si="1058"/>
        <v>o</v>
      </c>
      <c r="Q1718" t="str">
        <f t="shared" si="1059"/>
        <v>9/2</v>
      </c>
      <c r="R1718">
        <v>16</v>
      </c>
      <c r="AA1718" s="10">
        <f t="shared" si="1002"/>
        <v>3415.7139999999999</v>
      </c>
      <c r="AB1718" s="3">
        <f t="shared" si="1003"/>
        <v>29268.06</v>
      </c>
      <c r="AC1718" s="3" cm="1">
        <f t="array" ref="AC1718">100000000/LvacE(AA1718)</f>
        <v>29268.060856039127</v>
      </c>
      <c r="AD1718" s="10">
        <f t="shared" si="1004"/>
        <v>9.2843254523123329E-3</v>
      </c>
      <c r="AE1718" s="10" t="b">
        <f t="shared" si="1005"/>
        <v>1</v>
      </c>
      <c r="AJ1718" t="s">
        <v>4731</v>
      </c>
      <c r="AK1718" t="s">
        <v>4879</v>
      </c>
      <c r="AL1718">
        <v>39870.17</v>
      </c>
      <c r="AM1718">
        <v>69138.28</v>
      </c>
      <c r="AN1718" s="10" cm="1">
        <f t="array" ref="AN1718">Lair(100000000/($AM1718-$AL1718))</f>
        <v>3415.7082588998892</v>
      </c>
      <c r="AO1718" s="10">
        <f t="shared" si="1060"/>
        <v>3416.6879924942195</v>
      </c>
      <c r="AP1718" s="12">
        <v>2990000</v>
      </c>
      <c r="AQ1718" s="3">
        <v>5.3999999999999999E-2</v>
      </c>
      <c r="AR1718" s="3">
        <f t="shared" si="1062"/>
        <v>-4.994534883311661</v>
      </c>
      <c r="AS1718" s="13">
        <f t="shared" si="1061"/>
        <v>0.43169696017920162</v>
      </c>
      <c r="AT1718" s="3">
        <f t="shared" si="1063"/>
        <v>-2.7859415670129675</v>
      </c>
      <c r="AU1718" s="16" cm="1">
        <f t="array" ref="AU1718">$C1718*EXP(poly_from_str(100000000/$E1718,AU$4342))</f>
        <v>5.9288017360454175</v>
      </c>
      <c r="AV1718" s="13">
        <f t="shared" si="1064"/>
        <v>-2.6198535424282721</v>
      </c>
    </row>
    <row r="1719" spans="1:48" x14ac:dyDescent="0.25">
      <c r="A1719" t="s">
        <v>2410</v>
      </c>
      <c r="B1719" s="2" t="str">
        <f t="shared" si="1001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1056"/>
        <v>e</v>
      </c>
      <c r="N1719" t="str">
        <f t="shared" si="1057"/>
        <v>9/2</v>
      </c>
      <c r="O1719">
        <v>58158.080000000002</v>
      </c>
      <c r="P1719" t="str">
        <f t="shared" si="1058"/>
        <v>o</v>
      </c>
      <c r="Q1719" t="str">
        <f t="shared" si="1059"/>
        <v>7/2</v>
      </c>
      <c r="R1719">
        <v>16</v>
      </c>
      <c r="AA1719" s="10">
        <f t="shared" si="1002"/>
        <v>3415.152</v>
      </c>
      <c r="AB1719" s="3">
        <f t="shared" si="1003"/>
        <v>29272.880000000001</v>
      </c>
      <c r="AC1719" s="3" cm="1">
        <f t="array" ref="AC1719">100000000/LvacE(AA1719)</f>
        <v>29272.877081328072</v>
      </c>
      <c r="AD1719" s="10">
        <f t="shared" si="1004"/>
        <v>9.2857356102053548E-3</v>
      </c>
      <c r="AE1719" s="10" t="b">
        <f t="shared" si="1005"/>
        <v>1</v>
      </c>
      <c r="AJ1719" t="s">
        <v>4742</v>
      </c>
      <c r="AK1719" t="s">
        <v>4902</v>
      </c>
      <c r="AL1719">
        <v>28885.14</v>
      </c>
      <c r="AM1719">
        <v>58158.080000000002</v>
      </c>
      <c r="AN1719" s="10" cm="1">
        <f t="array" ref="AN1719">Lair(100000000/($AM1719-$AL1719))</f>
        <v>3415.1446537013849</v>
      </c>
      <c r="AO1719" s="10">
        <f t="shared" si="1060"/>
        <v>3416.1242430722705</v>
      </c>
      <c r="AP1719" s="12">
        <v>443000000</v>
      </c>
      <c r="AQ1719" s="3">
        <v>0.58099999999999996</v>
      </c>
      <c r="AR1719" s="3">
        <f t="shared" si="1062"/>
        <v>-6.2329414608975968</v>
      </c>
      <c r="AS1719" s="13">
        <f t="shared" si="1061"/>
        <v>145.83245729267702</v>
      </c>
      <c r="AT1719" s="3">
        <f t="shared" si="1063"/>
        <v>-0.72132406468061361</v>
      </c>
      <c r="AU1719" s="16" cm="1">
        <f t="array" ref="AU1719">$C1719*EXP(poly_from_str(100000000/$E1719,AU$4342))</f>
        <v>254.6466612067681</v>
      </c>
      <c r="AV1719" s="13">
        <f t="shared" si="1064"/>
        <v>-0.55741853196637481</v>
      </c>
    </row>
    <row r="1720" spans="1:48" x14ac:dyDescent="0.25">
      <c r="A1720" t="s">
        <v>2411</v>
      </c>
      <c r="B1720" s="2" t="str">
        <f t="shared" si="1001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1002"/>
        <v>3415.105</v>
      </c>
      <c r="AB1720" s="3">
        <f t="shared" si="1003"/>
        <v>29273.279999999999</v>
      </c>
      <c r="AC1720" s="3" cm="1">
        <f t="array" ref="AC1720">100000000/LvacE(AA1720)</f>
        <v>29273.279933557042</v>
      </c>
      <c r="AD1720" s="10">
        <f t="shared" si="1004"/>
        <v>9.2858535731049317E-3</v>
      </c>
      <c r="AE1720" s="10" t="b">
        <f t="shared" si="1005"/>
        <v>1</v>
      </c>
      <c r="AP1720"/>
      <c r="AQ1720"/>
      <c r="AU1720" s="16" cm="1">
        <f t="array" ref="AU1720">$C1720*EXP(poly_from_str(100000000/$E1720,AU$4342))</f>
        <v>0</v>
      </c>
    </row>
    <row r="1721" spans="1:48" x14ac:dyDescent="0.25">
      <c r="A1721" t="s">
        <v>2412</v>
      </c>
      <c r="B1721" s="2" t="str">
        <f t="shared" si="1001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1002"/>
        <v>3415.0650000000001</v>
      </c>
      <c r="AB1721" s="3">
        <f t="shared" si="1003"/>
        <v>29273.62</v>
      </c>
      <c r="AC1721" s="3" cm="1">
        <f t="array" ref="AC1721">100000000/LvacE(AA1721)</f>
        <v>29273.622795251715</v>
      </c>
      <c r="AD1721" s="10">
        <f t="shared" si="1004"/>
        <v>9.2859539708983162E-3</v>
      </c>
      <c r="AE1721" s="10" t="b">
        <f t="shared" si="1005"/>
        <v>1</v>
      </c>
      <c r="AP1721"/>
      <c r="AQ1721"/>
      <c r="AU1721" s="16" cm="1">
        <f t="array" ref="AU1721">$C1721*EXP(poly_from_str(100000000/$E1721,AU$4342))</f>
        <v>0</v>
      </c>
    </row>
    <row r="1722" spans="1:48" x14ac:dyDescent="0.25">
      <c r="A1722" t="s">
        <v>2413</v>
      </c>
      <c r="B1722" s="2" t="str">
        <f t="shared" si="1001"/>
        <v/>
      </c>
      <c r="C1722">
        <v>2</v>
      </c>
      <c r="D1722" t="s">
        <v>14</v>
      </c>
      <c r="E1722" t="s">
        <v>2414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1002"/>
        <v>3414.2930000000001</v>
      </c>
      <c r="AB1722" s="3">
        <f t="shared" si="1003"/>
        <v>29280.240000000002</v>
      </c>
      <c r="AC1722" s="3" cm="1">
        <f t="array" ref="AC1722">100000000/LvacE(AA1722)</f>
        <v>29280.241599611694</v>
      </c>
      <c r="AD1722" s="10">
        <f t="shared" si="1004"/>
        <v>9.287892339587097E-3</v>
      </c>
      <c r="AE1722" s="10" t="b">
        <f t="shared" si="1005"/>
        <v>1</v>
      </c>
      <c r="AJ1722" t="s">
        <v>4793</v>
      </c>
      <c r="AK1722" t="s">
        <v>4833</v>
      </c>
      <c r="AL1722">
        <v>36642.129999999997</v>
      </c>
      <c r="AM1722">
        <v>65922.42</v>
      </c>
      <c r="AN1722" s="10" cm="1">
        <f t="array" ref="AN1722">Lair(100000000/($AM1722-$AL1722))</f>
        <v>3414.2873503781875</v>
      </c>
      <c r="AO1722" s="10">
        <f>100000000/($AM1722-$AL1722)</f>
        <v>3415.2667203774276</v>
      </c>
      <c r="AP1722" s="12">
        <v>2790000</v>
      </c>
      <c r="AQ1722" s="3">
        <v>7.1999999999999995E-2</v>
      </c>
      <c r="AR1722" s="3">
        <f>LN(AU1722*100000000/($AM1722-$AL1722)/AP1722)</f>
        <v>-6.1729722204077939</v>
      </c>
      <c r="AS1722" s="13">
        <f>EXP(AR$4341*$AM1722+AR$4342)*$AP1722/(100000000/($AM1722-$AL1722))</f>
        <v>0.51298572010209631</v>
      </c>
      <c r="AT1722" s="3">
        <f>LN(AS1722/$C1722)</f>
        <v>-1.3606544508170348</v>
      </c>
      <c r="AU1722" s="16" cm="1">
        <f t="array" ref="AU1722">$C1722*EXP(poly_from_str(100000000/$E1722,AU$4342))</f>
        <v>1.7033025821209196</v>
      </c>
      <c r="AV1722" s="13">
        <f>LN(AS1722/AU1722)</f>
        <v>-1.2000763320922634</v>
      </c>
    </row>
    <row r="1723" spans="1:48" x14ac:dyDescent="0.25">
      <c r="A1723" t="s">
        <v>2415</v>
      </c>
      <c r="B1723" s="2" t="str">
        <f t="shared" si="1001"/>
        <v/>
      </c>
      <c r="C1723">
        <v>1</v>
      </c>
      <c r="D1723" t="s">
        <v>1156</v>
      </c>
      <c r="E1723" t="s">
        <v>2416</v>
      </c>
      <c r="R1723">
        <v>17</v>
      </c>
      <c r="S1723" t="s">
        <v>22</v>
      </c>
      <c r="AA1723" s="10">
        <f t="shared" si="1002"/>
        <v>3413.9209999999998</v>
      </c>
      <c r="AB1723" s="3">
        <f t="shared" si="1003"/>
        <v>29283.43</v>
      </c>
      <c r="AC1723" s="3" cm="1">
        <f t="array" ref="AC1723">100000000/LvacE(AA1723)</f>
        <v>29283.43204035913</v>
      </c>
      <c r="AD1723" s="10">
        <f t="shared" si="1004"/>
        <v>9.2888268416813288E-3</v>
      </c>
      <c r="AE1723" s="10" t="b">
        <f t="shared" si="1005"/>
        <v>1</v>
      </c>
      <c r="AP1723"/>
      <c r="AQ1723"/>
      <c r="AU1723" s="16" cm="1">
        <f t="array" ref="AU1723">$C1723*EXP(poly_from_str(100000000/$E1723,AU$4342))</f>
        <v>0.85287874993804447</v>
      </c>
    </row>
    <row r="1724" spans="1:48" x14ac:dyDescent="0.25">
      <c r="A1724" t="s">
        <v>2417</v>
      </c>
      <c r="B1724" s="2" t="str">
        <f t="shared" si="1001"/>
        <v/>
      </c>
      <c r="C1724">
        <v>500</v>
      </c>
      <c r="D1724" t="s">
        <v>1156</v>
      </c>
      <c r="E1724" t="s">
        <v>2418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1002"/>
        <v>3413.21</v>
      </c>
      <c r="AB1724" s="3">
        <f t="shared" si="1003"/>
        <v>29289.53</v>
      </c>
      <c r="AC1724" s="3" cm="1">
        <f t="array" ref="AC1724">100000000/LvacE(AA1724)</f>
        <v>29289.531833613582</v>
      </c>
      <c r="AD1724" s="10">
        <f t="shared" si="1004"/>
        <v>9.2906137966333145E-3</v>
      </c>
      <c r="AE1724" s="10" t="b">
        <f t="shared" si="1005"/>
        <v>1</v>
      </c>
      <c r="AJ1724" t="s">
        <v>4742</v>
      </c>
      <c r="AK1724" t="s">
        <v>4698</v>
      </c>
      <c r="AL1724">
        <v>28885.14</v>
      </c>
      <c r="AM1724">
        <v>58174.15</v>
      </c>
      <c r="AN1724" s="10" cm="1">
        <f t="array" ref="AN1724">Lair(100000000/($AM1724-$AL1724))</f>
        <v>3413.270808421591</v>
      </c>
      <c r="AO1724" s="10">
        <f>100000000/($AM1724-$AL1724)</f>
        <v>3414.2499183140703</v>
      </c>
      <c r="AP1724" s="12">
        <v>636000000</v>
      </c>
      <c r="AQ1724" s="3">
        <v>0.72699999999999998</v>
      </c>
      <c r="AR1724" s="3">
        <f>LN(AU1724*100000000/($AM1724-$AL1724)/AP1724)</f>
        <v>-6.076775042000568</v>
      </c>
      <c r="AS1724" s="13">
        <f>EXP(AR$4341*$AM1724+AR$4342)*$AP1724/(100000000/($AM1724-$AL1724))</f>
        <v>209.22914153617594</v>
      </c>
      <c r="AT1724" s="3">
        <f>LN(AS1724/$C1724)</f>
        <v>-0.87117807604663389</v>
      </c>
      <c r="AU1724" s="16" cm="1">
        <f t="array" ref="AU1724">$C1724*EXP(poly_from_str(100000000/$E1724,AU$4342))</f>
        <v>427.61402359405122</v>
      </c>
      <c r="AV1724" s="13">
        <f>LN(AS1724/AU1724)</f>
        <v>-0.71479095229473577</v>
      </c>
    </row>
    <row r="1725" spans="1:48" x14ac:dyDescent="0.25">
      <c r="A1725" t="s">
        <v>2419</v>
      </c>
      <c r="B1725" s="2" t="str">
        <f t="shared" si="1001"/>
        <v/>
      </c>
      <c r="C1725">
        <v>6</v>
      </c>
      <c r="E1725" t="s">
        <v>2420</v>
      </c>
      <c r="R1725">
        <v>17</v>
      </c>
      <c r="S1725" t="s">
        <v>22</v>
      </c>
      <c r="AA1725" s="10">
        <f t="shared" si="1002"/>
        <v>3412.665</v>
      </c>
      <c r="AB1725" s="3">
        <f t="shared" si="1003"/>
        <v>29294.21</v>
      </c>
      <c r="AC1725" s="3" cm="1">
        <f t="array" ref="AC1725">100000000/LvacE(AA1725)</f>
        <v>29294.209204598297</v>
      </c>
      <c r="AD1725" s="10">
        <f t="shared" si="1004"/>
        <v>9.2919843003339483E-3</v>
      </c>
      <c r="AE1725" s="10" t="b">
        <f t="shared" si="1005"/>
        <v>1</v>
      </c>
      <c r="AP1725"/>
      <c r="AQ1725"/>
      <c r="AU1725" s="16" cm="1">
        <f t="array" ref="AU1725">$C1725*EXP(poly_from_str(100000000/$E1725,AU$4342))</f>
        <v>5.1421940211443014</v>
      </c>
    </row>
    <row r="1726" spans="1:48" x14ac:dyDescent="0.25">
      <c r="A1726" t="s">
        <v>2421</v>
      </c>
      <c r="B1726" s="2" t="str">
        <f t="shared" si="1001"/>
        <v/>
      </c>
      <c r="C1726">
        <v>7</v>
      </c>
      <c r="D1726" t="s">
        <v>170</v>
      </c>
      <c r="E1726" t="s">
        <v>2422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1002"/>
        <v>3412.607</v>
      </c>
      <c r="AB1726" s="3">
        <f t="shared" si="1003"/>
        <v>29294.71</v>
      </c>
      <c r="AC1726" s="3" cm="1">
        <f t="array" ref="AC1726">100000000/LvacE(AA1726)</f>
        <v>29294.707067810239</v>
      </c>
      <c r="AD1726" s="10">
        <f t="shared" si="1004"/>
        <v>9.2921301907618187E-3</v>
      </c>
      <c r="AE1726" s="10" t="b">
        <f t="shared" si="1005"/>
        <v>1</v>
      </c>
      <c r="AJ1726" t="s">
        <v>4784</v>
      </c>
      <c r="AK1726" t="s">
        <v>4893</v>
      </c>
      <c r="AL1726">
        <v>50869.3</v>
      </c>
      <c r="AM1726">
        <v>80164.039999999994</v>
      </c>
      <c r="AN1726" s="10" cm="1">
        <f t="array" ref="AN1726">Lair(100000000/($AM1726-$AL1726))</f>
        <v>3412.6031579258283</v>
      </c>
      <c r="AO1726" s="10">
        <f>100000000/($AM1726-$AL1726)</f>
        <v>3413.5820969907918</v>
      </c>
      <c r="AP1726" s="12">
        <v>186000000</v>
      </c>
      <c r="AQ1726" s="3">
        <v>0.625</v>
      </c>
      <c r="AR1726" s="3">
        <f>LN(AU1726*100000000/($AM1726-$AL1726)/AP1726)</f>
        <v>-9.1138842144158794</v>
      </c>
      <c r="AS1726" s="13">
        <f>EXP(AR$4341*$AM1726+AR$4342)*$AP1726/(100000000/($AM1726-$AL1726))</f>
        <v>11.750593564403658</v>
      </c>
      <c r="AT1726" s="3">
        <f>LN(AS1726/$C1726)</f>
        <v>0.51799360637841885</v>
      </c>
      <c r="AU1726" s="16" cm="1">
        <f t="array" ref="AU1726">$C1726*EXP(poly_from_str(100000000/$E1726,AU$4342))</f>
        <v>6.0005763923998918</v>
      </c>
      <c r="AV1726" s="13">
        <f>LN(AS1726/AU1726)</f>
        <v>0.67204822541968012</v>
      </c>
    </row>
    <row r="1727" spans="1:48" x14ac:dyDescent="0.25">
      <c r="A1727" t="s">
        <v>2423</v>
      </c>
      <c r="B1727" s="2" t="str">
        <f t="shared" si="1001"/>
        <v/>
      </c>
      <c r="C1727">
        <v>0</v>
      </c>
      <c r="E1727" t="s">
        <v>2424</v>
      </c>
      <c r="R1727">
        <v>17</v>
      </c>
      <c r="S1727" t="s">
        <v>22</v>
      </c>
      <c r="AA1727" s="10">
        <f t="shared" si="1002"/>
        <v>3403.0940000000001</v>
      </c>
      <c r="AB1727" s="3">
        <f t="shared" si="1003"/>
        <v>29376.59</v>
      </c>
      <c r="AC1727" s="3" cm="1">
        <f t="array" ref="AC1727">100000000/LvacE(AA1727)</f>
        <v>29376.594865098348</v>
      </c>
      <c r="AD1727" s="10">
        <f t="shared" si="1004"/>
        <v>9.3161597747664845E-3</v>
      </c>
      <c r="AE1727" s="10" t="b">
        <f t="shared" si="1005"/>
        <v>1</v>
      </c>
      <c r="AP1727"/>
      <c r="AQ1727"/>
      <c r="AU1727" s="16" cm="1">
        <f t="array" ref="AU1727">$C1727*EXP(poly_from_str(100000000/$E1727,AU$4342))</f>
        <v>0</v>
      </c>
    </row>
    <row r="1728" spans="1:48" x14ac:dyDescent="0.25">
      <c r="A1728" t="s">
        <v>2425</v>
      </c>
      <c r="B1728" s="2" t="str">
        <f t="shared" si="1001"/>
        <v/>
      </c>
      <c r="C1728">
        <v>0</v>
      </c>
      <c r="E1728" t="s">
        <v>2426</v>
      </c>
      <c r="R1728">
        <v>17</v>
      </c>
      <c r="S1728" t="s">
        <v>22</v>
      </c>
      <c r="AA1728" s="10">
        <f t="shared" si="1002"/>
        <v>3403.0360000000001</v>
      </c>
      <c r="AB1728" s="3">
        <f t="shared" si="1003"/>
        <v>29377.1</v>
      </c>
      <c r="AC1728" s="3" cm="1">
        <f t="array" ref="AC1728">100000000/LvacE(AA1728)</f>
        <v>29377.095532546591</v>
      </c>
      <c r="AD1728" s="10">
        <f t="shared" si="1004"/>
        <v>9.3163068995665323E-3</v>
      </c>
      <c r="AE1728" s="10" t="b">
        <f t="shared" si="1005"/>
        <v>1</v>
      </c>
      <c r="AP1728"/>
      <c r="AQ1728"/>
      <c r="AU1728" s="16" cm="1">
        <f t="array" ref="AU1728">$C1728*EXP(poly_from_str(100000000/$E1728,AU$4342))</f>
        <v>0</v>
      </c>
    </row>
    <row r="1729" spans="1:48" x14ac:dyDescent="0.25">
      <c r="A1729" t="s">
        <v>2427</v>
      </c>
      <c r="B1729" s="2" t="str">
        <f t="shared" si="1001"/>
        <v/>
      </c>
      <c r="C1729">
        <v>50</v>
      </c>
      <c r="D1729" t="s">
        <v>170</v>
      </c>
      <c r="E1729" t="s">
        <v>2428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1002"/>
        <v>3402.9690000000001</v>
      </c>
      <c r="AB1729" s="3">
        <f t="shared" si="1003"/>
        <v>29377.67</v>
      </c>
      <c r="AC1729" s="3" cm="1">
        <f t="array" ref="AC1729">100000000/LvacE(AA1729)</f>
        <v>29377.67391101475</v>
      </c>
      <c r="AD1729" s="10">
        <f t="shared" si="1004"/>
        <v>9.316476863441123E-3</v>
      </c>
      <c r="AE1729" s="10" t="b">
        <f t="shared" si="1005"/>
        <v>1</v>
      </c>
      <c r="AJ1729" t="s">
        <v>4777</v>
      </c>
      <c r="AK1729" t="s">
        <v>4916</v>
      </c>
      <c r="AL1729">
        <v>52026.9</v>
      </c>
      <c r="AM1729">
        <v>81404.52</v>
      </c>
      <c r="AN1729" s="10" cm="1">
        <f t="array" ref="AN1729">Lair(100000000/($AM1729-$AL1729))</f>
        <v>3402.9752393795698</v>
      </c>
      <c r="AO1729" s="10">
        <f>100000000/($AM1729-$AL1729)</f>
        <v>3403.9517156257039</v>
      </c>
      <c r="AP1729" s="12">
        <v>476000000</v>
      </c>
      <c r="AQ1729" s="3">
        <v>0.63800000000000001</v>
      </c>
      <c r="AR1729" s="3">
        <f>LN(AU1729*100000000/($AM1729-$AL1729)/AP1729)</f>
        <v>-8.0533377664748595</v>
      </c>
      <c r="AS1729" s="13">
        <f>EXP(AR$4341*$AM1729+AR$4342)*$AP1729/(100000000/($AM1729-$AL1729))</f>
        <v>27.475813635137456</v>
      </c>
      <c r="AT1729" s="3">
        <f>LN(AS1729/$C1729)</f>
        <v>-0.59871689192316191</v>
      </c>
      <c r="AU1729" s="16" cm="1">
        <f t="array" ref="AU1729">$C1729*EXP(poly_from_str(100000000/$E1729,AU$4342))</f>
        <v>44.473715010174701</v>
      </c>
      <c r="AV1729" s="13">
        <f>LN(AS1729/AU1729)</f>
        <v>-0.48159222722198208</v>
      </c>
    </row>
    <row r="1730" spans="1:48" x14ac:dyDescent="0.25">
      <c r="A1730" t="s">
        <v>2429</v>
      </c>
      <c r="B1730" s="2" t="str">
        <f t="shared" ref="B1730:B1793" si="1065">IF(OR(A1730=A1729,A1730=A1731),IF(B1729="",1,B1729+1),"")</f>
        <v/>
      </c>
      <c r="C1730">
        <v>7</v>
      </c>
      <c r="E1730" t="s">
        <v>2430</v>
      </c>
      <c r="R1730">
        <v>17</v>
      </c>
      <c r="S1730" t="s">
        <v>22</v>
      </c>
      <c r="AA1730" s="10">
        <f t="shared" si="1002"/>
        <v>3399.788</v>
      </c>
      <c r="AB1730" s="3">
        <f t="shared" si="1003"/>
        <v>29405.16</v>
      </c>
      <c r="AC1730" s="3" cm="1">
        <f t="array" ref="AC1730">100000000/LvacE(AA1730)</f>
        <v>29405.160172140211</v>
      </c>
      <c r="AD1730" s="10">
        <f t="shared" si="1004"/>
        <v>9.3245579095138018E-3</v>
      </c>
      <c r="AE1730" s="10" t="b">
        <f t="shared" si="1005"/>
        <v>1</v>
      </c>
      <c r="AP1730"/>
      <c r="AQ1730"/>
      <c r="AU1730" s="16" cm="1">
        <f t="array" ref="AU1730">$C1730*EXP(poly_from_str(100000000/$E1730,AU$4342))</f>
        <v>6.3018599092034231</v>
      </c>
    </row>
    <row r="1731" spans="1:48" x14ac:dyDescent="0.25">
      <c r="A1731" t="s">
        <v>2431</v>
      </c>
      <c r="B1731" s="2" t="str">
        <f t="shared" si="1065"/>
        <v/>
      </c>
      <c r="C1731">
        <v>3</v>
      </c>
      <c r="D1731" t="s">
        <v>134</v>
      </c>
      <c r="E1731" t="s">
        <v>2432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1066">$G1731&amp;""</f>
        <v>e</v>
      </c>
      <c r="N1731" t="str">
        <f t="shared" ref="N1731:N1733" si="1067">$H1731&amp;""</f>
        <v>7/2</v>
      </c>
      <c r="O1731">
        <v>64235.61</v>
      </c>
      <c r="P1731" t="str">
        <f t="shared" ref="P1731:P1733" si="1068">$J1731&amp;""</f>
        <v>o</v>
      </c>
      <c r="Q1731" t="str">
        <f t="shared" ref="Q1731:Q1733" si="1069">$K1731&amp;""</f>
        <v>9/2</v>
      </c>
      <c r="R1731">
        <v>17</v>
      </c>
      <c r="AA1731" s="10">
        <f t="shared" ref="AA1731:AA1794" si="1070">ROUND($A1731,3)+0</f>
        <v>3399.2069999999999</v>
      </c>
      <c r="AB1731" s="3">
        <f t="shared" ref="AB1731:AB1794" si="1071">ROUND($E1731,2)+0</f>
        <v>29410.19</v>
      </c>
      <c r="AC1731" s="3" cm="1">
        <f t="array" ref="AC1731">100000000/LvacE(AA1731)</f>
        <v>29410.186010149468</v>
      </c>
      <c r="AD1731" s="10">
        <f t="shared" ref="AD1731:AD1794" si="1072">0.0005/$AA1731*AC1731+0.005</f>
        <v>9.3260363387915879E-3</v>
      </c>
      <c r="AE1731" s="10" t="b">
        <f t="shared" ref="AE1731:AE1794" si="1073">ABS(AB1731-AC1731)&lt;AD1731</f>
        <v>1</v>
      </c>
      <c r="AJ1731" t="s">
        <v>4761</v>
      </c>
      <c r="AK1731" t="s">
        <v>4842</v>
      </c>
      <c r="AL1731">
        <v>34825.49</v>
      </c>
      <c r="AM1731">
        <v>64235.61</v>
      </c>
      <c r="AN1731" s="10" cm="1">
        <f t="array" ref="AN1731">Lair(100000000/($AM1731-$AL1731))</f>
        <v>3399.2146240361894</v>
      </c>
      <c r="AO1731" s="10">
        <f t="shared" ref="AO1731:AO1733" si="1074">100000000/($AM1731-$AL1731)</f>
        <v>3400.1901386325521</v>
      </c>
      <c r="AP1731" s="12">
        <v>18200000</v>
      </c>
      <c r="AQ1731" s="3">
        <v>0.223</v>
      </c>
      <c r="AR1731" s="3">
        <f t="shared" ref="AR1731:AR1733" si="1075">LN(AU1731*100000000/($AM1731-$AL1731)/AP1731)</f>
        <v>-7.5896016426056896</v>
      </c>
      <c r="AS1731" s="13">
        <f t="shared" ref="AS1731:AS1733" si="1076">EXP(AR$4341*$AM1731+AR$4342)*$AP1731/(100000000/($AM1731-$AL1731))</f>
        <v>3.8147937196849893</v>
      </c>
      <c r="AT1731" s="3">
        <f t="shared" ref="AT1731:AT1733" si="1077">LN(AS1731/$C1731)</f>
        <v>0.24027430375059422</v>
      </c>
      <c r="AU1731" s="16" cm="1">
        <f t="array" ref="AU1731">$C1731*EXP(poly_from_str(100000000/$E1731,AU$4342))</f>
        <v>2.7067370727678051</v>
      </c>
      <c r="AV1731" s="13">
        <f t="shared" ref="AV1731:AV1733" si="1078">LN(AS1731/AU1731)</f>
        <v>0.34314271514520395</v>
      </c>
    </row>
    <row r="1732" spans="1:48" x14ac:dyDescent="0.25">
      <c r="A1732" t="s">
        <v>2433</v>
      </c>
      <c r="B1732" s="2" t="str">
        <f t="shared" si="1065"/>
        <v/>
      </c>
      <c r="C1732">
        <v>1</v>
      </c>
      <c r="D1732" t="s">
        <v>14</v>
      </c>
      <c r="E1732" t="s">
        <v>2434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1066"/>
        <v>e</v>
      </c>
      <c r="N1732" t="str">
        <f t="shared" si="1067"/>
        <v>1/2</v>
      </c>
      <c r="O1732">
        <v>67965.47</v>
      </c>
      <c r="P1732" t="str">
        <f t="shared" si="1068"/>
        <v>o</v>
      </c>
      <c r="Q1732" t="str">
        <f t="shared" si="1069"/>
        <v>3/2</v>
      </c>
      <c r="R1732">
        <v>17</v>
      </c>
      <c r="AA1732" s="10">
        <f t="shared" si="1070"/>
        <v>3398.587</v>
      </c>
      <c r="AB1732" s="3">
        <f t="shared" si="1071"/>
        <v>29415.55</v>
      </c>
      <c r="AC1732" s="3" cm="1">
        <f t="array" ref="AC1732">100000000/LvacE(AA1732)</f>
        <v>29415.55110593851</v>
      </c>
      <c r="AD1732" s="10">
        <f t="shared" si="1072"/>
        <v>9.3276148449250394E-3</v>
      </c>
      <c r="AE1732" s="10" t="b">
        <f t="shared" si="1073"/>
        <v>1</v>
      </c>
      <c r="AJ1732" t="s">
        <v>4704</v>
      </c>
      <c r="AK1732" t="s">
        <v>4835</v>
      </c>
      <c r="AL1732">
        <v>38549.9</v>
      </c>
      <c r="AM1732">
        <v>67965.47</v>
      </c>
      <c r="AN1732" s="10" cm="1">
        <f t="array" ref="AN1732">Lair(100000000/($AM1732-$AL1732))</f>
        <v>3398.5848113453558</v>
      </c>
      <c r="AO1732" s="10">
        <f t="shared" si="1074"/>
        <v>3399.5601649058644</v>
      </c>
      <c r="AP1732" s="12">
        <v>5070000</v>
      </c>
      <c r="AQ1732" s="3">
        <v>0.193</v>
      </c>
      <c r="AR1732" s="3">
        <f t="shared" si="1075"/>
        <v>-7.4079806790975296</v>
      </c>
      <c r="AS1732" s="13">
        <f t="shared" si="1076"/>
        <v>0.80338373803950003</v>
      </c>
      <c r="AT1732" s="3">
        <f t="shared" si="1077"/>
        <v>-0.21892279868638617</v>
      </c>
      <c r="AU1732" s="16" cm="1">
        <f t="array" ref="AU1732">$C1732*EXP(poly_from_str(100000000/$E1732,AU$4342))</f>
        <v>0.90435740021357836</v>
      </c>
      <c r="AV1732" s="13">
        <f t="shared" si="1078"/>
        <v>-0.11839215618309919</v>
      </c>
    </row>
    <row r="1733" spans="1:48" x14ac:dyDescent="0.25">
      <c r="A1733" t="s">
        <v>2435</v>
      </c>
      <c r="B1733" s="2" t="str">
        <f t="shared" si="1065"/>
        <v/>
      </c>
      <c r="C1733">
        <v>35</v>
      </c>
      <c r="D1733" t="s">
        <v>134</v>
      </c>
      <c r="E1733" t="s">
        <v>2436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1066"/>
        <v>e</v>
      </c>
      <c r="N1733" t="str">
        <f t="shared" si="1067"/>
        <v>9/2</v>
      </c>
      <c r="O1733">
        <v>67870.759999999995</v>
      </c>
      <c r="P1733" t="str">
        <f t="shared" si="1068"/>
        <v>o</v>
      </c>
      <c r="Q1733" t="str">
        <f t="shared" si="1069"/>
        <v>9/2</v>
      </c>
      <c r="R1733">
        <v>17</v>
      </c>
      <c r="AA1733" s="10">
        <f t="shared" si="1070"/>
        <v>3397.7869999999998</v>
      </c>
      <c r="AB1733" s="3">
        <f t="shared" si="1071"/>
        <v>29422.48</v>
      </c>
      <c r="AC1733" s="3" cm="1">
        <f t="array" ref="AC1733">100000000/LvacE(AA1733)</f>
        <v>29422.476703160093</v>
      </c>
      <c r="AD1733" s="10">
        <f t="shared" si="1072"/>
        <v>9.3296529039577965E-3</v>
      </c>
      <c r="AE1733" s="10" t="b">
        <f t="shared" si="1073"/>
        <v>1</v>
      </c>
      <c r="AJ1733" t="s">
        <v>4816</v>
      </c>
      <c r="AK1733" t="s">
        <v>4755</v>
      </c>
      <c r="AL1733">
        <v>38448.379999999997</v>
      </c>
      <c r="AM1733">
        <v>67870.759999999995</v>
      </c>
      <c r="AN1733" s="10" cm="1">
        <f t="array" ref="AN1733">Lair(100000000/($AM1733-$AL1733))</f>
        <v>3397.7981623048258</v>
      </c>
      <c r="AO1733" s="10">
        <f t="shared" si="1074"/>
        <v>3398.773314735246</v>
      </c>
      <c r="AP1733" s="12">
        <v>104000000</v>
      </c>
      <c r="AQ1733" s="3">
        <v>0.28699999999999998</v>
      </c>
      <c r="AR1733" s="3">
        <f t="shared" si="1075"/>
        <v>-6.870896688209875</v>
      </c>
      <c r="AS1733" s="13">
        <f t="shared" si="1076"/>
        <v>16.601058273288796</v>
      </c>
      <c r="AT1733" s="3">
        <f t="shared" si="1077"/>
        <v>-0.74588161675601095</v>
      </c>
      <c r="AU1733" s="16" cm="1">
        <f t="array" ref="AU1733">$C1733*EXP(poly_from_str(100000000/$E1733,AU$4342))</f>
        <v>31.748164516877502</v>
      </c>
      <c r="AV1733" s="13">
        <f t="shared" si="1078"/>
        <v>-0.6483684684421599</v>
      </c>
    </row>
    <row r="1734" spans="1:48" x14ac:dyDescent="0.25">
      <c r="A1734" t="s">
        <v>2437</v>
      </c>
      <c r="B1734" s="2" t="str">
        <f t="shared" si="1065"/>
        <v/>
      </c>
      <c r="C1734">
        <v>0</v>
      </c>
      <c r="E1734" t="s">
        <v>2438</v>
      </c>
      <c r="R1734">
        <v>17</v>
      </c>
      <c r="S1734" t="s">
        <v>22</v>
      </c>
      <c r="AA1734" s="10">
        <f t="shared" si="1070"/>
        <v>3397.7339999999999</v>
      </c>
      <c r="AB1734" s="3">
        <f t="shared" si="1071"/>
        <v>29422.94</v>
      </c>
      <c r="AC1734" s="3" cm="1">
        <f t="array" ref="AC1734">100000000/LvacE(AA1734)</f>
        <v>29422.935639156764</v>
      </c>
      <c r="AD1734" s="10">
        <f t="shared" si="1072"/>
        <v>9.3297879762154375E-3</v>
      </c>
      <c r="AE1734" s="10" t="b">
        <f t="shared" si="1073"/>
        <v>1</v>
      </c>
      <c r="AP1734"/>
      <c r="AQ1734"/>
      <c r="AU1734" s="16" cm="1">
        <f t="array" ref="AU1734">$C1734*EXP(poly_from_str(100000000/$E1734,AU$4342))</f>
        <v>0</v>
      </c>
    </row>
    <row r="1735" spans="1:48" x14ac:dyDescent="0.25">
      <c r="A1735" t="s">
        <v>2439</v>
      </c>
      <c r="B1735" s="2" t="str">
        <f t="shared" si="1065"/>
        <v/>
      </c>
      <c r="C1735">
        <v>0</v>
      </c>
      <c r="E1735" t="s">
        <v>2440</v>
      </c>
      <c r="R1735">
        <v>17</v>
      </c>
      <c r="S1735" t="s">
        <v>22</v>
      </c>
      <c r="AA1735" s="10">
        <f t="shared" si="1070"/>
        <v>3397.55</v>
      </c>
      <c r="AB1735" s="3">
        <f t="shared" si="1071"/>
        <v>29424.53</v>
      </c>
      <c r="AC1735" s="3" cm="1">
        <f t="array" ref="AC1735">100000000/LvacE(AA1735)</f>
        <v>29424.529037526205</v>
      </c>
      <c r="AD1735" s="10">
        <f t="shared" si="1072"/>
        <v>9.3302569553834688E-3</v>
      </c>
      <c r="AE1735" s="10" t="b">
        <f t="shared" si="1073"/>
        <v>1</v>
      </c>
      <c r="AP1735"/>
      <c r="AQ1735"/>
      <c r="AU1735" s="16" cm="1">
        <f t="array" ref="AU1735">$C1735*EXP(poly_from_str(100000000/$E1735,AU$4342))</f>
        <v>0</v>
      </c>
    </row>
    <row r="1736" spans="1:48" x14ac:dyDescent="0.25">
      <c r="A1736" t="s">
        <v>2441</v>
      </c>
      <c r="B1736" s="2" t="str">
        <f t="shared" si="1065"/>
        <v/>
      </c>
      <c r="C1736">
        <v>0</v>
      </c>
      <c r="E1736" t="s">
        <v>2442</v>
      </c>
      <c r="R1736">
        <v>17</v>
      </c>
      <c r="S1736" t="s">
        <v>22</v>
      </c>
      <c r="AA1736" s="10">
        <f t="shared" si="1070"/>
        <v>3397.5050000000001</v>
      </c>
      <c r="AB1736" s="3">
        <f t="shared" si="1071"/>
        <v>29424.92</v>
      </c>
      <c r="AC1736" s="3" cm="1">
        <f t="array" ref="AC1736">100000000/LvacE(AA1736)</f>
        <v>29424.918753609465</v>
      </c>
      <c r="AD1736" s="10">
        <f t="shared" si="1072"/>
        <v>9.3303716629717197E-3</v>
      </c>
      <c r="AE1736" s="10" t="b">
        <f t="shared" si="1073"/>
        <v>1</v>
      </c>
      <c r="AP1736"/>
      <c r="AQ1736"/>
      <c r="AU1736" s="16" cm="1">
        <f t="array" ref="AU1736">$C1736*EXP(poly_from_str(100000000/$E1736,AU$4342))</f>
        <v>0</v>
      </c>
    </row>
    <row r="1737" spans="1:48" x14ac:dyDescent="0.25">
      <c r="A1737" t="s">
        <v>2443</v>
      </c>
      <c r="B1737" s="2" t="str">
        <f t="shared" si="1065"/>
        <v/>
      </c>
      <c r="C1737">
        <v>300</v>
      </c>
      <c r="D1737" t="s">
        <v>170</v>
      </c>
      <c r="E1737" t="s">
        <v>2444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1079">$G1737&amp;""</f>
        <v>e</v>
      </c>
      <c r="N1737" t="str">
        <f t="shared" ref="N1737:N1738" si="1080">$H1737&amp;""</f>
        <v>9/2</v>
      </c>
      <c r="O1737">
        <v>60419.73</v>
      </c>
      <c r="P1737" t="str">
        <f t="shared" ref="P1737:P1738" si="1081">$J1737&amp;""</f>
        <v>o</v>
      </c>
      <c r="Q1737" t="str">
        <f t="shared" ref="Q1737:Q1738" si="1082">$K1737&amp;""</f>
        <v>11/2</v>
      </c>
      <c r="R1737">
        <v>17</v>
      </c>
      <c r="AA1737" s="10">
        <f t="shared" si="1070"/>
        <v>3397.4560000000001</v>
      </c>
      <c r="AB1737" s="3">
        <f t="shared" si="1071"/>
        <v>29425.34</v>
      </c>
      <c r="AC1737" s="3" cm="1">
        <f t="array" ref="AC1737">100000000/LvacE(AA1737)</f>
        <v>29425.343122862749</v>
      </c>
      <c r="AD1737" s="10">
        <f t="shared" si="1072"/>
        <v>9.3304965719736704E-3</v>
      </c>
      <c r="AE1737" s="10" t="b">
        <f t="shared" si="1073"/>
        <v>1</v>
      </c>
      <c r="AJ1737" t="s">
        <v>4788</v>
      </c>
      <c r="AK1737" t="s">
        <v>4849</v>
      </c>
      <c r="AL1737">
        <v>30994.55</v>
      </c>
      <c r="AM1737">
        <v>60419.73</v>
      </c>
      <c r="AN1737" s="10" cm="1">
        <f t="array" ref="AN1737">Lair(100000000/($AM1737-$AL1737))</f>
        <v>3397.4748292690238</v>
      </c>
      <c r="AO1737" s="10">
        <f t="shared" ref="AO1737:AO1738" si="1083">100000000/($AM1737-$AL1737)</f>
        <v>3398.4498990320531</v>
      </c>
      <c r="AP1737" s="12">
        <v>870000000</v>
      </c>
      <c r="AQ1737" s="3">
        <v>0.57099999999999995</v>
      </c>
      <c r="AR1737" s="3">
        <f t="shared" ref="AR1737:AR1738" si="1084">LN(AU1737*100000000/($AM1737-$AL1737)/AP1737)</f>
        <v>-6.8454160888961448</v>
      </c>
      <c r="AS1737" s="13">
        <f t="shared" ref="AS1737:AS1738" si="1085">EXP(AR$4341*$AM1737+AR$4342)*$AP1737/(100000000/($AM1737-$AL1737))</f>
        <v>242.94609262053089</v>
      </c>
      <c r="AT1737" s="3">
        <f t="shared" ref="AT1737:AT1738" si="1086">LN(AS1737/$C1737)</f>
        <v>-0.21094289699379612</v>
      </c>
      <c r="AU1737" s="16" cm="1">
        <f t="array" ref="AU1737">$C1737*EXP(poly_from_str(100000000/$E1737,AU$4342))</f>
        <v>272.46576852519303</v>
      </c>
      <c r="AV1737" s="13">
        <f t="shared" ref="AV1737:AV1738" si="1087">LN(AS1737/AU1737)</f>
        <v>-0.11467340845899462</v>
      </c>
    </row>
    <row r="1738" spans="1:48" x14ac:dyDescent="0.25">
      <c r="A1738" t="s">
        <v>2445</v>
      </c>
      <c r="B1738" s="2" t="str">
        <f t="shared" si="1065"/>
        <v/>
      </c>
      <c r="C1738">
        <v>300</v>
      </c>
      <c r="D1738" t="s">
        <v>134</v>
      </c>
      <c r="E1738" t="s">
        <v>2446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1079"/>
        <v>e</v>
      </c>
      <c r="N1738" t="str">
        <f t="shared" si="1080"/>
        <v>11/2</v>
      </c>
      <c r="O1738">
        <v>60166.2</v>
      </c>
      <c r="P1738" t="str">
        <f t="shared" si="1081"/>
        <v>o</v>
      </c>
      <c r="Q1738" t="str">
        <f t="shared" si="1082"/>
        <v>9/2</v>
      </c>
      <c r="R1738">
        <v>17</v>
      </c>
      <c r="AA1738" s="10">
        <f t="shared" si="1070"/>
        <v>3396.625</v>
      </c>
      <c r="AB1738" s="3">
        <f t="shared" si="1071"/>
        <v>29432.54</v>
      </c>
      <c r="AC1738" s="3" cm="1">
        <f t="array" ref="AC1738">100000000/LvacE(AA1738)</f>
        <v>29432.541943468656</v>
      </c>
      <c r="AD1738" s="10">
        <f t="shared" si="1072"/>
        <v>9.3326157499677848E-3</v>
      </c>
      <c r="AE1738" s="10" t="b">
        <f t="shared" si="1073"/>
        <v>1</v>
      </c>
      <c r="AJ1738" t="s">
        <v>4828</v>
      </c>
      <c r="AK1738" t="s">
        <v>4726</v>
      </c>
      <c r="AL1738">
        <v>30733.53</v>
      </c>
      <c r="AM1738">
        <v>60166.2</v>
      </c>
      <c r="AN1738" s="10" cm="1">
        <f t="array" ref="AN1738">Lair(100000000/($AM1738-$AL1738))</f>
        <v>3396.6102157763194</v>
      </c>
      <c r="AO1738" s="10">
        <f t="shared" si="1083"/>
        <v>3397.5850644878633</v>
      </c>
      <c r="AP1738" s="12">
        <v>783000000</v>
      </c>
      <c r="AQ1738" s="3">
        <v>0.67</v>
      </c>
      <c r="AR1738" s="3">
        <f t="shared" si="1084"/>
        <v>-6.7371834783648756</v>
      </c>
      <c r="AS1738" s="13">
        <f t="shared" si="1085"/>
        <v>222.90823366631034</v>
      </c>
      <c r="AT1738" s="3">
        <f t="shared" si="1086"/>
        <v>-0.29702229611164987</v>
      </c>
      <c r="AU1738" s="16" cm="1">
        <f t="array" ref="AU1738">$C1738*EXP(poly_from_str(100000000/$E1738,AU$4342))</f>
        <v>273.31899489184644</v>
      </c>
      <c r="AV1738" s="13">
        <f t="shared" si="1087"/>
        <v>-0.20387941395692719</v>
      </c>
    </row>
    <row r="1739" spans="1:48" x14ac:dyDescent="0.25">
      <c r="A1739" t="s">
        <v>2447</v>
      </c>
      <c r="B1739" s="2" t="str">
        <f t="shared" si="1065"/>
        <v/>
      </c>
      <c r="C1739">
        <v>0</v>
      </c>
      <c r="E1739" t="s">
        <v>2448</v>
      </c>
      <c r="R1739">
        <v>17</v>
      </c>
      <c r="S1739" t="s">
        <v>22</v>
      </c>
      <c r="AA1739" s="10">
        <f t="shared" si="1070"/>
        <v>3396.5709999999999</v>
      </c>
      <c r="AB1739" s="3">
        <f t="shared" si="1071"/>
        <v>29433.01</v>
      </c>
      <c r="AC1739" s="3" cm="1">
        <f t="array" ref="AC1739">100000000/LvacE(AA1739)</f>
        <v>29433.009858745794</v>
      </c>
      <c r="AD1739" s="10">
        <f t="shared" si="1072"/>
        <v>9.3327535121076229E-3</v>
      </c>
      <c r="AE1739" s="10" t="b">
        <f t="shared" si="1073"/>
        <v>1</v>
      </c>
      <c r="AP1739"/>
      <c r="AQ1739"/>
      <c r="AU1739" s="16" cm="1">
        <f t="array" ref="AU1739">$C1739*EXP(poly_from_str(100000000/$E1739,AU$4342))</f>
        <v>0</v>
      </c>
    </row>
    <row r="1740" spans="1:48" x14ac:dyDescent="0.25">
      <c r="A1740" t="s">
        <v>2449</v>
      </c>
      <c r="B1740" s="2" t="str">
        <f t="shared" si="1065"/>
        <v/>
      </c>
      <c r="C1740">
        <v>0</v>
      </c>
      <c r="E1740" t="s">
        <v>2450</v>
      </c>
      <c r="R1740">
        <v>17</v>
      </c>
      <c r="S1740" t="s">
        <v>22</v>
      </c>
      <c r="AA1740" s="10">
        <f t="shared" si="1070"/>
        <v>3396.5210000000002</v>
      </c>
      <c r="AB1740" s="3">
        <f t="shared" si="1071"/>
        <v>29433.439999999999</v>
      </c>
      <c r="AC1740" s="3" cm="1">
        <f t="array" ref="AC1740">100000000/LvacE(AA1740)</f>
        <v>29433.443126897404</v>
      </c>
      <c r="AD1740" s="10">
        <f t="shared" si="1072"/>
        <v>9.3328810755030529E-3</v>
      </c>
      <c r="AE1740" s="10" t="b">
        <f t="shared" si="1073"/>
        <v>1</v>
      </c>
      <c r="AP1740"/>
      <c r="AQ1740"/>
      <c r="AU1740" s="16" cm="1">
        <f t="array" ref="AU1740">$C1740*EXP(poly_from_str(100000000/$E1740,AU$4342))</f>
        <v>0</v>
      </c>
    </row>
    <row r="1741" spans="1:48" x14ac:dyDescent="0.25">
      <c r="A1741" t="s">
        <v>2451</v>
      </c>
      <c r="B1741" s="2" t="str">
        <f t="shared" si="1065"/>
        <v/>
      </c>
      <c r="C1741">
        <v>0</v>
      </c>
      <c r="E1741" t="s">
        <v>2452</v>
      </c>
      <c r="R1741">
        <v>17</v>
      </c>
      <c r="S1741" t="s">
        <v>22</v>
      </c>
      <c r="AA1741" s="10">
        <f t="shared" si="1070"/>
        <v>3396.4769999999999</v>
      </c>
      <c r="AB1741" s="3">
        <f t="shared" si="1071"/>
        <v>29433.82</v>
      </c>
      <c r="AC1741" s="3" cm="1">
        <f t="array" ref="AC1741">100000000/LvacE(AA1741)</f>
        <v>29433.824413422368</v>
      </c>
      <c r="AD1741" s="10">
        <f t="shared" si="1072"/>
        <v>9.3329933359510998E-3</v>
      </c>
      <c r="AE1741" s="10" t="b">
        <f t="shared" si="1073"/>
        <v>1</v>
      </c>
      <c r="AP1741"/>
      <c r="AQ1741"/>
      <c r="AU1741" s="16" cm="1">
        <f t="array" ref="AU1741">$C1741*EXP(poly_from_str(100000000/$E1741,AU$4342))</f>
        <v>0</v>
      </c>
    </row>
    <row r="1742" spans="1:48" x14ac:dyDescent="0.25">
      <c r="A1742" t="s">
        <v>2453</v>
      </c>
      <c r="B1742" s="2" t="str">
        <f t="shared" si="1065"/>
        <v/>
      </c>
      <c r="C1742">
        <v>0</v>
      </c>
      <c r="E1742" t="s">
        <v>2454</v>
      </c>
      <c r="R1742">
        <v>17</v>
      </c>
      <c r="S1742" t="s">
        <v>22</v>
      </c>
      <c r="AA1742" s="10">
        <f t="shared" si="1070"/>
        <v>3396.4409999999998</v>
      </c>
      <c r="AB1742" s="3">
        <f t="shared" si="1071"/>
        <v>29434.14</v>
      </c>
      <c r="AC1742" s="3" cm="1">
        <f t="array" ref="AC1742">100000000/LvacE(AA1742)</f>
        <v>29434.136382472181</v>
      </c>
      <c r="AD1742" s="10">
        <f t="shared" si="1072"/>
        <v>9.3330851886536791E-3</v>
      </c>
      <c r="AE1742" s="10" t="b">
        <f t="shared" si="1073"/>
        <v>1</v>
      </c>
      <c r="AP1742"/>
      <c r="AQ1742"/>
      <c r="AU1742" s="16" cm="1">
        <f t="array" ref="AU1742">$C1742*EXP(poly_from_str(100000000/$E1742,AU$4342))</f>
        <v>0</v>
      </c>
    </row>
    <row r="1743" spans="1:48" x14ac:dyDescent="0.25">
      <c r="A1743" t="s">
        <v>2455</v>
      </c>
      <c r="B1743" s="2" t="str">
        <f t="shared" si="1065"/>
        <v/>
      </c>
      <c r="C1743">
        <v>600</v>
      </c>
      <c r="D1743" t="s">
        <v>143</v>
      </c>
      <c r="E1743" t="s">
        <v>2456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1070"/>
        <v>3396.069</v>
      </c>
      <c r="AB1743" s="3">
        <f t="shared" si="1071"/>
        <v>29437.360000000001</v>
      </c>
      <c r="AC1743" s="3" cm="1">
        <f t="array" ref="AC1743">100000000/LvacE(AA1743)</f>
        <v>29437.360449922573</v>
      </c>
      <c r="AD1743" s="10">
        <f t="shared" si="1072"/>
        <v>9.3340345042934314E-3</v>
      </c>
      <c r="AE1743" s="10" t="b">
        <f t="shared" si="1073"/>
        <v>1</v>
      </c>
      <c r="AJ1743" t="s">
        <v>4708</v>
      </c>
      <c r="AK1743" t="s">
        <v>4902</v>
      </c>
      <c r="AL1743">
        <v>28720.71</v>
      </c>
      <c r="AM1743">
        <v>58158.080000000002</v>
      </c>
      <c r="AN1743" s="10" cm="1">
        <f t="array" ref="AN1743">Lair(100000000/($AM1743-$AL1743))</f>
        <v>3396.0678925877328</v>
      </c>
      <c r="AO1743" s="10">
        <f>100000000/($AM1743-$AL1743)</f>
        <v>3397.042602650984</v>
      </c>
      <c r="AP1743" s="12">
        <v>263000000</v>
      </c>
      <c r="AQ1743" s="3">
        <v>0.495</v>
      </c>
      <c r="AR1743" s="3">
        <f>LN(AU1743*100000000/($AM1743-$AL1743)/AP1743)</f>
        <v>-4.9511276485252944</v>
      </c>
      <c r="AS1743" s="13">
        <f>EXP(AR$4341*$AM1743+AR$4342)*$AP1743/(100000000/($AM1743-$AL1743))</f>
        <v>87.064052895321097</v>
      </c>
      <c r="AT1743" s="3">
        <f>LN(AS1743/$C1743)</f>
        <v>-1.9302855672773036</v>
      </c>
      <c r="AU1743" s="16" cm="1">
        <f t="array" ref="AU1743">$C1743*EXP(poly_from_str(100000000/$E1743,AU$4342))</f>
        <v>547.78147122407699</v>
      </c>
      <c r="AV1743" s="13">
        <f>LN(AS1743/AU1743)</f>
        <v>-1.8392323443386773</v>
      </c>
    </row>
    <row r="1744" spans="1:48" x14ac:dyDescent="0.25">
      <c r="A1744" t="s">
        <v>2457</v>
      </c>
      <c r="B1744" s="2" t="str">
        <f t="shared" si="1065"/>
        <v/>
      </c>
      <c r="C1744">
        <v>2</v>
      </c>
      <c r="E1744" t="s">
        <v>2458</v>
      </c>
      <c r="R1744">
        <v>17</v>
      </c>
      <c r="S1744" t="s">
        <v>22</v>
      </c>
      <c r="AA1744" s="10">
        <f t="shared" si="1070"/>
        <v>3394.924</v>
      </c>
      <c r="AB1744" s="3">
        <f t="shared" si="1071"/>
        <v>29447.29</v>
      </c>
      <c r="AC1744" s="3" cm="1">
        <f t="array" ref="AC1744">100000000/LvacE(AA1744)</f>
        <v>29447.288424901628</v>
      </c>
      <c r="AD1744" s="10">
        <f t="shared" si="1072"/>
        <v>9.3369584156967333E-3</v>
      </c>
      <c r="AE1744" s="10" t="b">
        <f t="shared" si="1073"/>
        <v>1</v>
      </c>
      <c r="AP1744"/>
      <c r="AQ1744"/>
      <c r="AU1744" s="16" cm="1">
        <f t="array" ref="AU1744">$C1744*EXP(poly_from_str(100000000/$E1744,AU$4342))</f>
        <v>1.8338000106776895</v>
      </c>
    </row>
    <row r="1745" spans="1:48" x14ac:dyDescent="0.25">
      <c r="A1745" t="s">
        <v>2459</v>
      </c>
      <c r="B1745" s="2" t="str">
        <f t="shared" si="1065"/>
        <v/>
      </c>
      <c r="C1745">
        <v>1000</v>
      </c>
      <c r="D1745" t="s">
        <v>14</v>
      </c>
      <c r="E1745" t="s">
        <v>2460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1088">$G1745&amp;""</f>
        <v>e</v>
      </c>
      <c r="N1745" t="str">
        <f t="shared" ref="N1745:N1746" si="1089">$H1745&amp;""</f>
        <v>9/2</v>
      </c>
      <c r="O1745">
        <v>58174.15</v>
      </c>
      <c r="P1745" t="str">
        <f t="shared" ref="P1745:P1746" si="1090">$J1745&amp;""</f>
        <v>o</v>
      </c>
      <c r="Q1745" t="str">
        <f t="shared" ref="Q1745:Q1746" si="1091">$K1745&amp;""</f>
        <v>9/2</v>
      </c>
      <c r="R1745">
        <v>17</v>
      </c>
      <c r="AA1745" s="10">
        <f t="shared" si="1070"/>
        <v>3394.2150000000001</v>
      </c>
      <c r="AB1745" s="3">
        <f t="shared" si="1071"/>
        <v>29453.439999999999</v>
      </c>
      <c r="AC1745" s="3" cm="1">
        <f t="array" ref="AC1745">100000000/LvacE(AA1745)</f>
        <v>29453.439323493982</v>
      </c>
      <c r="AD1745" s="10">
        <f t="shared" si="1072"/>
        <v>9.3387704260770137E-3</v>
      </c>
      <c r="AE1745" s="10" t="b">
        <f t="shared" si="1073"/>
        <v>1</v>
      </c>
      <c r="AJ1745" t="s">
        <v>4708</v>
      </c>
      <c r="AK1745" t="s">
        <v>4698</v>
      </c>
      <c r="AL1745">
        <v>28720.71</v>
      </c>
      <c r="AM1745">
        <v>58174.15</v>
      </c>
      <c r="AN1745" s="10" cm="1">
        <f t="array" ref="AN1745">Lair(100000000/($AM1745-$AL1745))</f>
        <v>3394.2149164116636</v>
      </c>
      <c r="AO1745" s="10">
        <f t="shared" ref="AO1745:AO1746" si="1092">100000000/($AM1745-$AL1745)</f>
        <v>3395.1891527780795</v>
      </c>
      <c r="AP1745" s="12">
        <v>331000000</v>
      </c>
      <c r="AQ1745" s="3">
        <v>0.56799999999999995</v>
      </c>
      <c r="AR1745" s="3">
        <f t="shared" ref="AR1745:AR1746" si="1093">LN(AU1745*100000000/($AM1745-$AL1745)/AP1745)</f>
        <v>-4.6638607343338441</v>
      </c>
      <c r="AS1745" s="13">
        <f t="shared" ref="AS1745:AS1746" si="1094">EXP(AR$4341*$AM1745+AR$4342)*$AP1745/(100000000/($AM1745-$AL1745))</f>
        <v>109.50258819938324</v>
      </c>
      <c r="AT1745" s="3">
        <f t="shared" ref="AT1745:AT1746" si="1095">LN(AS1745/$C1745)</f>
        <v>-2.2118070934808718</v>
      </c>
      <c r="AU1745" s="16" cm="1">
        <f t="array" ref="AU1745">$C1745*EXP(poly_from_str(100000000/$E1745,AU$4342))</f>
        <v>919.33763194157848</v>
      </c>
      <c r="AV1745" s="13">
        <f t="shared" ref="AV1745:AV1746" si="1096">LN(AS1745/AU1745)</f>
        <v>-2.1277052599614596</v>
      </c>
    </row>
    <row r="1746" spans="1:48" x14ac:dyDescent="0.25">
      <c r="A1746" t="s">
        <v>2461</v>
      </c>
      <c r="B1746" s="2" t="str">
        <f t="shared" si="1065"/>
        <v/>
      </c>
      <c r="C1746">
        <v>100</v>
      </c>
      <c r="D1746" t="s">
        <v>134</v>
      </c>
      <c r="E1746" t="s">
        <v>2462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1088"/>
        <v>e</v>
      </c>
      <c r="N1746" t="str">
        <f t="shared" si="1089"/>
        <v>13/2</v>
      </c>
      <c r="O1746">
        <v>62240.83</v>
      </c>
      <c r="P1746" t="str">
        <f t="shared" si="1090"/>
        <v>o</v>
      </c>
      <c r="Q1746" t="str">
        <f t="shared" si="1091"/>
        <v>11/2</v>
      </c>
      <c r="R1746">
        <v>17</v>
      </c>
      <c r="AA1746" s="10">
        <f t="shared" si="1070"/>
        <v>3391.0770000000002</v>
      </c>
      <c r="AB1746" s="3">
        <f t="shared" si="1071"/>
        <v>29480.69</v>
      </c>
      <c r="AC1746" s="3" cm="1">
        <f t="array" ref="AC1746">100000000/LvacE(AA1746)</f>
        <v>29480.693787797201</v>
      </c>
      <c r="AD1746" s="10">
        <f t="shared" si="1072"/>
        <v>9.3468039486860957E-3</v>
      </c>
      <c r="AE1746" s="10" t="b">
        <f t="shared" si="1073"/>
        <v>1</v>
      </c>
      <c r="AJ1746" t="s">
        <v>4829</v>
      </c>
      <c r="AK1746" t="s">
        <v>4892</v>
      </c>
      <c r="AL1746">
        <v>32760.11</v>
      </c>
      <c r="AM1746">
        <v>62240.83</v>
      </c>
      <c r="AN1746" s="10" cm="1">
        <f t="array" ref="AN1746">Lair(100000000/($AM1746-$AL1746))</f>
        <v>3391.0739791687965</v>
      </c>
      <c r="AO1746" s="10">
        <f t="shared" si="1092"/>
        <v>3392.0474126819154</v>
      </c>
      <c r="AP1746" s="12">
        <v>488000000</v>
      </c>
      <c r="AQ1746" s="3">
        <v>0.749</v>
      </c>
      <c r="AR1746" s="3">
        <f t="shared" si="1093"/>
        <v>-7.343858594706969</v>
      </c>
      <c r="AS1746" s="13">
        <f t="shared" si="1094"/>
        <v>119.09003901966994</v>
      </c>
      <c r="AT1746" s="3">
        <f t="shared" si="1095"/>
        <v>0.17470965144034406</v>
      </c>
      <c r="AU1746" s="16" cm="1">
        <f t="array" ref="AU1746">$C1746*EXP(poly_from_str(100000000/$E1746,AU$4342))</f>
        <v>93.016639313690902</v>
      </c>
      <c r="AV1746" s="13">
        <f t="shared" si="1096"/>
        <v>0.24710144292746478</v>
      </c>
    </row>
    <row r="1747" spans="1:48" x14ac:dyDescent="0.25">
      <c r="A1747" t="s">
        <v>2463</v>
      </c>
      <c r="B1747" s="2" t="str">
        <f t="shared" si="1065"/>
        <v/>
      </c>
      <c r="C1747">
        <v>0</v>
      </c>
      <c r="E1747" t="s">
        <v>2464</v>
      </c>
      <c r="R1747">
        <v>17</v>
      </c>
      <c r="S1747" t="s">
        <v>22</v>
      </c>
      <c r="AA1747" s="10">
        <f t="shared" si="1070"/>
        <v>3391.029</v>
      </c>
      <c r="AB1747" s="3">
        <f t="shared" si="1071"/>
        <v>29481.11</v>
      </c>
      <c r="AC1747" s="3" cm="1">
        <f t="array" ref="AC1747">100000000/LvacE(AA1747)</f>
        <v>29481.111073755848</v>
      </c>
      <c r="AD1747" s="10">
        <f t="shared" si="1072"/>
        <v>9.3469270056015224E-3</v>
      </c>
      <c r="AE1747" s="10" t="b">
        <f t="shared" si="1073"/>
        <v>1</v>
      </c>
      <c r="AP1747"/>
      <c r="AQ1747"/>
      <c r="AU1747" s="16" cm="1">
        <f t="array" ref="AU1747">$C1747*EXP(poly_from_str(100000000/$E1747,AU$4342))</f>
        <v>0</v>
      </c>
    </row>
    <row r="1748" spans="1:48" x14ac:dyDescent="0.25">
      <c r="A1748" t="s">
        <v>2465</v>
      </c>
      <c r="B1748" s="2" t="str">
        <f t="shared" si="1065"/>
        <v/>
      </c>
      <c r="C1748">
        <v>0</v>
      </c>
      <c r="E1748" t="s">
        <v>2466</v>
      </c>
      <c r="R1748">
        <v>17</v>
      </c>
      <c r="S1748" t="s">
        <v>22</v>
      </c>
      <c r="AA1748" s="10">
        <f t="shared" si="1070"/>
        <v>3390.9870000000001</v>
      </c>
      <c r="AB1748" s="3">
        <f t="shared" si="1071"/>
        <v>29481.48</v>
      </c>
      <c r="AC1748" s="3" cm="1">
        <f t="array" ref="AC1748">100000000/LvacE(AA1748)</f>
        <v>29481.476208659918</v>
      </c>
      <c r="AD1748" s="10">
        <f t="shared" si="1072"/>
        <v>9.3470346846891358E-3</v>
      </c>
      <c r="AE1748" s="10" t="b">
        <f t="shared" si="1073"/>
        <v>1</v>
      </c>
      <c r="AP1748"/>
      <c r="AQ1748"/>
      <c r="AU1748" s="16" cm="1">
        <f t="array" ref="AU1748">$C1748*EXP(poly_from_str(100000000/$E1748,AU$4342))</f>
        <v>0</v>
      </c>
    </row>
    <row r="1749" spans="1:48" x14ac:dyDescent="0.25">
      <c r="A1749" t="s">
        <v>2467</v>
      </c>
      <c r="B1749" s="2" t="str">
        <f t="shared" si="1065"/>
        <v/>
      </c>
      <c r="C1749">
        <v>0</v>
      </c>
      <c r="E1749" t="s">
        <v>2468</v>
      </c>
      <c r="R1749">
        <v>17</v>
      </c>
      <c r="S1749" t="s">
        <v>22</v>
      </c>
      <c r="AA1749" s="10">
        <f t="shared" si="1070"/>
        <v>3390.9490000000001</v>
      </c>
      <c r="AB1749" s="3">
        <f t="shared" si="1071"/>
        <v>29481.81</v>
      </c>
      <c r="AC1749" s="3" cm="1">
        <f t="array" ref="AC1749">100000000/LvacE(AA1749)</f>
        <v>29481.806576604737</v>
      </c>
      <c r="AD1749" s="10">
        <f t="shared" si="1072"/>
        <v>9.3471321120731608E-3</v>
      </c>
      <c r="AE1749" s="10" t="b">
        <f t="shared" si="1073"/>
        <v>1</v>
      </c>
      <c r="AP1749"/>
      <c r="AQ1749"/>
      <c r="AU1749" s="16" cm="1">
        <f t="array" ref="AU1749">$C1749*EXP(poly_from_str(100000000/$E1749,AU$4342))</f>
        <v>0</v>
      </c>
    </row>
    <row r="1750" spans="1:48" x14ac:dyDescent="0.25">
      <c r="A1750" t="s">
        <v>2469</v>
      </c>
      <c r="B1750" s="2" t="str">
        <f t="shared" si="1065"/>
        <v/>
      </c>
      <c r="C1750">
        <v>1</v>
      </c>
      <c r="E1750" t="s">
        <v>2470</v>
      </c>
      <c r="R1750">
        <v>17</v>
      </c>
      <c r="S1750" t="s">
        <v>22</v>
      </c>
      <c r="AA1750" s="10">
        <f t="shared" si="1070"/>
        <v>3387.8690000000001</v>
      </c>
      <c r="AB1750" s="3">
        <f t="shared" si="1071"/>
        <v>29508.61</v>
      </c>
      <c r="AC1750" s="3" cm="1">
        <f t="array" ref="AC1750">100000000/LvacE(AA1750)</f>
        <v>29508.608410801786</v>
      </c>
      <c r="AD1750" s="10">
        <f t="shared" si="1072"/>
        <v>9.3550397625766796E-3</v>
      </c>
      <c r="AE1750" s="10" t="b">
        <f t="shared" si="1073"/>
        <v>1</v>
      </c>
      <c r="AP1750"/>
      <c r="AQ1750"/>
      <c r="AU1750" s="16" cm="1">
        <f t="array" ref="AU1750">$C1750*EXP(poly_from_str(100000000/$E1750,AU$4342))</f>
        <v>0.94130730281049357</v>
      </c>
    </row>
    <row r="1751" spans="1:48" x14ac:dyDescent="0.25">
      <c r="A1751" t="s">
        <v>2471</v>
      </c>
      <c r="B1751" s="2" t="str">
        <f t="shared" si="1065"/>
        <v/>
      </c>
      <c r="C1751">
        <v>6</v>
      </c>
      <c r="D1751" t="s">
        <v>134</v>
      </c>
      <c r="E1751" t="s">
        <v>2472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1070"/>
        <v>3387.1889999999999</v>
      </c>
      <c r="AB1751" s="3">
        <f t="shared" si="1071"/>
        <v>29514.53</v>
      </c>
      <c r="AC1751" s="3" cm="1">
        <f t="array" ref="AC1751">100000000/LvacE(AA1751)</f>
        <v>29514.532267096736</v>
      </c>
      <c r="AD1751" s="10">
        <f t="shared" si="1072"/>
        <v>9.3567885150631896E-3</v>
      </c>
      <c r="AE1751" s="10" t="b">
        <f t="shared" si="1073"/>
        <v>1</v>
      </c>
      <c r="AJ1751" t="s">
        <v>4939</v>
      </c>
      <c r="AK1751" t="s">
        <v>4897</v>
      </c>
      <c r="AL1751">
        <v>50227.79</v>
      </c>
      <c r="AM1751">
        <v>79742.36</v>
      </c>
      <c r="AN1751" s="10" cm="1">
        <f t="array" ref="AN1751">Lair(100000000/($AM1751-$AL1751))</f>
        <v>3387.1846638828183</v>
      </c>
      <c r="AO1751" s="10">
        <f>100000000/($AM1751-$AL1751)</f>
        <v>3388.1571034238345</v>
      </c>
      <c r="AP1751" s="12">
        <v>226000000</v>
      </c>
      <c r="AQ1751" s="3">
        <v>0.73899999999999999</v>
      </c>
      <c r="AR1751" s="3">
        <f>LN(AU1751*100000000/($AM1751-$AL1751)/AP1751)</f>
        <v>-9.3742177369442814</v>
      </c>
      <c r="AS1751" s="13">
        <f>EXP(AR$4341*$AM1751+AR$4342)*$AP1751/(100000000/($AM1751-$AL1751))</f>
        <v>14.84723808934087</v>
      </c>
      <c r="AT1751" s="3">
        <f>LN(AS1751/$C1751)</f>
        <v>0.90605439147310718</v>
      </c>
      <c r="AU1751" s="16" cm="1">
        <f t="array" ref="AU1751">$C1751*EXP(poly_from_str(100000000/$E1751,AU$4342))</f>
        <v>5.6620521379493365</v>
      </c>
      <c r="AV1751" s="13">
        <f>LN(AS1751/AU1751)</f>
        <v>0.96402746565587605</v>
      </c>
    </row>
    <row r="1752" spans="1:48" x14ac:dyDescent="0.25">
      <c r="A1752" t="s">
        <v>2473</v>
      </c>
      <c r="B1752" s="2" t="str">
        <f t="shared" si="1065"/>
        <v/>
      </c>
      <c r="C1752">
        <v>0</v>
      </c>
      <c r="E1752" t="s">
        <v>2474</v>
      </c>
      <c r="R1752">
        <v>17</v>
      </c>
      <c r="S1752" t="s">
        <v>22</v>
      </c>
      <c r="AA1752" s="10">
        <f t="shared" si="1070"/>
        <v>3387.0970000000002</v>
      </c>
      <c r="AB1752" s="3">
        <f t="shared" si="1071"/>
        <v>29515.33</v>
      </c>
      <c r="AC1752" s="3" cm="1">
        <f t="array" ref="AC1752">100000000/LvacE(AA1752)</f>
        <v>29515.333912669979</v>
      </c>
      <c r="AD1752" s="10">
        <f t="shared" si="1072"/>
        <v>9.3570251918781745E-3</v>
      </c>
      <c r="AE1752" s="10" t="b">
        <f t="shared" si="1073"/>
        <v>1</v>
      </c>
      <c r="AP1752"/>
      <c r="AQ1752"/>
      <c r="AU1752" s="16" cm="1">
        <f t="array" ref="AU1752">$C1752*EXP(poly_from_str(100000000/$E1752,AU$4342))</f>
        <v>0</v>
      </c>
    </row>
    <row r="1753" spans="1:48" x14ac:dyDescent="0.25">
      <c r="A1753" t="s">
        <v>2475</v>
      </c>
      <c r="B1753" s="2" t="str">
        <f t="shared" si="1065"/>
        <v/>
      </c>
      <c r="C1753">
        <v>0</v>
      </c>
      <c r="E1753" t="s">
        <v>2476</v>
      </c>
      <c r="R1753">
        <v>17</v>
      </c>
      <c r="S1753" t="s">
        <v>22</v>
      </c>
      <c r="AA1753" s="10">
        <f t="shared" si="1070"/>
        <v>3387.0279999999998</v>
      </c>
      <c r="AB1753" s="3">
        <f t="shared" si="1071"/>
        <v>29515.93</v>
      </c>
      <c r="AC1753" s="3" cm="1">
        <f t="array" ref="AC1753">100000000/LvacE(AA1753)</f>
        <v>29515.935175427643</v>
      </c>
      <c r="AD1753" s="10">
        <f t="shared" si="1072"/>
        <v>9.3572027121458165E-3</v>
      </c>
      <c r="AE1753" s="10" t="b">
        <f t="shared" si="1073"/>
        <v>1</v>
      </c>
      <c r="AP1753"/>
      <c r="AQ1753"/>
      <c r="AU1753" s="16" cm="1">
        <f t="array" ref="AU1753">$C1753*EXP(poly_from_str(100000000/$E1753,AU$4342))</f>
        <v>0</v>
      </c>
    </row>
    <row r="1754" spans="1:48" x14ac:dyDescent="0.25">
      <c r="A1754" t="s">
        <v>2477</v>
      </c>
      <c r="B1754" s="2" t="str">
        <f t="shared" si="1065"/>
        <v/>
      </c>
      <c r="C1754">
        <v>0</v>
      </c>
      <c r="E1754" t="s">
        <v>2478</v>
      </c>
      <c r="R1754">
        <v>17</v>
      </c>
      <c r="S1754" t="s">
        <v>22</v>
      </c>
      <c r="AA1754" s="10">
        <f t="shared" si="1070"/>
        <v>3386.9830000000002</v>
      </c>
      <c r="AB1754" s="3">
        <f t="shared" si="1071"/>
        <v>29516.33</v>
      </c>
      <c r="AC1754" s="3" cm="1">
        <f t="array" ref="AC1754">100000000/LvacE(AA1754)</f>
        <v>29516.32731651072</v>
      </c>
      <c r="AD1754" s="10">
        <f t="shared" si="1072"/>
        <v>9.3573184920784543E-3</v>
      </c>
      <c r="AE1754" s="10" t="b">
        <f t="shared" si="1073"/>
        <v>1</v>
      </c>
      <c r="AP1754"/>
      <c r="AQ1754"/>
      <c r="AU1754" s="16" cm="1">
        <f t="array" ref="AU1754">$C1754*EXP(poly_from_str(100000000/$E1754,AU$4342))</f>
        <v>0</v>
      </c>
    </row>
    <row r="1755" spans="1:48" x14ac:dyDescent="0.25">
      <c r="A1755" t="s">
        <v>2479</v>
      </c>
      <c r="B1755" s="2" t="str">
        <f t="shared" si="1065"/>
        <v/>
      </c>
      <c r="C1755">
        <v>1</v>
      </c>
      <c r="E1755" t="s">
        <v>2480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1070"/>
        <v>3386.567</v>
      </c>
      <c r="AB1755" s="3">
        <f t="shared" si="1071"/>
        <v>29519.95</v>
      </c>
      <c r="AC1755" s="3" cm="1">
        <f t="array" ref="AC1755">100000000/LvacE(AA1755)</f>
        <v>29519.952936415528</v>
      </c>
      <c r="AD1755" s="10">
        <f t="shared" si="1072"/>
        <v>9.3583890317858066E-3</v>
      </c>
      <c r="AE1755" s="10" t="b">
        <f t="shared" si="1073"/>
        <v>1</v>
      </c>
      <c r="AJ1755" t="s">
        <v>4702</v>
      </c>
      <c r="AK1755" t="s">
        <v>4901</v>
      </c>
      <c r="AL1755">
        <v>39024.269999999997</v>
      </c>
      <c r="AM1755">
        <v>68544.19</v>
      </c>
      <c r="AN1755" s="10" cm="1">
        <f t="array" ref="AN1755">Lair(100000000/($AM1755-$AL1755))</f>
        <v>3386.5707730025078</v>
      </c>
      <c r="AO1755" s="10">
        <f>100000000/($AM1755-$AL1755)</f>
        <v>3387.5430556722367</v>
      </c>
      <c r="AP1755" s="12">
        <v>1230000</v>
      </c>
      <c r="AQ1755" s="3">
        <v>1.0999999999999999E-2</v>
      </c>
      <c r="AR1755" s="3"/>
      <c r="AS1755" s="13">
        <f>EXP(AR$4341*$AM1755+AR$4342)*$AP1755/(100000000/($AM1755-$AL1755))</f>
        <v>0.18728208101425467</v>
      </c>
      <c r="AT1755" s="3"/>
      <c r="AU1755" s="16" cm="1">
        <f t="array" ref="AU1755">$C1755*EXP(poly_from_str(100000000/$E1755,AU$4342))</f>
        <v>0.94584514968691191</v>
      </c>
    </row>
    <row r="1756" spans="1:48" x14ac:dyDescent="0.25">
      <c r="A1756" t="s">
        <v>2481</v>
      </c>
      <c r="B1756" s="2" t="str">
        <f t="shared" si="1065"/>
        <v/>
      </c>
      <c r="C1756">
        <v>1</v>
      </c>
      <c r="D1756" t="s">
        <v>1156</v>
      </c>
      <c r="E1756" t="s">
        <v>2482</v>
      </c>
      <c r="R1756">
        <v>17</v>
      </c>
      <c r="S1756" t="s">
        <v>22</v>
      </c>
      <c r="AA1756" s="10">
        <f t="shared" si="1070"/>
        <v>3385.002</v>
      </c>
      <c r="AB1756" s="3">
        <f t="shared" si="1071"/>
        <v>29533.599999999999</v>
      </c>
      <c r="AC1756" s="3" cm="1">
        <f t="array" ref="AC1756">100000000/LvacE(AA1756)</f>
        <v>29533.600570110382</v>
      </c>
      <c r="AD1756" s="10">
        <f t="shared" si="1072"/>
        <v>9.3624199587046611E-3</v>
      </c>
      <c r="AE1756" s="10" t="b">
        <f t="shared" si="1073"/>
        <v>1</v>
      </c>
      <c r="AP1756"/>
      <c r="AQ1756"/>
      <c r="AU1756" s="16" cm="1">
        <f t="array" ref="AU1756">$C1756*EXP(poly_from_str(100000000/$E1756,AU$4342))</f>
        <v>0.95131696033134772</v>
      </c>
    </row>
    <row r="1757" spans="1:48" x14ac:dyDescent="0.25">
      <c r="A1757" t="s">
        <v>2483</v>
      </c>
      <c r="B1757" s="2" t="str">
        <f t="shared" si="1065"/>
        <v/>
      </c>
      <c r="C1757">
        <v>5</v>
      </c>
      <c r="D1757" t="s">
        <v>1156</v>
      </c>
      <c r="E1757" t="s">
        <v>2484</v>
      </c>
      <c r="R1757">
        <v>17</v>
      </c>
      <c r="S1757" t="s">
        <v>22</v>
      </c>
      <c r="AA1757" s="10">
        <f t="shared" si="1070"/>
        <v>3383.741</v>
      </c>
      <c r="AB1757" s="3">
        <f t="shared" si="1071"/>
        <v>29544.61</v>
      </c>
      <c r="AC1757" s="3" cm="1">
        <f t="array" ref="AC1757">100000000/LvacE(AA1757)</f>
        <v>29544.606345398264</v>
      </c>
      <c r="AD1757" s="10">
        <f t="shared" si="1072"/>
        <v>9.365671950867141E-3</v>
      </c>
      <c r="AE1757" s="10" t="b">
        <f t="shared" si="1073"/>
        <v>1</v>
      </c>
      <c r="AP1757"/>
      <c r="AQ1757"/>
      <c r="AU1757" s="16" cm="1">
        <f t="array" ref="AU1757">$C1757*EXP(poly_from_str(100000000/$E1757,AU$4342))</f>
        <v>4.7786898825340955</v>
      </c>
    </row>
    <row r="1758" spans="1:48" x14ac:dyDescent="0.25">
      <c r="A1758" t="s">
        <v>2485</v>
      </c>
      <c r="B1758" s="2" t="str">
        <f t="shared" si="1065"/>
        <v/>
      </c>
      <c r="C1758">
        <v>300</v>
      </c>
      <c r="D1758" t="s">
        <v>134</v>
      </c>
      <c r="E1758" t="s">
        <v>2486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1070"/>
        <v>3381.8420000000001</v>
      </c>
      <c r="AB1758" s="3">
        <f t="shared" si="1071"/>
        <v>29561.200000000001</v>
      </c>
      <c r="AC1758" s="3" cm="1">
        <f t="array" ref="AC1758">100000000/LvacE(AA1758)</f>
        <v>29561.195953012499</v>
      </c>
      <c r="AD1758" s="10">
        <f t="shared" si="1072"/>
        <v>9.3705761465219979E-3</v>
      </c>
      <c r="AE1758" s="10" t="b">
        <f t="shared" si="1073"/>
        <v>1</v>
      </c>
      <c r="AJ1758" t="s">
        <v>4895</v>
      </c>
      <c r="AK1758" t="s">
        <v>4707</v>
      </c>
      <c r="AL1758">
        <v>33659.99</v>
      </c>
      <c r="AM1758">
        <v>63221.279999999999</v>
      </c>
      <c r="AN1758" s="10" cm="1">
        <f t="array" ref="AN1758">Lair(100000000/($AM1758-$AL1758))</f>
        <v>3381.8312349563462</v>
      </c>
      <c r="AO1758" s="10">
        <f>100000000/($AM1758-$AL1758)</f>
        <v>3382.8023066652368</v>
      </c>
      <c r="AP1758" s="12">
        <v>585000000</v>
      </c>
      <c r="AQ1758" s="3">
        <v>0.79800000000000004</v>
      </c>
      <c r="AR1758" s="3">
        <f>LN(AU1758*100000000/($AM1758-$AL1758)/AP1758)</f>
        <v>-6.3951928753405243</v>
      </c>
      <c r="AS1758" s="13">
        <f>EXP(AR$4341*$AM1758+AR$4342)*$AP1758/(100000000/($AM1758-$AL1758))</f>
        <v>132.99691439303604</v>
      </c>
      <c r="AT1758" s="3">
        <f>LN(AS1758/$C1758)</f>
        <v>-0.81345654675593326</v>
      </c>
      <c r="AU1758" s="16" cm="1">
        <f t="array" ref="AU1758">$C1758*EXP(poly_from_str(100000000/$E1758,AU$4342))</f>
        <v>288.72359162198575</v>
      </c>
      <c r="AV1758" s="13">
        <f>LN(AS1758/AU1758)</f>
        <v>-0.77514387216703895</v>
      </c>
    </row>
    <row r="1759" spans="1:48" x14ac:dyDescent="0.25">
      <c r="A1759" t="s">
        <v>2487</v>
      </c>
      <c r="B1759" s="2" t="str">
        <f t="shared" si="1065"/>
        <v/>
      </c>
      <c r="C1759">
        <v>0</v>
      </c>
      <c r="E1759" t="s">
        <v>2488</v>
      </c>
      <c r="R1759">
        <v>17</v>
      </c>
      <c r="S1759" t="s">
        <v>22</v>
      </c>
      <c r="AA1759" s="10">
        <f t="shared" si="1070"/>
        <v>3381.7719999999999</v>
      </c>
      <c r="AB1759" s="3">
        <f t="shared" si="1071"/>
        <v>29561.81</v>
      </c>
      <c r="AC1759" s="3" cm="1">
        <f t="array" ref="AC1759">100000000/LvacE(AA1759)</f>
        <v>29561.80782696469</v>
      </c>
      <c r="AD1759" s="10">
        <f t="shared" si="1072"/>
        <v>9.3707570804543727E-3</v>
      </c>
      <c r="AE1759" s="10" t="b">
        <f t="shared" si="1073"/>
        <v>1</v>
      </c>
      <c r="AP1759"/>
      <c r="AQ1759"/>
      <c r="AU1759" s="16" cm="1">
        <f t="array" ref="AU1759">$C1759*EXP(poly_from_str(100000000/$E1759,AU$4342))</f>
        <v>0</v>
      </c>
    </row>
    <row r="1760" spans="1:48" x14ac:dyDescent="0.25">
      <c r="A1760" t="s">
        <v>2489</v>
      </c>
      <c r="B1760" s="2" t="str">
        <f t="shared" si="1065"/>
        <v/>
      </c>
      <c r="C1760">
        <v>0</v>
      </c>
      <c r="E1760" t="s">
        <v>2490</v>
      </c>
      <c r="R1760">
        <v>17</v>
      </c>
      <c r="S1760" t="s">
        <v>22</v>
      </c>
      <c r="AA1760" s="10">
        <f t="shared" si="1070"/>
        <v>3381.7159999999999</v>
      </c>
      <c r="AB1760" s="3">
        <f t="shared" si="1071"/>
        <v>29562.3</v>
      </c>
      <c r="AC1760" s="3" cm="1">
        <f t="array" ref="AC1760">100000000/LvacE(AA1760)</f>
        <v>29562.297344363818</v>
      </c>
      <c r="AD1760" s="10">
        <f t="shared" si="1072"/>
        <v>9.3709018356899019E-3</v>
      </c>
      <c r="AE1760" s="10" t="b">
        <f t="shared" si="1073"/>
        <v>1</v>
      </c>
      <c r="AP1760"/>
      <c r="AQ1760"/>
      <c r="AU1760" s="16" cm="1">
        <f t="array" ref="AU1760">$C1760*EXP(poly_from_str(100000000/$E1760,AU$4342))</f>
        <v>0</v>
      </c>
    </row>
    <row r="1761" spans="1:48" x14ac:dyDescent="0.25">
      <c r="A1761" t="s">
        <v>2491</v>
      </c>
      <c r="B1761" s="2" t="str">
        <f t="shared" si="1065"/>
        <v/>
      </c>
      <c r="C1761">
        <v>0</v>
      </c>
      <c r="E1761" t="s">
        <v>2492</v>
      </c>
      <c r="R1761">
        <v>17</v>
      </c>
      <c r="S1761" t="s">
        <v>22</v>
      </c>
      <c r="AA1761" s="10">
        <f t="shared" si="1070"/>
        <v>3381.672</v>
      </c>
      <c r="AB1761" s="3">
        <f t="shared" si="1071"/>
        <v>29562.68</v>
      </c>
      <c r="AC1761" s="3" cm="1">
        <f t="array" ref="AC1761">100000000/LvacE(AA1761)</f>
        <v>29562.681976550499</v>
      </c>
      <c r="AD1761" s="10">
        <f t="shared" si="1072"/>
        <v>9.3710155769912776E-3</v>
      </c>
      <c r="AE1761" s="10" t="b">
        <f t="shared" si="1073"/>
        <v>1</v>
      </c>
      <c r="AP1761"/>
      <c r="AQ1761"/>
      <c r="AU1761" s="16" cm="1">
        <f t="array" ref="AU1761">$C1761*EXP(poly_from_str(100000000/$E1761,AU$4342))</f>
        <v>0</v>
      </c>
    </row>
    <row r="1762" spans="1:48" x14ac:dyDescent="0.25">
      <c r="A1762" t="s">
        <v>2493</v>
      </c>
      <c r="B1762" s="2" t="str">
        <f t="shared" si="1065"/>
        <v/>
      </c>
      <c r="C1762">
        <v>5</v>
      </c>
      <c r="D1762" t="s">
        <v>170</v>
      </c>
      <c r="E1762" t="s">
        <v>2494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1097">$G1762&amp;""</f>
        <v>e</v>
      </c>
      <c r="N1762" t="str">
        <f t="shared" ref="N1762:N1763" si="1098">$H1762&amp;""</f>
        <v>3/2</v>
      </c>
      <c r="O1762">
        <v>75409.58</v>
      </c>
      <c r="P1762" t="str">
        <f t="shared" ref="P1762:P1763" si="1099">$J1762&amp;""</f>
        <v>o</v>
      </c>
      <c r="Q1762" t="str">
        <f t="shared" ref="Q1762:Q1763" si="1100">$K1762&amp;""</f>
        <v>3/2</v>
      </c>
      <c r="R1762">
        <v>17</v>
      </c>
      <c r="AA1762" s="10">
        <f t="shared" si="1070"/>
        <v>3381.42</v>
      </c>
      <c r="AB1762" s="3">
        <f t="shared" si="1071"/>
        <v>29564.880000000001</v>
      </c>
      <c r="AC1762" s="3" cm="1">
        <f t="array" ref="AC1762">100000000/LvacE(AA1762)</f>
        <v>29564.885062808095</v>
      </c>
      <c r="AD1762" s="10">
        <f t="shared" si="1072"/>
        <v>9.371667089981146E-3</v>
      </c>
      <c r="AE1762" s="10" t="b">
        <f t="shared" si="1073"/>
        <v>1</v>
      </c>
      <c r="AJ1762" t="s">
        <v>4971</v>
      </c>
      <c r="AK1762" t="s">
        <v>4905</v>
      </c>
      <c r="AL1762">
        <v>45844.65</v>
      </c>
      <c r="AM1762">
        <v>75409.58</v>
      </c>
      <c r="AN1762" s="10" cm="1">
        <f t="array" ref="AN1762">Lair(100000000/($AM1762-$AL1762))</f>
        <v>3381.414854619582</v>
      </c>
      <c r="AO1762" s="10">
        <f t="shared" ref="AO1762:AO1763" si="1101">100000000/($AM1762-$AL1762)</f>
        <v>3382.3858199562792</v>
      </c>
      <c r="AP1762" s="12">
        <v>61700000</v>
      </c>
      <c r="AQ1762" s="3">
        <v>0.1</v>
      </c>
      <c r="AR1762" s="3">
        <f t="shared" ref="AR1762:AR1763" si="1102">LN(AU1762*100000000/($AM1762-$AL1762)/AP1762)</f>
        <v>-8.2387935290938206</v>
      </c>
      <c r="AS1762" s="13">
        <f t="shared" ref="AS1762:AS1763" si="1103">EXP(AR$4341*$AM1762+AR$4342)*$AP1762/(100000000/($AM1762-$AL1762))</f>
        <v>5.6205454508744843</v>
      </c>
      <c r="AT1762" s="3">
        <f t="shared" ref="AT1762:AT1763" si="1104">LN(AS1762/$C1762)</f>
        <v>0.11699080207768148</v>
      </c>
      <c r="AU1762" s="16" cm="1">
        <f t="array" ref="AU1762">$C1762*EXP(poly_from_str(100000000/$E1762,AU$4342))</f>
        <v>4.8194718936023522</v>
      </c>
      <c r="AV1762" s="13">
        <f t="shared" ref="AV1762:AV1763" si="1105">LN(AS1762/AU1762)</f>
        <v>0.15376435809469199</v>
      </c>
    </row>
    <row r="1763" spans="1:48" x14ac:dyDescent="0.25">
      <c r="A1763" t="s">
        <v>2495</v>
      </c>
      <c r="B1763" s="2" t="str">
        <f t="shared" si="1065"/>
        <v/>
      </c>
      <c r="C1763">
        <v>150</v>
      </c>
      <c r="D1763" t="s">
        <v>134</v>
      </c>
      <c r="E1763" t="s">
        <v>2496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1097"/>
        <v>e</v>
      </c>
      <c r="N1763" t="str">
        <f t="shared" si="1098"/>
        <v>9/2</v>
      </c>
      <c r="O1763">
        <v>64857.15</v>
      </c>
      <c r="P1763" t="str">
        <f t="shared" si="1099"/>
        <v>o</v>
      </c>
      <c r="Q1763" t="str">
        <f t="shared" si="1100"/>
        <v>9/2</v>
      </c>
      <c r="R1763">
        <v>17</v>
      </c>
      <c r="AA1763" s="10">
        <f t="shared" si="1070"/>
        <v>3381.259</v>
      </c>
      <c r="AB1763" s="3">
        <f t="shared" si="1071"/>
        <v>29566.29</v>
      </c>
      <c r="AC1763" s="3" cm="1">
        <f t="array" ref="AC1763">100000000/LvacE(AA1763)</f>
        <v>29566.292762050965</v>
      </c>
      <c r="AD1763" s="10">
        <f t="shared" si="1072"/>
        <v>9.3720834106542812E-3</v>
      </c>
      <c r="AE1763" s="10" t="b">
        <f t="shared" si="1073"/>
        <v>1</v>
      </c>
      <c r="AJ1763" t="s">
        <v>4807</v>
      </c>
      <c r="AK1763" t="s">
        <v>4854</v>
      </c>
      <c r="AL1763">
        <v>35291</v>
      </c>
      <c r="AM1763">
        <v>64857.15</v>
      </c>
      <c r="AN1763" s="10" cm="1">
        <f t="array" ref="AN1763">Lair(100000000/($AM1763-$AL1763))</f>
        <v>3381.2753215119737</v>
      </c>
      <c r="AO1763" s="10">
        <f t="shared" si="1101"/>
        <v>3382.246251202811</v>
      </c>
      <c r="AP1763" s="12">
        <v>649000000</v>
      </c>
      <c r="AQ1763" s="3">
        <v>0.66900000000000004</v>
      </c>
      <c r="AR1763" s="3">
        <f t="shared" si="1102"/>
        <v>-7.1901969130112189</v>
      </c>
      <c r="AS1763" s="13">
        <f t="shared" si="1103"/>
        <v>130.52234588777966</v>
      </c>
      <c r="AT1763" s="3">
        <f t="shared" si="1104"/>
        <v>-0.13909084913563075</v>
      </c>
      <c r="AU1763" s="16" cm="1">
        <f t="array" ref="AU1763">$C1763*EXP(poly_from_str(100000000/$E1763,AU$4342))</f>
        <v>144.66938311491765</v>
      </c>
      <c r="AV1763" s="13">
        <f t="shared" si="1105"/>
        <v>-0.10290657758743649</v>
      </c>
    </row>
    <row r="1764" spans="1:48" x14ac:dyDescent="0.25">
      <c r="A1764" t="s">
        <v>2497</v>
      </c>
      <c r="B1764" s="2" t="str">
        <f t="shared" si="1065"/>
        <v/>
      </c>
      <c r="C1764">
        <v>0</v>
      </c>
      <c r="E1764" t="s">
        <v>2498</v>
      </c>
      <c r="R1764">
        <v>17</v>
      </c>
      <c r="S1764" t="s">
        <v>22</v>
      </c>
      <c r="AA1764" s="10">
        <f t="shared" si="1070"/>
        <v>3381.2130000000002</v>
      </c>
      <c r="AB1764" s="3">
        <f t="shared" si="1071"/>
        <v>29566.69</v>
      </c>
      <c r="AC1764" s="3" cm="1">
        <f t="array" ref="AC1764">100000000/LvacE(AA1764)</f>
        <v>29566.694986456252</v>
      </c>
      <c r="AD1764" s="10">
        <f t="shared" si="1072"/>
        <v>9.3722023703410959E-3</v>
      </c>
      <c r="AE1764" s="10" t="b">
        <f t="shared" si="1073"/>
        <v>1</v>
      </c>
      <c r="AP1764"/>
      <c r="AQ1764"/>
      <c r="AU1764" s="16" cm="1">
        <f t="array" ref="AU1764">$C1764*EXP(poly_from_str(100000000/$E1764,AU$4342))</f>
        <v>0</v>
      </c>
    </row>
    <row r="1765" spans="1:48" x14ac:dyDescent="0.25">
      <c r="A1765" t="s">
        <v>2499</v>
      </c>
      <c r="B1765" s="2" t="str">
        <f t="shared" si="1065"/>
        <v/>
      </c>
      <c r="C1765">
        <v>0</v>
      </c>
      <c r="E1765" t="s">
        <v>2500</v>
      </c>
      <c r="R1765">
        <v>17</v>
      </c>
      <c r="S1765" t="s">
        <v>22</v>
      </c>
      <c r="AA1765" s="10">
        <f t="shared" si="1070"/>
        <v>3381.1770000000001</v>
      </c>
      <c r="AB1765" s="3">
        <f t="shared" si="1071"/>
        <v>29567.01</v>
      </c>
      <c r="AC1765" s="3" cm="1">
        <f t="array" ref="AC1765">100000000/LvacE(AA1765)</f>
        <v>29567.009778407148</v>
      </c>
      <c r="AD1765" s="10">
        <f t="shared" si="1072"/>
        <v>9.3722954726131076E-3</v>
      </c>
      <c r="AE1765" s="10" t="b">
        <f t="shared" si="1073"/>
        <v>1</v>
      </c>
      <c r="AP1765"/>
      <c r="AQ1765"/>
      <c r="AU1765" s="16" cm="1">
        <f t="array" ref="AU1765">$C1765*EXP(poly_from_str(100000000/$E1765,AU$4342))</f>
        <v>0</v>
      </c>
    </row>
    <row r="1766" spans="1:48" x14ac:dyDescent="0.25">
      <c r="A1766" t="s">
        <v>2501</v>
      </c>
      <c r="B1766" s="2" t="str">
        <f t="shared" si="1065"/>
        <v/>
      </c>
      <c r="C1766">
        <v>5</v>
      </c>
      <c r="D1766" t="s">
        <v>1156</v>
      </c>
      <c r="E1766" t="s">
        <v>2502</v>
      </c>
      <c r="R1766">
        <v>17</v>
      </c>
      <c r="S1766" t="s">
        <v>22</v>
      </c>
      <c r="AA1766" s="10">
        <f t="shared" si="1070"/>
        <v>3380.9119999999998</v>
      </c>
      <c r="AB1766" s="3">
        <f t="shared" si="1071"/>
        <v>29569.33</v>
      </c>
      <c r="AC1766" s="3" cm="1">
        <f t="array" ref="AC1766">100000000/LvacE(AA1766)</f>
        <v>29569.327203223736</v>
      </c>
      <c r="AD1766" s="10">
        <f t="shared" si="1072"/>
        <v>9.3729809003049672E-3</v>
      </c>
      <c r="AE1766" s="10" t="b">
        <f t="shared" si="1073"/>
        <v>1</v>
      </c>
      <c r="AP1766"/>
      <c r="AQ1766"/>
      <c r="AU1766" s="16" cm="1">
        <f t="array" ref="AU1766">$C1766*EXP(poly_from_str(100000000/$E1766,AU$4342))</f>
        <v>4.8284395458018974</v>
      </c>
    </row>
    <row r="1767" spans="1:48" x14ac:dyDescent="0.25">
      <c r="A1767" t="s">
        <v>2503</v>
      </c>
      <c r="B1767" s="2" t="str">
        <f t="shared" si="1065"/>
        <v/>
      </c>
      <c r="C1767">
        <v>150</v>
      </c>
      <c r="D1767" t="s">
        <v>134</v>
      </c>
      <c r="E1767" t="s">
        <v>2504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1070"/>
        <v>3380.2130000000002</v>
      </c>
      <c r="AB1767" s="3">
        <f t="shared" si="1071"/>
        <v>29575.439999999999</v>
      </c>
      <c r="AC1767" s="3" cm="1">
        <f t="array" ref="AC1767">100000000/LvacE(AA1767)</f>
        <v>29575.441700937899</v>
      </c>
      <c r="AD1767" s="10">
        <f t="shared" si="1072"/>
        <v>9.3747896509684299E-3</v>
      </c>
      <c r="AE1767" s="10" t="b">
        <f t="shared" si="1073"/>
        <v>1</v>
      </c>
      <c r="AJ1767" t="s">
        <v>4761</v>
      </c>
      <c r="AK1767" t="s">
        <v>4837</v>
      </c>
      <c r="AL1767">
        <v>34825.49</v>
      </c>
      <c r="AM1767">
        <v>64401.03</v>
      </c>
      <c r="AN1767" s="10" cm="1">
        <f t="array" ref="AN1767">Lair(100000000/($AM1767-$AL1767))</f>
        <v>3380.2017593310984</v>
      </c>
      <c r="AO1767" s="10">
        <f>100000000/($AM1767-$AL1767)</f>
        <v>3381.1724147724776</v>
      </c>
      <c r="AP1767" s="12">
        <v>450000000</v>
      </c>
      <c r="AQ1767" s="3">
        <v>0.57099999999999995</v>
      </c>
      <c r="AR1767" s="3">
        <f>LN(AU1767*100000000/($AM1767-$AL1767)/AP1767)</f>
        <v>-6.8205110630688965</v>
      </c>
      <c r="AS1767" s="13">
        <f>EXP(AR$4341*$AM1767+AR$4342)*$AP1767/(100000000/($AM1767-$AL1767))</f>
        <v>93.682104296643786</v>
      </c>
      <c r="AT1767" s="3">
        <f>LN(AS1767/$C1767)</f>
        <v>-0.47072811245613033</v>
      </c>
      <c r="AU1767" s="16" cm="1">
        <f t="array" ref="AU1767">$C1767*EXP(poly_from_str(100000000/$E1767,AU$4342))</f>
        <v>145.22282413526287</v>
      </c>
      <c r="AV1767" s="13">
        <f>LN(AS1767/AU1767)</f>
        <v>-0.43836209941156445</v>
      </c>
    </row>
    <row r="1768" spans="1:48" x14ac:dyDescent="0.25">
      <c r="A1768" t="s">
        <v>2505</v>
      </c>
      <c r="B1768" s="2" t="str">
        <f t="shared" si="1065"/>
        <v/>
      </c>
      <c r="C1768">
        <v>0</v>
      </c>
      <c r="E1768" t="s">
        <v>2506</v>
      </c>
      <c r="R1768">
        <v>17</v>
      </c>
      <c r="S1768" t="s">
        <v>22</v>
      </c>
      <c r="AA1768" s="10">
        <f t="shared" si="1070"/>
        <v>3380.16</v>
      </c>
      <c r="AB1768" s="3">
        <f t="shared" si="1071"/>
        <v>29575.91</v>
      </c>
      <c r="AC1768" s="3" cm="1">
        <f t="array" ref="AC1768">100000000/LvacE(AA1768)</f>
        <v>29575.905421212585</v>
      </c>
      <c r="AD1768" s="10">
        <f t="shared" si="1072"/>
        <v>9.3749268409206339E-3</v>
      </c>
      <c r="AE1768" s="10" t="b">
        <f t="shared" si="1073"/>
        <v>1</v>
      </c>
      <c r="AP1768"/>
      <c r="AQ1768"/>
      <c r="AU1768" s="16" cm="1">
        <f t="array" ref="AU1768">$C1768*EXP(poly_from_str(100000000/$E1768,AU$4342))</f>
        <v>0</v>
      </c>
    </row>
    <row r="1769" spans="1:48" x14ac:dyDescent="0.25">
      <c r="A1769" t="s">
        <v>2507</v>
      </c>
      <c r="B1769" s="2" t="str">
        <f t="shared" si="1065"/>
        <v/>
      </c>
      <c r="C1769">
        <v>0</v>
      </c>
      <c r="E1769" t="s">
        <v>2508</v>
      </c>
      <c r="R1769">
        <v>17</v>
      </c>
      <c r="S1769" t="s">
        <v>22</v>
      </c>
      <c r="AA1769" s="10">
        <f t="shared" si="1070"/>
        <v>3380.1149999999998</v>
      </c>
      <c r="AB1769" s="3">
        <f t="shared" si="1071"/>
        <v>29576.3</v>
      </c>
      <c r="AC1769" s="3" cm="1">
        <f t="array" ref="AC1769">100000000/LvacE(AA1769)</f>
        <v>29576.299157388799</v>
      </c>
      <c r="AD1769" s="10">
        <f t="shared" si="1072"/>
        <v>9.375043328021207E-3</v>
      </c>
      <c r="AE1769" s="10" t="b">
        <f t="shared" si="1073"/>
        <v>1</v>
      </c>
      <c r="AP1769"/>
      <c r="AQ1769"/>
      <c r="AU1769" s="16" cm="1">
        <f t="array" ref="AU1769">$C1769*EXP(poly_from_str(100000000/$E1769,AU$4342))</f>
        <v>0</v>
      </c>
    </row>
    <row r="1770" spans="1:48" x14ac:dyDescent="0.25">
      <c r="A1770" t="s">
        <v>2509</v>
      </c>
      <c r="B1770" s="2" t="str">
        <f t="shared" si="1065"/>
        <v/>
      </c>
      <c r="C1770">
        <v>50</v>
      </c>
      <c r="D1770" t="s">
        <v>134</v>
      </c>
      <c r="E1770" t="s">
        <v>2510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1070"/>
        <v>3379.1309999999999</v>
      </c>
      <c r="AB1770" s="3">
        <f t="shared" si="1071"/>
        <v>29584.91</v>
      </c>
      <c r="AC1770" s="3" cm="1">
        <f t="array" ref="AC1770">100000000/LvacE(AA1770)</f>
        <v>29584.91147676055</v>
      </c>
      <c r="AD1770" s="10">
        <f t="shared" si="1072"/>
        <v>9.3775916761973041E-3</v>
      </c>
      <c r="AE1770" s="10" t="b">
        <f t="shared" si="1073"/>
        <v>1</v>
      </c>
      <c r="AJ1770" t="s">
        <v>4973</v>
      </c>
      <c r="AK1770" t="s">
        <v>4911</v>
      </c>
      <c r="AL1770">
        <v>51312.800000000003</v>
      </c>
      <c r="AM1770">
        <v>80897.850000000006</v>
      </c>
      <c r="AN1770" s="10" cm="1">
        <f t="array" ref="AN1770">Lair(100000000/($AM1770-$AL1770))</f>
        <v>3379.1151720855964</v>
      </c>
      <c r="AO1770" s="10">
        <f>100000000/($AM1770-$AL1770)</f>
        <v>3380.0855499652694</v>
      </c>
      <c r="AP1770" s="12">
        <v>643000000</v>
      </c>
      <c r="AQ1770" s="3">
        <v>0.80600000000000005</v>
      </c>
      <c r="AR1770" s="3">
        <f>LN(AU1770*100000000/($AM1770-$AL1770)/AP1770)</f>
        <v>-8.2724008302194711</v>
      </c>
      <c r="AS1770" s="13">
        <f>EXP(AR$4341*$AM1770+AR$4342)*$AP1770/(100000000/($AM1770-$AL1770))</f>
        <v>38.826108955025951</v>
      </c>
      <c r="AT1770" s="3">
        <f>LN(AS1770/$C1770)</f>
        <v>-0.25293007389014327</v>
      </c>
      <c r="AU1770" s="16" cm="1">
        <f t="array" ref="AU1770">$C1770*EXP(poly_from_str(100000000/$E1770,AU$4342))</f>
        <v>48.598766658390041</v>
      </c>
      <c r="AV1770" s="13">
        <f>LN(AS1770/AU1770)</f>
        <v>-0.22450522164705169</v>
      </c>
    </row>
    <row r="1771" spans="1:48" x14ac:dyDescent="0.25">
      <c r="A1771" t="s">
        <v>2511</v>
      </c>
      <c r="B1771" s="2" t="str">
        <f t="shared" si="1065"/>
        <v/>
      </c>
      <c r="C1771">
        <v>0</v>
      </c>
      <c r="E1771" t="s">
        <v>2512</v>
      </c>
      <c r="R1771">
        <v>17</v>
      </c>
      <c r="S1771" t="s">
        <v>22</v>
      </c>
      <c r="AA1771" s="10">
        <f t="shared" si="1070"/>
        <v>3379.049</v>
      </c>
      <c r="AB1771" s="3">
        <f t="shared" si="1071"/>
        <v>29585.63</v>
      </c>
      <c r="AC1771" s="3" cm="1">
        <f t="array" ref="AC1771">100000000/LvacE(AA1771)</f>
        <v>29585.629396442542</v>
      </c>
      <c r="AD1771" s="10">
        <f t="shared" si="1072"/>
        <v>9.37780413904068E-3</v>
      </c>
      <c r="AE1771" s="10" t="b">
        <f t="shared" si="1073"/>
        <v>1</v>
      </c>
      <c r="AP1771"/>
      <c r="AQ1771"/>
      <c r="AU1771" s="16" cm="1">
        <f t="array" ref="AU1771">$C1771*EXP(poly_from_str(100000000/$E1771,AU$4342))</f>
        <v>0</v>
      </c>
    </row>
    <row r="1772" spans="1:48" x14ac:dyDescent="0.25">
      <c r="A1772" t="s">
        <v>2513</v>
      </c>
      <c r="B1772" s="2" t="str">
        <f t="shared" si="1065"/>
        <v/>
      </c>
      <c r="C1772">
        <v>0</v>
      </c>
      <c r="E1772" t="s">
        <v>2514</v>
      </c>
      <c r="R1772">
        <v>17</v>
      </c>
      <c r="S1772" t="s">
        <v>22</v>
      </c>
      <c r="AA1772" s="10">
        <f t="shared" si="1070"/>
        <v>3378.9839999999999</v>
      </c>
      <c r="AB1772" s="3">
        <f t="shared" si="1071"/>
        <v>29586.2</v>
      </c>
      <c r="AC1772" s="3" cm="1">
        <f t="array" ref="AC1772">100000000/LvacE(AA1772)</f>
        <v>29586.198503873449</v>
      </c>
      <c r="AD1772" s="10">
        <f t="shared" si="1072"/>
        <v>9.3779725656992531E-3</v>
      </c>
      <c r="AE1772" s="10" t="b">
        <f t="shared" si="1073"/>
        <v>1</v>
      </c>
      <c r="AP1772"/>
      <c r="AQ1772"/>
      <c r="AU1772" s="16" cm="1">
        <f t="array" ref="AU1772">$C1772*EXP(poly_from_str(100000000/$E1772,AU$4342))</f>
        <v>0</v>
      </c>
    </row>
    <row r="1773" spans="1:48" x14ac:dyDescent="0.25">
      <c r="A1773" t="s">
        <v>2515</v>
      </c>
      <c r="B1773" s="2" t="str">
        <f t="shared" si="1065"/>
        <v/>
      </c>
      <c r="C1773">
        <v>0</v>
      </c>
      <c r="E1773" t="s">
        <v>2516</v>
      </c>
      <c r="R1773">
        <v>17</v>
      </c>
      <c r="S1773" t="s">
        <v>22</v>
      </c>
      <c r="AA1773" s="10">
        <f t="shared" si="1070"/>
        <v>3378.9360000000001</v>
      </c>
      <c r="AB1773" s="3">
        <f t="shared" si="1071"/>
        <v>29586.62</v>
      </c>
      <c r="AC1773" s="3" cm="1">
        <f t="array" ref="AC1773">100000000/LvacE(AA1773)</f>
        <v>29586.618781876346</v>
      </c>
      <c r="AD1773" s="10">
        <f t="shared" si="1072"/>
        <v>9.3780969485477601E-3</v>
      </c>
      <c r="AE1773" s="10" t="b">
        <f t="shared" si="1073"/>
        <v>1</v>
      </c>
      <c r="AP1773"/>
      <c r="AQ1773"/>
      <c r="AU1773" s="16" cm="1">
        <f t="array" ref="AU1773">$C1773*EXP(poly_from_str(100000000/$E1773,AU$4342))</f>
        <v>0</v>
      </c>
    </row>
    <row r="1774" spans="1:48" x14ac:dyDescent="0.25">
      <c r="A1774" t="s">
        <v>2517</v>
      </c>
      <c r="B1774" s="2" t="str">
        <f t="shared" si="1065"/>
        <v/>
      </c>
      <c r="C1774">
        <v>0</v>
      </c>
      <c r="E1774" t="s">
        <v>2518</v>
      </c>
      <c r="R1774">
        <v>17</v>
      </c>
      <c r="S1774" t="s">
        <v>22</v>
      </c>
      <c r="AA1774" s="10">
        <f t="shared" si="1070"/>
        <v>3378.9050000000002</v>
      </c>
      <c r="AB1774" s="3">
        <f t="shared" si="1071"/>
        <v>29586.89</v>
      </c>
      <c r="AC1774" s="3" cm="1">
        <f t="array" ref="AC1774">100000000/LvacE(AA1774)</f>
        <v>29586.890217765664</v>
      </c>
      <c r="AD1774" s="10">
        <f t="shared" si="1072"/>
        <v>9.3781772819546069E-3</v>
      </c>
      <c r="AE1774" s="10" t="b">
        <f t="shared" si="1073"/>
        <v>1</v>
      </c>
      <c r="AP1774"/>
      <c r="AQ1774"/>
      <c r="AU1774" s="16" cm="1">
        <f t="array" ref="AU1774">$C1774*EXP(poly_from_str(100000000/$E1774,AU$4342))</f>
        <v>0</v>
      </c>
    </row>
    <row r="1775" spans="1:48" x14ac:dyDescent="0.25">
      <c r="A1775" t="s">
        <v>2519</v>
      </c>
      <c r="B1775" s="2" t="str">
        <f t="shared" si="1065"/>
        <v/>
      </c>
      <c r="C1775">
        <v>0</v>
      </c>
      <c r="E1775" t="s">
        <v>2520</v>
      </c>
      <c r="R1775">
        <v>17</v>
      </c>
      <c r="S1775" t="s">
        <v>22</v>
      </c>
      <c r="AA1775" s="10">
        <f t="shared" si="1070"/>
        <v>3378.88</v>
      </c>
      <c r="AB1775" s="3">
        <f t="shared" si="1071"/>
        <v>29587.11</v>
      </c>
      <c r="AC1775" s="3" cm="1">
        <f t="array" ref="AC1775">100000000/LvacE(AA1775)</f>
        <v>29587.109121304155</v>
      </c>
      <c r="AD1775" s="10">
        <f t="shared" si="1072"/>
        <v>9.3782420685706736E-3</v>
      </c>
      <c r="AE1775" s="10" t="b">
        <f t="shared" si="1073"/>
        <v>1</v>
      </c>
      <c r="AP1775"/>
      <c r="AQ1775"/>
      <c r="AU1775" s="16" cm="1">
        <f t="array" ref="AU1775">$C1775*EXP(poly_from_str(100000000/$E1775,AU$4342))</f>
        <v>0</v>
      </c>
    </row>
    <row r="1776" spans="1:48" x14ac:dyDescent="0.25">
      <c r="A1776" t="s">
        <v>2521</v>
      </c>
      <c r="B1776" s="2" t="str">
        <f t="shared" si="1065"/>
        <v/>
      </c>
      <c r="C1776">
        <v>5</v>
      </c>
      <c r="D1776" t="s">
        <v>1156</v>
      </c>
      <c r="E1776" t="s">
        <v>2522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1106">$G1776&amp;""</f>
        <v>e</v>
      </c>
      <c r="N1776" t="str">
        <f t="shared" ref="N1776:N1777" si="1107">$H1776&amp;""</f>
        <v>5/2</v>
      </c>
      <c r="O1776">
        <v>64979.55</v>
      </c>
      <c r="P1776" t="str">
        <f t="shared" ref="P1776:P1777" si="1108">$J1776&amp;""</f>
        <v>o</v>
      </c>
      <c r="Q1776" t="str">
        <f t="shared" ref="Q1776:Q1777" si="1109">$K1776&amp;""</f>
        <v>7/2</v>
      </c>
      <c r="R1776">
        <v>17</v>
      </c>
      <c r="AA1776" s="10">
        <f t="shared" si="1070"/>
        <v>3377.9720000000002</v>
      </c>
      <c r="AB1776" s="3">
        <f t="shared" si="1071"/>
        <v>29595.06</v>
      </c>
      <c r="AC1776" s="3" cm="1">
        <f t="array" ref="AC1776">100000000/LvacE(AA1776)</f>
        <v>29595.061893663576</v>
      </c>
      <c r="AD1776" s="10">
        <f t="shared" si="1072"/>
        <v>9.3805960934050924E-3</v>
      </c>
      <c r="AE1776" s="10" t="b">
        <f t="shared" si="1073"/>
        <v>1</v>
      </c>
      <c r="AJ1776" t="s">
        <v>4728</v>
      </c>
      <c r="AK1776" t="s">
        <v>4912</v>
      </c>
      <c r="AL1776">
        <v>35384.17</v>
      </c>
      <c r="AM1776">
        <v>64979.55</v>
      </c>
      <c r="AN1776" s="10" cm="1">
        <f t="array" ref="AN1776">Lair(100000000/($AM1776-$AL1776))</f>
        <v>3377.9356850379954</v>
      </c>
      <c r="AO1776" s="10">
        <f t="shared" ref="AO1776:AO1777" si="1110">100000000/($AM1776-$AL1776)</f>
        <v>3378.9057616425262</v>
      </c>
      <c r="AP1776" s="12">
        <v>26500000</v>
      </c>
      <c r="AQ1776" s="3">
        <v>0.29399999999999998</v>
      </c>
      <c r="AR1776" s="3">
        <f t="shared" ref="AR1776:AR1777" si="1111">LN(AU1776*100000000/($AM1776-$AL1776)/AP1776)</f>
        <v>-7.3821228969140158</v>
      </c>
      <c r="AS1776" s="13">
        <f t="shared" ref="AS1776:AS1777" si="1112">EXP(AR$4341*$AM1776+AR$4342)*$AP1776/(100000000/($AM1776-$AL1776))</f>
        <v>5.2859844796010611</v>
      </c>
      <c r="AT1776" s="3">
        <f t="shared" ref="AT1776:AT1777" si="1113">LN(AS1776/$C1776)</f>
        <v>5.5620967610705424E-2</v>
      </c>
      <c r="AU1776" s="16" cm="1">
        <f t="array" ref="AU1776">$C1776*EXP(poly_from_str(100000000/$E1776,AU$4342))</f>
        <v>4.88039030470547</v>
      </c>
      <c r="AV1776" s="13">
        <f t="shared" ref="AV1776:AV1777" si="1114">LN(AS1776/AU1776)</f>
        <v>7.9833682905585068E-2</v>
      </c>
    </row>
    <row r="1777" spans="1:48" x14ac:dyDescent="0.25">
      <c r="A1777" t="s">
        <v>2523</v>
      </c>
      <c r="B1777" s="2" t="str">
        <f t="shared" si="1065"/>
        <v/>
      </c>
      <c r="C1777">
        <v>100</v>
      </c>
      <c r="D1777" t="s">
        <v>134</v>
      </c>
      <c r="E1777" t="s">
        <v>2524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1106"/>
        <v>e</v>
      </c>
      <c r="N1777" t="str">
        <f t="shared" si="1107"/>
        <v>5/2</v>
      </c>
      <c r="O1777">
        <v>75409.58</v>
      </c>
      <c r="P1777" t="str">
        <f t="shared" si="1108"/>
        <v>o</v>
      </c>
      <c r="Q1777" t="str">
        <f t="shared" si="1109"/>
        <v>3/2</v>
      </c>
      <c r="R1777">
        <v>17</v>
      </c>
      <c r="AA1777" s="10">
        <f t="shared" si="1070"/>
        <v>3377.1410000000001</v>
      </c>
      <c r="AB1777" s="3">
        <f t="shared" si="1071"/>
        <v>29602.34</v>
      </c>
      <c r="AC1777" s="3" cm="1">
        <f t="array" ref="AC1777">100000000/LvacE(AA1777)</f>
        <v>29602.34400457899</v>
      </c>
      <c r="AD1777" s="10">
        <f t="shared" si="1072"/>
        <v>9.3827521570137261E-3</v>
      </c>
      <c r="AE1777" s="10" t="b">
        <f t="shared" si="1073"/>
        <v>1</v>
      </c>
      <c r="AJ1777" t="s">
        <v>4972</v>
      </c>
      <c r="AK1777" t="s">
        <v>4905</v>
      </c>
      <c r="AL1777">
        <v>45807.1</v>
      </c>
      <c r="AM1777">
        <v>75409.58</v>
      </c>
      <c r="AN1777" s="10" cm="1">
        <f t="array" ref="AN1777">Lair(100000000/($AM1777-$AL1777))</f>
        <v>3377.1254791032011</v>
      </c>
      <c r="AO1777" s="10">
        <f t="shared" si="1110"/>
        <v>3378.0953487680758</v>
      </c>
      <c r="AP1777" s="12">
        <v>665000000</v>
      </c>
      <c r="AQ1777" s="3">
        <v>0.81899999999999995</v>
      </c>
      <c r="AR1777" s="3">
        <f t="shared" si="1111"/>
        <v>-7.6062593537833765</v>
      </c>
      <c r="AS1777" s="13">
        <f t="shared" si="1112"/>
        <v>60.654941287930733</v>
      </c>
      <c r="AT1777" s="3">
        <f t="shared" si="1113"/>
        <v>-0.49996908173318633</v>
      </c>
      <c r="AU1777" s="16" cm="1">
        <f t="array" ref="AU1777">$C1777*EXP(poly_from_str(100000000/$E1777,AU$4342))</f>
        <v>97.902386041433488</v>
      </c>
      <c r="AV1777" s="13">
        <f t="shared" si="1114"/>
        <v>-0.47876981721575146</v>
      </c>
    </row>
    <row r="1778" spans="1:48" x14ac:dyDescent="0.25">
      <c r="A1778" t="s">
        <v>2525</v>
      </c>
      <c r="B1778" s="2" t="str">
        <f t="shared" si="1065"/>
        <v/>
      </c>
      <c r="C1778">
        <v>0</v>
      </c>
      <c r="E1778" t="s">
        <v>2526</v>
      </c>
      <c r="R1778">
        <v>17</v>
      </c>
      <c r="S1778" t="s">
        <v>22</v>
      </c>
      <c r="AA1778" s="10">
        <f t="shared" si="1070"/>
        <v>3377.058</v>
      </c>
      <c r="AB1778" s="3">
        <f t="shared" si="1071"/>
        <v>29603.07</v>
      </c>
      <c r="AC1778" s="3" cm="1">
        <f t="array" ref="AC1778">100000000/LvacE(AA1778)</f>
        <v>29603.071536206015</v>
      </c>
      <c r="AD1778" s="10">
        <f t="shared" si="1072"/>
        <v>9.3829675913481535E-3</v>
      </c>
      <c r="AE1778" s="10" t="b">
        <f t="shared" si="1073"/>
        <v>1</v>
      </c>
      <c r="AP1778"/>
      <c r="AQ1778"/>
      <c r="AU1778" s="16" cm="1">
        <f t="array" ref="AU1778">$C1778*EXP(poly_from_str(100000000/$E1778,AU$4342))</f>
        <v>0</v>
      </c>
    </row>
    <row r="1779" spans="1:48" x14ac:dyDescent="0.25">
      <c r="A1779" t="s">
        <v>2527</v>
      </c>
      <c r="B1779" s="2" t="str">
        <f t="shared" si="1065"/>
        <v/>
      </c>
      <c r="C1779">
        <v>0</v>
      </c>
      <c r="E1779" t="s">
        <v>2528</v>
      </c>
      <c r="R1779">
        <v>17</v>
      </c>
      <c r="S1779" t="s">
        <v>22</v>
      </c>
      <c r="AA1779" s="10">
        <f t="shared" si="1070"/>
        <v>3376.9929999999999</v>
      </c>
      <c r="AB1779" s="3">
        <f t="shared" si="1071"/>
        <v>29603.64</v>
      </c>
      <c r="AC1779" s="3" cm="1">
        <f t="array" ref="AC1779">100000000/LvacE(AA1779)</f>
        <v>29603.641314858498</v>
      </c>
      <c r="AD1779" s="10">
        <f t="shared" si="1072"/>
        <v>9.3831363160744637E-3</v>
      </c>
      <c r="AE1779" s="10" t="b">
        <f t="shared" si="1073"/>
        <v>1</v>
      </c>
      <c r="AP1779"/>
      <c r="AQ1779"/>
      <c r="AU1779" s="16" cm="1">
        <f t="array" ref="AU1779">$C1779*EXP(poly_from_str(100000000/$E1779,AU$4342))</f>
        <v>0</v>
      </c>
    </row>
    <row r="1780" spans="1:48" x14ac:dyDescent="0.25">
      <c r="A1780" t="s">
        <v>2529</v>
      </c>
      <c r="B1780" s="2" t="str">
        <f t="shared" si="1065"/>
        <v/>
      </c>
      <c r="C1780">
        <v>0</v>
      </c>
      <c r="E1780" t="s">
        <v>2530</v>
      </c>
      <c r="R1780">
        <v>17</v>
      </c>
      <c r="S1780" t="s">
        <v>22</v>
      </c>
      <c r="AA1780" s="10">
        <f t="shared" si="1070"/>
        <v>3376.9430000000002</v>
      </c>
      <c r="AB1780" s="3">
        <f t="shared" si="1071"/>
        <v>29604.080000000002</v>
      </c>
      <c r="AC1780" s="3" cm="1">
        <f t="array" ref="AC1780">100000000/LvacE(AA1780)</f>
        <v>29604.079621054614</v>
      </c>
      <c r="AD1780" s="10">
        <f t="shared" si="1072"/>
        <v>9.3832661109551768E-3</v>
      </c>
      <c r="AE1780" s="10" t="b">
        <f t="shared" si="1073"/>
        <v>1</v>
      </c>
      <c r="AP1780"/>
      <c r="AQ1780"/>
      <c r="AU1780" s="16" cm="1">
        <f t="array" ref="AU1780">$C1780*EXP(poly_from_str(100000000/$E1780,AU$4342))</f>
        <v>0</v>
      </c>
    </row>
    <row r="1781" spans="1:48" x14ac:dyDescent="0.25">
      <c r="A1781" t="s">
        <v>2531</v>
      </c>
      <c r="B1781" s="2" t="str">
        <f t="shared" si="1065"/>
        <v/>
      </c>
      <c r="C1781">
        <v>0</v>
      </c>
      <c r="E1781" t="s">
        <v>2532</v>
      </c>
      <c r="R1781">
        <v>17</v>
      </c>
      <c r="S1781" t="s">
        <v>22</v>
      </c>
      <c r="AA1781" s="10">
        <f t="shared" si="1070"/>
        <v>3376.9160000000002</v>
      </c>
      <c r="AB1781" s="3">
        <f t="shared" si="1071"/>
        <v>29604.32</v>
      </c>
      <c r="AC1781" s="3" cm="1">
        <f t="array" ref="AC1781">100000000/LvacE(AA1781)</f>
        <v>29604.316311797098</v>
      </c>
      <c r="AD1781" s="10">
        <f t="shared" si="1072"/>
        <v>9.3833362025879663E-3</v>
      </c>
      <c r="AE1781" s="10" t="b">
        <f t="shared" si="1073"/>
        <v>1</v>
      </c>
      <c r="AP1781"/>
      <c r="AQ1781"/>
      <c r="AU1781" s="16" cm="1">
        <f t="array" ref="AU1781">$C1781*EXP(poly_from_str(100000000/$E1781,AU$4342))</f>
        <v>0</v>
      </c>
    </row>
    <row r="1782" spans="1:48" x14ac:dyDescent="0.25">
      <c r="A1782" t="s">
        <v>2533</v>
      </c>
      <c r="B1782" s="2" t="str">
        <f t="shared" si="1065"/>
        <v/>
      </c>
      <c r="C1782">
        <v>1</v>
      </c>
      <c r="E1782" t="s">
        <v>2534</v>
      </c>
      <c r="R1782">
        <v>17</v>
      </c>
      <c r="S1782" t="s">
        <v>22</v>
      </c>
      <c r="AA1782" s="10">
        <f t="shared" si="1070"/>
        <v>3376.3310000000001</v>
      </c>
      <c r="AB1782" s="3">
        <f t="shared" si="1071"/>
        <v>29609.45</v>
      </c>
      <c r="AC1782" s="3" cm="1">
        <f t="array" ref="AC1782">100000000/LvacE(AA1782)</f>
        <v>29609.445540732759</v>
      </c>
      <c r="AD1782" s="10">
        <f t="shared" si="1072"/>
        <v>9.3848552675571146E-3</v>
      </c>
      <c r="AE1782" s="10" t="b">
        <f t="shared" si="1073"/>
        <v>1</v>
      </c>
      <c r="AP1782"/>
      <c r="AQ1782"/>
      <c r="AU1782" s="16" cm="1">
        <f t="array" ref="AU1782">$C1782*EXP(poly_from_str(100000000/$E1782,AU$4342))</f>
        <v>0.98190337497622215</v>
      </c>
    </row>
    <row r="1783" spans="1:48" x14ac:dyDescent="0.25">
      <c r="A1783" t="s">
        <v>2535</v>
      </c>
      <c r="B1783" s="2" t="str">
        <f t="shared" si="1065"/>
        <v/>
      </c>
      <c r="C1783">
        <v>3</v>
      </c>
      <c r="E1783" t="s">
        <v>2536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1070"/>
        <v>3373.1669999999999</v>
      </c>
      <c r="AB1783" s="3">
        <f t="shared" si="1071"/>
        <v>29637.22</v>
      </c>
      <c r="AC1783" s="3" cm="1">
        <f t="array" ref="AC1783">100000000/LvacE(AA1783)</f>
        <v>29637.218047503382</v>
      </c>
      <c r="AD1783" s="10">
        <f t="shared" si="1072"/>
        <v>9.3930849032234955E-3</v>
      </c>
      <c r="AE1783" s="10" t="b">
        <f t="shared" si="1073"/>
        <v>1</v>
      </c>
      <c r="AJ1783" t="s">
        <v>4794</v>
      </c>
      <c r="AK1783" t="s">
        <v>4923</v>
      </c>
      <c r="AL1783">
        <v>38694.51</v>
      </c>
      <c r="AM1783">
        <v>68331.75</v>
      </c>
      <c r="AN1783" s="10" cm="1">
        <f t="array" ref="AN1783">Lair(100000000/($AM1783-$AL1783))</f>
        <v>3373.164495759991</v>
      </c>
      <c r="AO1783" s="10">
        <f>100000000/($AM1783-$AL1783)</f>
        <v>3374.1333538480644</v>
      </c>
      <c r="AP1783" s="12">
        <v>158000</v>
      </c>
      <c r="AQ1783" s="3">
        <v>4.0000000000000001E-3</v>
      </c>
      <c r="AR1783" s="3"/>
      <c r="AS1783" s="13">
        <f>EXP(AR$4341*$AM1783+AR$4342)*$AP1783/(100000000/($AM1783-$AL1783))</f>
        <v>2.4541138754339182E-2</v>
      </c>
      <c r="AT1783" s="3"/>
      <c r="AU1783" s="16" cm="1">
        <f t="array" ref="AU1783">$C1783*EXP(poly_from_str(100000000/$E1783,AU$4342))</f>
        <v>2.9795195064914406</v>
      </c>
    </row>
    <row r="1784" spans="1:48" x14ac:dyDescent="0.25">
      <c r="A1784" t="s">
        <v>2537</v>
      </c>
      <c r="B1784" s="2" t="str">
        <f t="shared" si="1065"/>
        <v/>
      </c>
      <c r="C1784">
        <v>2</v>
      </c>
      <c r="E1784" t="s">
        <v>2538</v>
      </c>
      <c r="R1784">
        <v>17</v>
      </c>
      <c r="S1784" t="s">
        <v>22</v>
      </c>
      <c r="AA1784" s="10">
        <f t="shared" si="1070"/>
        <v>3372.7840000000001</v>
      </c>
      <c r="AB1784" s="3">
        <f t="shared" si="1071"/>
        <v>29640.58</v>
      </c>
      <c r="AC1784" s="3" cm="1">
        <f t="array" ref="AC1784">100000000/LvacE(AA1784)</f>
        <v>29640.583425440607</v>
      </c>
      <c r="AD1784" s="10">
        <f t="shared" si="1072"/>
        <v>9.394082666639875E-3</v>
      </c>
      <c r="AE1784" s="10" t="b">
        <f t="shared" si="1073"/>
        <v>1</v>
      </c>
      <c r="AP1784"/>
      <c r="AQ1784"/>
      <c r="AU1784" s="16" cm="1">
        <f t="array" ref="AU1784">$C1784*EXP(poly_from_str(100000000/$E1784,AU$4342))</f>
        <v>1.9890783511206407</v>
      </c>
    </row>
    <row r="1785" spans="1:48" x14ac:dyDescent="0.25">
      <c r="A1785" t="s">
        <v>2539</v>
      </c>
      <c r="B1785" s="2" t="str">
        <f t="shared" si="1065"/>
        <v/>
      </c>
      <c r="C1785">
        <v>0</v>
      </c>
      <c r="E1785" t="s">
        <v>2540</v>
      </c>
      <c r="R1785">
        <v>17</v>
      </c>
      <c r="S1785" t="s">
        <v>22</v>
      </c>
      <c r="AA1785" s="10">
        <f t="shared" si="1070"/>
        <v>3372.0210000000002</v>
      </c>
      <c r="AB1785" s="3">
        <f t="shared" si="1071"/>
        <v>29647.29</v>
      </c>
      <c r="AC1785" s="3" cm="1">
        <f t="array" ref="AC1785">100000000/LvacE(AA1785)</f>
        <v>29647.290099055634</v>
      </c>
      <c r="AD1785" s="10">
        <f t="shared" si="1072"/>
        <v>9.3960713914675552E-3</v>
      </c>
      <c r="AE1785" s="10" t="b">
        <f t="shared" si="1073"/>
        <v>1</v>
      </c>
      <c r="AP1785"/>
      <c r="AQ1785"/>
      <c r="AU1785" s="16" cm="1">
        <f t="array" ref="AU1785">$C1785*EXP(poly_from_str(100000000/$E1785,AU$4342))</f>
        <v>0</v>
      </c>
    </row>
    <row r="1786" spans="1:48" x14ac:dyDescent="0.25">
      <c r="A1786" t="s">
        <v>2541</v>
      </c>
      <c r="B1786" s="2" t="str">
        <f t="shared" si="1065"/>
        <v/>
      </c>
      <c r="C1786">
        <v>0</v>
      </c>
      <c r="E1786" t="s">
        <v>2542</v>
      </c>
      <c r="R1786">
        <v>17</v>
      </c>
      <c r="S1786" t="s">
        <v>22</v>
      </c>
      <c r="AA1786" s="10">
        <f t="shared" si="1070"/>
        <v>3371.9780000000001</v>
      </c>
      <c r="AB1786" s="3">
        <f t="shared" si="1071"/>
        <v>29647.67</v>
      </c>
      <c r="AC1786" s="3" cm="1">
        <f t="array" ref="AC1786">100000000/LvacE(AA1786)</f>
        <v>29647.668153963288</v>
      </c>
      <c r="AD1786" s="10">
        <f t="shared" si="1072"/>
        <v>9.3961835091989458E-3</v>
      </c>
      <c r="AE1786" s="10" t="b">
        <f t="shared" si="1073"/>
        <v>1</v>
      </c>
      <c r="AP1786"/>
      <c r="AQ1786"/>
      <c r="AU1786" s="16" cm="1">
        <f t="array" ref="AU1786">$C1786*EXP(poly_from_str(100000000/$E1786,AU$4342))</f>
        <v>0</v>
      </c>
    </row>
    <row r="1787" spans="1:48" x14ac:dyDescent="0.25">
      <c r="A1787" t="s">
        <v>2543</v>
      </c>
      <c r="B1787" s="2" t="str">
        <f t="shared" si="1065"/>
        <v/>
      </c>
      <c r="C1787">
        <v>100</v>
      </c>
      <c r="D1787" t="s">
        <v>170</v>
      </c>
      <c r="E1787" t="s">
        <v>2544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1115">$G1787&amp;""</f>
        <v>e</v>
      </c>
      <c r="N1787" t="str">
        <f t="shared" ref="N1787:N1790" si="1116">$H1787&amp;""</f>
        <v>7/2</v>
      </c>
      <c r="O1787">
        <v>68374.539999999994</v>
      </c>
      <c r="P1787" t="str">
        <f t="shared" ref="P1787:P1790" si="1117">$J1787&amp;""</f>
        <v>o</v>
      </c>
      <c r="Q1787" t="str">
        <f t="shared" ref="Q1787:Q1790" si="1118">$K1787&amp;""</f>
        <v>9/2</v>
      </c>
      <c r="R1787">
        <v>17</v>
      </c>
      <c r="AA1787" s="10">
        <f t="shared" si="1070"/>
        <v>3371.924</v>
      </c>
      <c r="AB1787" s="3">
        <f t="shared" si="1071"/>
        <v>29648.14</v>
      </c>
      <c r="AC1787" s="3" cm="1">
        <f t="array" ref="AC1787">100000000/LvacE(AA1787)</f>
        <v>29648.142934248364</v>
      </c>
      <c r="AD1787" s="10">
        <f t="shared" si="1072"/>
        <v>9.3963243142859039E-3</v>
      </c>
      <c r="AE1787" s="10" t="b">
        <f t="shared" si="1073"/>
        <v>1</v>
      </c>
      <c r="AJ1787" t="s">
        <v>4750</v>
      </c>
      <c r="AK1787" t="s">
        <v>4739</v>
      </c>
      <c r="AL1787">
        <v>38726.5</v>
      </c>
      <c r="AM1787">
        <v>68374.539999999994</v>
      </c>
      <c r="AN1787" s="10" cm="1">
        <f t="array" ref="AN1787">Lair(100000000/($AM1787-$AL1787))</f>
        <v>3371.935701633297</v>
      </c>
      <c r="AO1787" s="10">
        <f t="shared" ref="AO1787:AO1790" si="1119">100000000/($AM1787-$AL1787)</f>
        <v>3372.9042459467819</v>
      </c>
      <c r="AP1787" s="12">
        <v>624000000</v>
      </c>
      <c r="AQ1787" s="3">
        <v>0.58199999999999996</v>
      </c>
      <c r="AR1787" s="3">
        <f t="shared" ref="AR1787:AR1790" si="1120">LN(AU1787*100000000/($AM1787-$AL1787)/AP1787)</f>
        <v>-7.52534958442339</v>
      </c>
      <c r="AS1787" s="13">
        <f t="shared" ref="AS1787:AS1790" si="1121">EXP(AR$4341*$AM1787+AR$4342)*$AP1787/(100000000/($AM1787-$AL1787))</f>
        <v>96.646429918204262</v>
      </c>
      <c r="AT1787" s="3">
        <f t="shared" ref="AT1787:AT1790" si="1122">LN(AS1787/$C1787)</f>
        <v>-3.4110919265294685E-2</v>
      </c>
      <c r="AU1787" s="16" cm="1">
        <f t="array" ref="AU1787">$C1787*EXP(poly_from_str(100000000/$E1787,AU$4342))</f>
        <v>99.761455935389904</v>
      </c>
      <c r="AV1787" s="13">
        <f t="shared" ref="AV1787:AV1790" si="1123">LN(AS1787/AU1787)</f>
        <v>-3.1722628922899392E-2</v>
      </c>
    </row>
    <row r="1788" spans="1:48" x14ac:dyDescent="0.25">
      <c r="A1788" t="s">
        <v>2545</v>
      </c>
      <c r="B1788" s="2" t="str">
        <f t="shared" si="1065"/>
        <v/>
      </c>
      <c r="C1788">
        <v>7</v>
      </c>
      <c r="E1788" t="s">
        <v>2546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1115"/>
        <v>e</v>
      </c>
      <c r="N1788" t="str">
        <f t="shared" si="1116"/>
        <v>11/2</v>
      </c>
      <c r="O1788">
        <v>60166.2</v>
      </c>
      <c r="P1788" t="str">
        <f t="shared" si="1117"/>
        <v>o</v>
      </c>
      <c r="Q1788" t="str">
        <f t="shared" si="1118"/>
        <v>9/2</v>
      </c>
      <c r="R1788">
        <v>17</v>
      </c>
      <c r="AA1788" s="10">
        <f t="shared" si="1070"/>
        <v>3370.5230000000001</v>
      </c>
      <c r="AB1788" s="3">
        <f t="shared" si="1071"/>
        <v>29660.47</v>
      </c>
      <c r="AC1788" s="3" cm="1">
        <f t="array" ref="AC1788">100000000/LvacE(AA1788)</f>
        <v>29660.466162133376</v>
      </c>
      <c r="AD1788" s="10">
        <f t="shared" si="1072"/>
        <v>9.3999797898031527E-3</v>
      </c>
      <c r="AE1788" s="10" t="b">
        <f t="shared" si="1073"/>
        <v>1</v>
      </c>
      <c r="AJ1788" t="s">
        <v>4706</v>
      </c>
      <c r="AK1788" t="s">
        <v>4726</v>
      </c>
      <c r="AL1788">
        <v>30505.72</v>
      </c>
      <c r="AM1788">
        <v>60166.2</v>
      </c>
      <c r="AN1788" s="10" cm="1">
        <f t="array" ref="AN1788">Lair(100000000/($AM1788-$AL1788))</f>
        <v>3370.5214218241344</v>
      </c>
      <c r="AO1788" s="10">
        <f t="shared" si="1119"/>
        <v>3371.4896050232501</v>
      </c>
      <c r="AP1788" s="12">
        <v>116000000</v>
      </c>
      <c r="AQ1788" s="3">
        <v>0.32</v>
      </c>
      <c r="AR1788" s="3">
        <f t="shared" si="1120"/>
        <v>-8.4974482973726762</v>
      </c>
      <c r="AS1788" s="13">
        <f t="shared" si="1121"/>
        <v>33.27904473848114</v>
      </c>
      <c r="AT1788" s="3">
        <f t="shared" si="1122"/>
        <v>1.5590177627141331</v>
      </c>
      <c r="AU1788" s="16" cm="1">
        <f t="array" ref="AU1788">$C1788*EXP(poly_from_str(100000000/$E1788,AU$4342))</f>
        <v>7.0184507775113447</v>
      </c>
      <c r="AV1788" s="13">
        <f t="shared" si="1123"/>
        <v>1.5563854050508739</v>
      </c>
    </row>
    <row r="1789" spans="1:48" x14ac:dyDescent="0.25">
      <c r="A1789" t="s">
        <v>2547</v>
      </c>
      <c r="B1789" s="2" t="str">
        <f t="shared" si="1065"/>
        <v/>
      </c>
      <c r="C1789">
        <v>5</v>
      </c>
      <c r="E1789" t="s">
        <v>2548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1115"/>
        <v>e</v>
      </c>
      <c r="N1789" t="str">
        <f t="shared" si="1116"/>
        <v>3/2</v>
      </c>
      <c r="O1789">
        <v>64817.53</v>
      </c>
      <c r="P1789" t="str">
        <f t="shared" si="1117"/>
        <v>o</v>
      </c>
      <c r="Q1789" t="str">
        <f t="shared" si="1118"/>
        <v>5/2</v>
      </c>
      <c r="R1789">
        <v>17</v>
      </c>
      <c r="AA1789" s="10">
        <f t="shared" si="1070"/>
        <v>3368.3380000000002</v>
      </c>
      <c r="AB1789" s="3">
        <f t="shared" si="1071"/>
        <v>29679.71</v>
      </c>
      <c r="AC1789" s="3" cm="1">
        <f t="array" ref="AC1789">100000000/LvacE(AA1789)</f>
        <v>29679.705932019737</v>
      </c>
      <c r="AD1789" s="10">
        <f t="shared" si="1072"/>
        <v>9.4056899770776775E-3</v>
      </c>
      <c r="AE1789" s="10" t="b">
        <f t="shared" si="1073"/>
        <v>1</v>
      </c>
      <c r="AJ1789" t="s">
        <v>4740</v>
      </c>
      <c r="AK1789" t="s">
        <v>4882</v>
      </c>
      <c r="AL1789">
        <v>35137.82</v>
      </c>
      <c r="AM1789">
        <v>64817.53</v>
      </c>
      <c r="AN1789" s="10" cm="1">
        <f t="array" ref="AN1789">Lair(100000000/($AM1789-$AL1789))</f>
        <v>3368.3375326769929</v>
      </c>
      <c r="AO1789" s="10">
        <f t="shared" si="1119"/>
        <v>3369.3051583051183</v>
      </c>
      <c r="AP1789" s="12">
        <v>11600000</v>
      </c>
      <c r="AQ1789" s="3">
        <v>0.13</v>
      </c>
      <c r="AR1789" s="3">
        <f t="shared" si="1120"/>
        <v>-6.5241862364117793</v>
      </c>
      <c r="AS1789" s="13">
        <f t="shared" si="1121"/>
        <v>2.3488449589477858</v>
      </c>
      <c r="AT1789" s="3">
        <f t="shared" si="1122"/>
        <v>-0.75551421193783841</v>
      </c>
      <c r="AU1789" s="16" cm="1">
        <f t="array" ref="AU1789">$C1789*EXP(poly_from_str(100000000/$E1789,AU$4342))</f>
        <v>5.0524213420842443</v>
      </c>
      <c r="AV1789" s="13">
        <f t="shared" si="1123"/>
        <v>-0.76594390156027969</v>
      </c>
    </row>
    <row r="1790" spans="1:48" x14ac:dyDescent="0.25">
      <c r="A1790" t="s">
        <v>2549</v>
      </c>
      <c r="B1790" s="2" t="str">
        <f t="shared" si="1065"/>
        <v/>
      </c>
      <c r="C1790">
        <v>500</v>
      </c>
      <c r="D1790" t="s">
        <v>134</v>
      </c>
      <c r="E1790" t="s">
        <v>2550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1115"/>
        <v>e</v>
      </c>
      <c r="N1790" t="str">
        <f t="shared" si="1116"/>
        <v>11/2</v>
      </c>
      <c r="O1790">
        <v>60419.73</v>
      </c>
      <c r="P1790" t="str">
        <f t="shared" si="1117"/>
        <v>o</v>
      </c>
      <c r="Q1790" t="str">
        <f t="shared" si="1118"/>
        <v>11/2</v>
      </c>
      <c r="R1790">
        <v>17</v>
      </c>
      <c r="AA1790" s="10">
        <f t="shared" si="1070"/>
        <v>3367.5819999999999</v>
      </c>
      <c r="AB1790" s="3">
        <f t="shared" si="1071"/>
        <v>29686.37</v>
      </c>
      <c r="AC1790" s="3" cm="1">
        <f t="array" ref="AC1790">100000000/LvacE(AA1790)</f>
        <v>29686.368617658634</v>
      </c>
      <c r="AD1790" s="10">
        <f t="shared" si="1072"/>
        <v>9.4076682643004159E-3</v>
      </c>
      <c r="AE1790" s="10" t="b">
        <f t="shared" si="1073"/>
        <v>1</v>
      </c>
      <c r="AJ1790" t="s">
        <v>4828</v>
      </c>
      <c r="AK1790" t="s">
        <v>4849</v>
      </c>
      <c r="AL1790">
        <v>30733.53</v>
      </c>
      <c r="AM1790">
        <v>60419.73</v>
      </c>
      <c r="AN1790" s="10" cm="1">
        <f t="array" ref="AN1790">Lair(100000000/($AM1790-$AL1790))</f>
        <v>3367.6011228473121</v>
      </c>
      <c r="AO1790" s="10">
        <f t="shared" si="1119"/>
        <v>3368.568560475911</v>
      </c>
      <c r="AP1790" s="12">
        <v>1110000000</v>
      </c>
      <c r="AQ1790" s="3">
        <v>0.73299999999999998</v>
      </c>
      <c r="AR1790" s="3">
        <f t="shared" si="1120"/>
        <v>-6.4776563353797316</v>
      </c>
      <c r="AS1790" s="13">
        <f t="shared" si="1121"/>
        <v>312.71529667121047</v>
      </c>
      <c r="AT1790" s="3">
        <f t="shared" si="1122"/>
        <v>-0.46931491711451684</v>
      </c>
      <c r="AU1790" s="16" cm="1">
        <f t="array" ref="AU1790">$C1790*EXP(poly_from_str(100000000/$E1790,AU$4342))</f>
        <v>506.60233326084949</v>
      </c>
      <c r="AV1790" s="13">
        <f t="shared" si="1123"/>
        <v>-0.48243316197540781</v>
      </c>
    </row>
    <row r="1791" spans="1:48" x14ac:dyDescent="0.25">
      <c r="A1791" t="s">
        <v>2551</v>
      </c>
      <c r="B1791" s="2" t="str">
        <f t="shared" si="1065"/>
        <v/>
      </c>
      <c r="C1791">
        <v>0</v>
      </c>
      <c r="E1791" t="s">
        <v>2552</v>
      </c>
      <c r="R1791">
        <v>17</v>
      </c>
      <c r="S1791" t="s">
        <v>22</v>
      </c>
      <c r="AA1791" s="10">
        <f t="shared" si="1070"/>
        <v>3367.5430000000001</v>
      </c>
      <c r="AB1791" s="3">
        <f t="shared" si="1071"/>
        <v>29686.71</v>
      </c>
      <c r="AC1791" s="3" cm="1">
        <f t="array" ref="AC1791">100000000/LvacE(AA1791)</f>
        <v>29686.712408769763</v>
      </c>
      <c r="AD1791" s="10">
        <f t="shared" si="1072"/>
        <v>9.407770354939754E-3</v>
      </c>
      <c r="AE1791" s="10" t="b">
        <f t="shared" si="1073"/>
        <v>1</v>
      </c>
      <c r="AP1791"/>
      <c r="AQ1791"/>
      <c r="AU1791" s="16" cm="1">
        <f t="array" ref="AU1791">$C1791*EXP(poly_from_str(100000000/$E1791,AU$4342))</f>
        <v>0</v>
      </c>
    </row>
    <row r="1792" spans="1:48" x14ac:dyDescent="0.25">
      <c r="A1792" t="s">
        <v>2553</v>
      </c>
      <c r="B1792" s="2" t="str">
        <f t="shared" si="1065"/>
        <v/>
      </c>
      <c r="C1792">
        <v>200</v>
      </c>
      <c r="D1792" t="s">
        <v>134</v>
      </c>
      <c r="E1792" t="s">
        <v>2554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1070"/>
        <v>3367.35</v>
      </c>
      <c r="AB1792" s="3">
        <f t="shared" si="1071"/>
        <v>29688.41</v>
      </c>
      <c r="AC1792" s="3" cm="1">
        <f t="array" ref="AC1792">100000000/LvacE(AA1792)</f>
        <v>29688.41385122174</v>
      </c>
      <c r="AD1792" s="10">
        <f t="shared" si="1072"/>
        <v>9.4082756249308421E-3</v>
      </c>
      <c r="AE1792" s="10" t="b">
        <f t="shared" si="1073"/>
        <v>1</v>
      </c>
      <c r="AJ1792" t="s">
        <v>4807</v>
      </c>
      <c r="AK1792" t="s">
        <v>4912</v>
      </c>
      <c r="AL1792">
        <v>35291</v>
      </c>
      <c r="AM1792">
        <v>64979.55</v>
      </c>
      <c r="AN1792" s="10" cm="1">
        <f t="array" ref="AN1792">Lair(100000000/($AM1792-$AL1792))</f>
        <v>3367.3345515341753</v>
      </c>
      <c r="AO1792" s="10">
        <f>100000000/($AM1792-$AL1792)</f>
        <v>3368.3019211110004</v>
      </c>
      <c r="AP1792" s="12">
        <v>777000000</v>
      </c>
      <c r="AQ1792" s="3">
        <v>0.63300000000000001</v>
      </c>
      <c r="AR1792" s="3">
        <f>LN(AU1792*100000000/($AM1792-$AL1792)/AP1792)</f>
        <v>-7.0365288437588376</v>
      </c>
      <c r="AS1792" s="13">
        <f>EXP(AR$4341*$AM1792+AR$4342)*$AP1792/(100000000/($AM1792-$AL1792))</f>
        <v>155.4769795131146</v>
      </c>
      <c r="AT1792" s="3">
        <f>LN(AS1792/$C1792)</f>
        <v>-0.25181968760430912</v>
      </c>
      <c r="AU1792" s="16" cm="1">
        <f t="array" ref="AU1792">$C1792*EXP(poly_from_str(100000000/$E1792,AU$4342))</f>
        <v>202.80766141690574</v>
      </c>
      <c r="AV1792" s="13">
        <f>LN(AS1792/AU1792)</f>
        <v>-0.26576037024959331</v>
      </c>
    </row>
    <row r="1793" spans="1:48" x14ac:dyDescent="0.25">
      <c r="A1793" t="s">
        <v>2555</v>
      </c>
      <c r="B1793" s="2" t="str">
        <f t="shared" si="1065"/>
        <v/>
      </c>
      <c r="C1793">
        <v>0</v>
      </c>
      <c r="E1793" t="s">
        <v>2556</v>
      </c>
      <c r="R1793">
        <v>17</v>
      </c>
      <c r="S1793" t="s">
        <v>22</v>
      </c>
      <c r="AA1793" s="10">
        <f t="shared" si="1070"/>
        <v>3367.2869999999998</v>
      </c>
      <c r="AB1793" s="3">
        <f t="shared" si="1071"/>
        <v>29688.97</v>
      </c>
      <c r="AC1793" s="3" cm="1">
        <f t="array" ref="AC1793">100000000/LvacE(AA1793)</f>
        <v>29688.96928657555</v>
      </c>
      <c r="AD1793" s="10">
        <f t="shared" si="1072"/>
        <v>9.4084405764307509E-3</v>
      </c>
      <c r="AE1793" s="10" t="b">
        <f t="shared" si="1073"/>
        <v>1</v>
      </c>
      <c r="AP1793"/>
      <c r="AQ1793"/>
      <c r="AU1793" s="16" cm="1">
        <f t="array" ref="AU1793">$C1793*EXP(poly_from_str(100000000/$E1793,AU$4342))</f>
        <v>0</v>
      </c>
    </row>
    <row r="1794" spans="1:48" x14ac:dyDescent="0.25">
      <c r="A1794" t="s">
        <v>2557</v>
      </c>
      <c r="B1794" s="2" t="str">
        <f t="shared" ref="B1794:B1857" si="1124">IF(OR(A1794=A1793,A1794=A1795),IF(B1793="",1,B1793+1),"")</f>
        <v/>
      </c>
      <c r="C1794">
        <v>0</v>
      </c>
      <c r="E1794" t="s">
        <v>2558</v>
      </c>
      <c r="R1794">
        <v>17</v>
      </c>
      <c r="S1794" t="s">
        <v>22</v>
      </c>
      <c r="AA1794" s="10">
        <f t="shared" si="1070"/>
        <v>3367.2310000000002</v>
      </c>
      <c r="AB1794" s="3">
        <f t="shared" si="1071"/>
        <v>29689.46</v>
      </c>
      <c r="AC1794" s="3" cm="1">
        <f t="array" ref="AC1794">100000000/LvacE(AA1794)</f>
        <v>29689.463024337474</v>
      </c>
      <c r="AD1794" s="10">
        <f t="shared" si="1072"/>
        <v>9.4085872077587594E-3</v>
      </c>
      <c r="AE1794" s="10" t="b">
        <f t="shared" si="1073"/>
        <v>1</v>
      </c>
      <c r="AP1794"/>
      <c r="AQ1794"/>
      <c r="AU1794" s="16" cm="1">
        <f t="array" ref="AU1794">$C1794*EXP(poly_from_str(100000000/$E1794,AU$4342))</f>
        <v>0</v>
      </c>
    </row>
    <row r="1795" spans="1:48" x14ac:dyDescent="0.25">
      <c r="A1795" t="s">
        <v>2559</v>
      </c>
      <c r="B1795" s="2" t="str">
        <f t="shared" si="1124"/>
        <v/>
      </c>
      <c r="C1795">
        <v>50</v>
      </c>
      <c r="D1795" t="s">
        <v>134</v>
      </c>
      <c r="E1795" t="s">
        <v>2560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1125">ROUND($A1795,3)+0</f>
        <v>3365.8040000000001</v>
      </c>
      <c r="AB1795" s="3">
        <f t="shared" ref="AB1795:AB1858" si="1126">ROUND($E1795,2)+0</f>
        <v>29702.05</v>
      </c>
      <c r="AC1795" s="3" cm="1">
        <f t="array" ref="AC1795">100000000/LvacE(AA1795)</f>
        <v>29702.050063728595</v>
      </c>
      <c r="AD1795" s="10">
        <f t="shared" ref="AD1795:AD1858" si="1127">0.0005/$AA1795*AC1795+0.005</f>
        <v>9.4123261579890857E-3</v>
      </c>
      <c r="AE1795" s="10" t="b">
        <f t="shared" ref="AE1795:AE1858" si="1128">ABS(AB1795-AC1795)&lt;AD1795</f>
        <v>1</v>
      </c>
      <c r="AJ1795" t="s">
        <v>4921</v>
      </c>
      <c r="AK1795" t="s">
        <v>4913</v>
      </c>
      <c r="AL1795">
        <v>50658.720000000001</v>
      </c>
      <c r="AM1795">
        <v>80360.820000000007</v>
      </c>
      <c r="AN1795" s="10" cm="1">
        <f t="array" ref="AN1795">Lair(100000000/($AM1795-$AL1795))</f>
        <v>3365.7983354689895</v>
      </c>
      <c r="AO1795" s="10">
        <f>100000000/($AM1795-$AL1795)</f>
        <v>3366.7653128903339</v>
      </c>
      <c r="AP1795" s="12">
        <v>884000000</v>
      </c>
      <c r="AQ1795" s="3">
        <v>0.69599999999999995</v>
      </c>
      <c r="AR1795" s="3">
        <f>LN(AU1795*100000000/($AM1795-$AL1795)/AP1795)</f>
        <v>-8.5468102423136543</v>
      </c>
      <c r="AS1795" s="13">
        <f>EXP(AR$4341*$AM1795+AR$4342)*$AP1795/(100000000/($AM1795-$AL1795))</f>
        <v>55.79343530515392</v>
      </c>
      <c r="AT1795" s="3">
        <f>LN(AS1795/$C1795)</f>
        <v>0.10963321017714348</v>
      </c>
      <c r="AU1795" s="16" cm="1">
        <f t="array" ref="AU1795">$C1795*EXP(poly_from_str(100000000/$E1795,AU$4342))</f>
        <v>50.980829183688002</v>
      </c>
      <c r="AV1795" s="13">
        <f>LN(AS1795/AU1795)</f>
        <v>9.0206551907520485E-2</v>
      </c>
    </row>
    <row r="1796" spans="1:48" x14ac:dyDescent="0.25">
      <c r="A1796" t="s">
        <v>2561</v>
      </c>
      <c r="B1796" s="2" t="str">
        <f t="shared" si="1124"/>
        <v/>
      </c>
      <c r="C1796">
        <v>0</v>
      </c>
      <c r="E1796" t="s">
        <v>2562</v>
      </c>
      <c r="R1796">
        <v>17</v>
      </c>
      <c r="S1796" t="s">
        <v>22</v>
      </c>
      <c r="AA1796" s="10">
        <f t="shared" si="1125"/>
        <v>3365.7559999999999</v>
      </c>
      <c r="AB1796" s="3">
        <f t="shared" si="1126"/>
        <v>29702.47</v>
      </c>
      <c r="AC1796" s="3" cm="1">
        <f t="array" ref="AC1796">100000000/LvacE(AA1796)</f>
        <v>29702.473639516811</v>
      </c>
      <c r="AD1796" s="10">
        <f t="shared" si="1127"/>
        <v>9.41245200773865E-3</v>
      </c>
      <c r="AE1796" s="10" t="b">
        <f t="shared" si="1128"/>
        <v>1</v>
      </c>
      <c r="AP1796"/>
      <c r="AQ1796"/>
      <c r="AU1796" s="16" cm="1">
        <f t="array" ref="AU1796">$C1796*EXP(poly_from_str(100000000/$E1796,AU$4342))</f>
        <v>0</v>
      </c>
    </row>
    <row r="1797" spans="1:48" x14ac:dyDescent="0.25">
      <c r="A1797" t="s">
        <v>2563</v>
      </c>
      <c r="B1797" s="2" t="str">
        <f t="shared" si="1124"/>
        <v/>
      </c>
      <c r="C1797">
        <v>0</v>
      </c>
      <c r="E1797" t="s">
        <v>2564</v>
      </c>
      <c r="R1797">
        <v>17</v>
      </c>
      <c r="S1797" t="s">
        <v>22</v>
      </c>
      <c r="AA1797" s="10">
        <f t="shared" si="1125"/>
        <v>3365.7109999999998</v>
      </c>
      <c r="AB1797" s="3">
        <f t="shared" si="1126"/>
        <v>29702.87</v>
      </c>
      <c r="AC1797" s="3" cm="1">
        <f t="array" ref="AC1797">100000000/LvacE(AA1797)</f>
        <v>29702.870752790244</v>
      </c>
      <c r="AD1797" s="10">
        <f t="shared" si="1127"/>
        <v>9.4125699967689217E-3</v>
      </c>
      <c r="AE1797" s="10" t="b">
        <f t="shared" si="1128"/>
        <v>1</v>
      </c>
      <c r="AP1797"/>
      <c r="AQ1797"/>
      <c r="AU1797" s="16" cm="1">
        <f t="array" ref="AU1797">$C1797*EXP(poly_from_str(100000000/$E1797,AU$4342))</f>
        <v>0</v>
      </c>
    </row>
    <row r="1798" spans="1:48" x14ac:dyDescent="0.25">
      <c r="A1798" t="s">
        <v>2565</v>
      </c>
      <c r="B1798" s="2" t="str">
        <f t="shared" si="1124"/>
        <v/>
      </c>
      <c r="C1798">
        <v>0</v>
      </c>
      <c r="E1798" t="s">
        <v>2566</v>
      </c>
      <c r="R1798">
        <v>17</v>
      </c>
      <c r="S1798" t="s">
        <v>22</v>
      </c>
      <c r="AA1798" s="10">
        <f t="shared" si="1125"/>
        <v>3365.6680000000001</v>
      </c>
      <c r="AB1798" s="3">
        <f t="shared" si="1126"/>
        <v>29703.25</v>
      </c>
      <c r="AC1798" s="3" cm="1">
        <f t="array" ref="AC1798">100000000/LvacE(AA1798)</f>
        <v>29703.250226505919</v>
      </c>
      <c r="AD1798" s="10">
        <f t="shared" si="1127"/>
        <v>9.4126827462640283E-3</v>
      </c>
      <c r="AE1798" s="10" t="b">
        <f t="shared" si="1128"/>
        <v>1</v>
      </c>
      <c r="AP1798"/>
      <c r="AQ1798"/>
      <c r="AU1798" s="16" cm="1">
        <f t="array" ref="AU1798">$C1798*EXP(poly_from_str(100000000/$E1798,AU$4342))</f>
        <v>0</v>
      </c>
    </row>
    <row r="1799" spans="1:48" x14ac:dyDescent="0.25">
      <c r="A1799" t="s">
        <v>2567</v>
      </c>
      <c r="B1799" s="2" t="str">
        <f t="shared" si="1124"/>
        <v/>
      </c>
      <c r="C1799">
        <v>0</v>
      </c>
      <c r="E1799" t="s">
        <v>2568</v>
      </c>
      <c r="R1799">
        <v>17</v>
      </c>
      <c r="S1799" t="s">
        <v>22</v>
      </c>
      <c r="AA1799" s="10">
        <f t="shared" si="1125"/>
        <v>3365.627</v>
      </c>
      <c r="AB1799" s="3">
        <f t="shared" si="1126"/>
        <v>29703.61</v>
      </c>
      <c r="AC1799" s="3" cm="1">
        <f t="array" ref="AC1799">100000000/LvacE(AA1799)</f>
        <v>29703.612059311316</v>
      </c>
      <c r="AD1799" s="10">
        <f t="shared" si="1127"/>
        <v>9.4127902556212124E-3</v>
      </c>
      <c r="AE1799" s="10" t="b">
        <f t="shared" si="1128"/>
        <v>1</v>
      </c>
      <c r="AP1799"/>
      <c r="AQ1799"/>
      <c r="AU1799" s="16" cm="1">
        <f t="array" ref="AU1799">$C1799*EXP(poly_from_str(100000000/$E1799,AU$4342))</f>
        <v>0</v>
      </c>
    </row>
    <row r="1800" spans="1:48" x14ac:dyDescent="0.25">
      <c r="A1800" t="s">
        <v>2569</v>
      </c>
      <c r="B1800" s="2" t="str">
        <f t="shared" si="1124"/>
        <v/>
      </c>
      <c r="C1800">
        <v>0</v>
      </c>
      <c r="E1800" t="s">
        <v>2570</v>
      </c>
      <c r="R1800">
        <v>17</v>
      </c>
      <c r="S1800" t="s">
        <v>22</v>
      </c>
      <c r="AA1800" s="10">
        <f t="shared" si="1125"/>
        <v>3365.5990000000002</v>
      </c>
      <c r="AB1800" s="3">
        <f t="shared" si="1126"/>
        <v>29703.86</v>
      </c>
      <c r="AC1800" s="3" cm="1">
        <f t="array" ref="AC1800">100000000/LvacE(AA1800)</f>
        <v>29703.85916970759</v>
      </c>
      <c r="AD1800" s="10">
        <f t="shared" si="1127"/>
        <v>9.4128636789034565E-3</v>
      </c>
      <c r="AE1800" s="10" t="b">
        <f t="shared" si="1128"/>
        <v>1</v>
      </c>
      <c r="AP1800"/>
      <c r="AQ1800"/>
      <c r="AU1800" s="16" cm="1">
        <f t="array" ref="AU1800">$C1800*EXP(poly_from_str(100000000/$E1800,AU$4342))</f>
        <v>0</v>
      </c>
    </row>
    <row r="1801" spans="1:48" x14ac:dyDescent="0.25">
      <c r="A1801" t="s">
        <v>2571</v>
      </c>
      <c r="B1801" s="2" t="str">
        <f t="shared" si="1124"/>
        <v/>
      </c>
      <c r="C1801">
        <v>5</v>
      </c>
      <c r="E1801" t="s">
        <v>2572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1125"/>
        <v>3365.1289999999999</v>
      </c>
      <c r="AB1801" s="3">
        <f t="shared" si="1126"/>
        <v>29708.01</v>
      </c>
      <c r="AC1801" s="3" cm="1">
        <f t="array" ref="AC1801">100000000/LvacE(AA1801)</f>
        <v>29708.007708028061</v>
      </c>
      <c r="AD1801" s="10">
        <f t="shared" si="1127"/>
        <v>9.4140964147329947E-3</v>
      </c>
      <c r="AE1801" s="10" t="b">
        <f t="shared" si="1128"/>
        <v>1</v>
      </c>
      <c r="AJ1801" t="s">
        <v>4795</v>
      </c>
      <c r="AK1801" t="s">
        <v>4945</v>
      </c>
      <c r="AL1801">
        <v>18693.650000000001</v>
      </c>
      <c r="AM1801">
        <v>48401.64</v>
      </c>
      <c r="AN1801" s="10" cm="1">
        <f t="array" ref="AN1801">Lair(100000000/($AM1801-$AL1801))</f>
        <v>3365.1310002796718</v>
      </c>
      <c r="AO1801" s="10">
        <f>100000000/($AM1801-$AL1801)</f>
        <v>3366.0978073575493</v>
      </c>
      <c r="AU1801" s="16" cm="1">
        <f t="array" ref="AU1801">$C1801*EXP(poly_from_str(100000000/$E1801,AU$4342))</f>
        <v>5.1102816737824774</v>
      </c>
    </row>
    <row r="1802" spans="1:48" x14ac:dyDescent="0.25">
      <c r="A1802" t="s">
        <v>2573</v>
      </c>
      <c r="B1802" s="2" t="str">
        <f t="shared" si="1124"/>
        <v/>
      </c>
      <c r="C1802">
        <v>50</v>
      </c>
      <c r="E1802" t="s">
        <v>2574</v>
      </c>
      <c r="R1802">
        <v>17</v>
      </c>
      <c r="S1802" t="s">
        <v>22</v>
      </c>
      <c r="AA1802" s="10">
        <f t="shared" si="1125"/>
        <v>3364.8780000000002</v>
      </c>
      <c r="AB1802" s="3">
        <f t="shared" si="1126"/>
        <v>29710.22</v>
      </c>
      <c r="AC1802" s="3" cm="1">
        <f t="array" ref="AC1802">100000000/LvacE(AA1802)</f>
        <v>29710.223678718379</v>
      </c>
      <c r="AD1802" s="10">
        <f t="shared" si="1127"/>
        <v>9.4147549597219243E-3</v>
      </c>
      <c r="AE1802" s="10" t="b">
        <f t="shared" si="1128"/>
        <v>1</v>
      </c>
      <c r="AP1802"/>
      <c r="AQ1802"/>
      <c r="AU1802" s="16" cm="1">
        <f t="array" ref="AU1802">$C1802*EXP(poly_from_str(100000000/$E1802,AU$4342))</f>
        <v>51.148068004653879</v>
      </c>
    </row>
    <row r="1803" spans="1:48" x14ac:dyDescent="0.25">
      <c r="A1803" t="s">
        <v>2575</v>
      </c>
      <c r="B1803" s="2" t="str">
        <f t="shared" si="1124"/>
        <v/>
      </c>
      <c r="C1803">
        <v>0</v>
      </c>
      <c r="E1803" t="s">
        <v>2576</v>
      </c>
      <c r="R1803">
        <v>17</v>
      </c>
      <c r="S1803" t="s">
        <v>22</v>
      </c>
      <c r="AA1803" s="10">
        <f t="shared" si="1125"/>
        <v>3364.5880000000002</v>
      </c>
      <c r="AB1803" s="3">
        <f t="shared" si="1126"/>
        <v>29712.78</v>
      </c>
      <c r="AC1803" s="3" cm="1">
        <f t="array" ref="AC1803">100000000/LvacE(AA1803)</f>
        <v>29712.784375231637</v>
      </c>
      <c r="AD1803" s="10">
        <f t="shared" si="1127"/>
        <v>9.4155160119502937E-3</v>
      </c>
      <c r="AE1803" s="10" t="b">
        <f t="shared" si="1128"/>
        <v>1</v>
      </c>
      <c r="AP1803"/>
      <c r="AQ1803"/>
      <c r="AU1803" s="16" cm="1">
        <f t="array" ref="AU1803">$C1803*EXP(poly_from_str(100000000/$E1803,AU$4342))</f>
        <v>0</v>
      </c>
    </row>
    <row r="1804" spans="1:48" x14ac:dyDescent="0.25">
      <c r="A1804" t="s">
        <v>2577</v>
      </c>
      <c r="B1804" s="2" t="str">
        <f t="shared" si="1124"/>
        <v/>
      </c>
      <c r="C1804">
        <v>0</v>
      </c>
      <c r="E1804" t="s">
        <v>2578</v>
      </c>
      <c r="R1804">
        <v>17</v>
      </c>
      <c r="S1804" t="s">
        <v>22</v>
      </c>
      <c r="AA1804" s="10">
        <f t="shared" si="1125"/>
        <v>3364.5549999999998</v>
      </c>
      <c r="AB1804" s="3">
        <f t="shared" si="1126"/>
        <v>29713.08</v>
      </c>
      <c r="AC1804" s="3" cm="1">
        <f t="array" ref="AC1804">100000000/LvacE(AA1804)</f>
        <v>29713.075792806998</v>
      </c>
      <c r="AD1804" s="10">
        <f t="shared" si="1127"/>
        <v>9.415602626916042E-3</v>
      </c>
      <c r="AE1804" s="10" t="b">
        <f t="shared" si="1128"/>
        <v>1</v>
      </c>
      <c r="AP1804"/>
      <c r="AQ1804"/>
      <c r="AU1804" s="16" cm="1">
        <f t="array" ref="AU1804">$C1804*EXP(poly_from_str(100000000/$E1804,AU$4342))</f>
        <v>0</v>
      </c>
    </row>
    <row r="1805" spans="1:48" x14ac:dyDescent="0.25">
      <c r="A1805" t="s">
        <v>2579</v>
      </c>
      <c r="B1805" s="2" t="str">
        <f t="shared" si="1124"/>
        <v/>
      </c>
      <c r="C1805">
        <v>100</v>
      </c>
      <c r="D1805" t="s">
        <v>170</v>
      </c>
      <c r="E1805" t="s">
        <v>2580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1125"/>
        <v>3364.5230000000001</v>
      </c>
      <c r="AB1805" s="3">
        <f t="shared" si="1126"/>
        <v>29713.360000000001</v>
      </c>
      <c r="AC1805" s="3" cm="1">
        <f t="array" ref="AC1805">100000000/LvacE(AA1805)</f>
        <v>29713.358385005795</v>
      </c>
      <c r="AD1805" s="10">
        <f t="shared" si="1127"/>
        <v>9.4156866196197491E-3</v>
      </c>
      <c r="AE1805" s="10" t="b">
        <f t="shared" si="1128"/>
        <v>1</v>
      </c>
      <c r="AJ1805" t="s">
        <v>4937</v>
      </c>
      <c r="AK1805" t="s">
        <v>4913</v>
      </c>
      <c r="AL1805">
        <v>50647.35</v>
      </c>
      <c r="AM1805">
        <v>80360.820000000007</v>
      </c>
      <c r="AN1805" s="10" cm="1">
        <f t="array" ref="AN1805">Lair(100000000/($AM1805-$AL1805))</f>
        <v>3364.5103555426344</v>
      </c>
      <c r="AO1805" s="10">
        <f>100000000/($AM1805-$AL1805)</f>
        <v>3365.4770042004511</v>
      </c>
      <c r="AP1805" s="12">
        <v>1080000000</v>
      </c>
      <c r="AQ1805" s="3">
        <v>0.627</v>
      </c>
      <c r="AR1805" s="3">
        <f>LN(AU1805*100000000/($AM1805-$AL1805)/AP1805)</f>
        <v>-8.0497734521254216</v>
      </c>
      <c r="AS1805" s="13">
        <f>EXP(AR$4341*$AM1805+AR$4342)*$AP1805/(100000000/($AM1805-$AL1805))</f>
        <v>68.190018719503158</v>
      </c>
      <c r="AT1805" s="3">
        <f>LN(AS1805/$C1805)</f>
        <v>-0.38287198493579699</v>
      </c>
      <c r="AU1805" s="16" cm="1">
        <f t="array" ref="AU1805">$C1805*EXP(poly_from_str(100000000/$E1805,AU$4342))</f>
        <v>102.42475580885595</v>
      </c>
      <c r="AV1805" s="13">
        <f>LN(AS1805/AU1805)</f>
        <v>-0.40683023828071208</v>
      </c>
    </row>
    <row r="1806" spans="1:48" x14ac:dyDescent="0.25">
      <c r="A1806" t="s">
        <v>2581</v>
      </c>
      <c r="B1806" s="2" t="str">
        <f t="shared" si="1124"/>
        <v/>
      </c>
      <c r="C1806">
        <v>0</v>
      </c>
      <c r="E1806" t="s">
        <v>2582</v>
      </c>
      <c r="R1806">
        <v>17</v>
      </c>
      <c r="S1806" t="s">
        <v>22</v>
      </c>
      <c r="AA1806" s="10">
        <f t="shared" si="1125"/>
        <v>3364.3110000000001</v>
      </c>
      <c r="AB1806" s="3">
        <f t="shared" si="1126"/>
        <v>29715.23</v>
      </c>
      <c r="AC1806" s="3" cm="1">
        <f t="array" ref="AC1806">100000000/LvacE(AA1806)</f>
        <v>29715.23069409675</v>
      </c>
      <c r="AD1806" s="10">
        <f t="shared" si="1127"/>
        <v>9.4162431318175928E-3</v>
      </c>
      <c r="AE1806" s="10" t="b">
        <f t="shared" si="1128"/>
        <v>1</v>
      </c>
      <c r="AP1806"/>
      <c r="AQ1806"/>
      <c r="AU1806" s="16" cm="1">
        <f t="array" ref="AU1806">$C1806*EXP(poly_from_str(100000000/$E1806,AU$4342))</f>
        <v>0</v>
      </c>
    </row>
    <row r="1807" spans="1:48" x14ac:dyDescent="0.25">
      <c r="A1807" t="s">
        <v>2583</v>
      </c>
      <c r="B1807" s="2" t="str">
        <f t="shared" si="1124"/>
        <v/>
      </c>
      <c r="C1807">
        <v>0</v>
      </c>
      <c r="E1807" t="s">
        <v>2584</v>
      </c>
      <c r="R1807">
        <v>17</v>
      </c>
      <c r="S1807" t="s">
        <v>22</v>
      </c>
      <c r="AA1807" s="10">
        <f t="shared" si="1125"/>
        <v>3364.2649999999999</v>
      </c>
      <c r="AB1807" s="3">
        <f t="shared" si="1126"/>
        <v>29715.64</v>
      </c>
      <c r="AC1807" s="3" cm="1">
        <f t="array" ref="AC1807">100000000/LvacE(AA1807)</f>
        <v>29715.636980996303</v>
      </c>
      <c r="AD1807" s="10">
        <f t="shared" si="1127"/>
        <v>9.4163638983546637E-3</v>
      </c>
      <c r="AE1807" s="10" t="b">
        <f t="shared" si="1128"/>
        <v>1</v>
      </c>
      <c r="AP1807"/>
      <c r="AQ1807"/>
      <c r="AU1807" s="16" cm="1">
        <f t="array" ref="AU1807">$C1807*EXP(poly_from_str(100000000/$E1807,AU$4342))</f>
        <v>0</v>
      </c>
    </row>
    <row r="1808" spans="1:48" x14ac:dyDescent="0.25">
      <c r="A1808" t="s">
        <v>2585</v>
      </c>
      <c r="B1808" s="2" t="str">
        <f t="shared" si="1124"/>
        <v/>
      </c>
      <c r="C1808">
        <v>6</v>
      </c>
      <c r="D1808" t="s">
        <v>170</v>
      </c>
      <c r="E1808" t="s">
        <v>2586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1125"/>
        <v>3364.2089999999998</v>
      </c>
      <c r="AB1808" s="3">
        <f t="shared" si="1126"/>
        <v>29716.13</v>
      </c>
      <c r="AC1808" s="3" cm="1">
        <f t="array" ref="AC1808">100000000/LvacE(AA1808)</f>
        <v>29716.131606130246</v>
      </c>
      <c r="AD1808" s="10">
        <f t="shared" si="1127"/>
        <v>9.4165109251729377E-3</v>
      </c>
      <c r="AE1808" s="10" t="b">
        <f t="shared" si="1128"/>
        <v>1</v>
      </c>
      <c r="AJ1808" t="s">
        <v>4971</v>
      </c>
      <c r="AK1808" t="s">
        <v>4943</v>
      </c>
      <c r="AL1808">
        <v>45844.65</v>
      </c>
      <c r="AM1808">
        <v>75560.75</v>
      </c>
      <c r="AN1808" s="10" cm="1">
        <f t="array" ref="AN1808">Lair(100000000/($AM1808-$AL1808))</f>
        <v>3364.2125726615072</v>
      </c>
      <c r="AO1808" s="10">
        <f>100000000/($AM1808-$AL1808)</f>
        <v>3365.1791453118008</v>
      </c>
      <c r="AP1808" s="12">
        <v>218000000</v>
      </c>
      <c r="AQ1808" s="3">
        <v>0.57599999999999996</v>
      </c>
      <c r="AR1808" s="3">
        <f>LN(AU1808*100000000/($AM1808-$AL1808)/AP1808)</f>
        <v>-9.2619439474652001</v>
      </c>
      <c r="AS1808" s="13">
        <f>EXP(AR$4341*$AM1808+AR$4342)*$AP1808/(100000000/($AM1808-$AL1808))</f>
        <v>19.735028486544405</v>
      </c>
      <c r="AT1808" s="3">
        <f>LN(AS1808/$C1808)</f>
        <v>1.1906356833386857</v>
      </c>
      <c r="AU1808" s="16" cm="1">
        <f t="array" ref="AU1808">$C1808*EXP(poly_from_str(100000000/$E1808,AU$4342))</f>
        <v>6.1522950729234473</v>
      </c>
      <c r="AV1808" s="13">
        <f>LN(AS1808/AU1808)</f>
        <v>1.1655699577744392</v>
      </c>
    </row>
    <row r="1809" spans="1:48" x14ac:dyDescent="0.25">
      <c r="A1809" t="s">
        <v>2587</v>
      </c>
      <c r="B1809" s="2" t="str">
        <f t="shared" si="1124"/>
        <v/>
      </c>
      <c r="C1809">
        <v>7</v>
      </c>
      <c r="E1809" t="s">
        <v>2588</v>
      </c>
      <c r="R1809">
        <v>17</v>
      </c>
      <c r="S1809" t="s">
        <v>22</v>
      </c>
      <c r="AA1809" s="10">
        <f t="shared" si="1125"/>
        <v>3363.2730000000001</v>
      </c>
      <c r="AB1809" s="3">
        <f t="shared" si="1126"/>
        <v>29724.400000000001</v>
      </c>
      <c r="AC1809" s="3" cm="1">
        <f t="array" ref="AC1809">100000000/LvacE(AA1809)</f>
        <v>29724.401350256659</v>
      </c>
      <c r="AD1809" s="10">
        <f t="shared" si="1127"/>
        <v>9.418969460739085E-3</v>
      </c>
      <c r="AE1809" s="10" t="b">
        <f t="shared" si="1128"/>
        <v>1</v>
      </c>
      <c r="AP1809"/>
      <c r="AQ1809"/>
      <c r="AU1809" s="16" cm="1">
        <f t="array" ref="AU1809">$C1809*EXP(poly_from_str(100000000/$E1809,AU$4342))</f>
        <v>7.2014090223338787</v>
      </c>
    </row>
    <row r="1810" spans="1:48" x14ac:dyDescent="0.25">
      <c r="A1810" t="s">
        <v>2589</v>
      </c>
      <c r="B1810" s="2" t="str">
        <f t="shared" si="1124"/>
        <v/>
      </c>
      <c r="C1810">
        <v>8</v>
      </c>
      <c r="E1810" t="s">
        <v>2590</v>
      </c>
      <c r="R1810">
        <v>17</v>
      </c>
      <c r="S1810" t="s">
        <v>22</v>
      </c>
      <c r="AA1810" s="10">
        <f t="shared" si="1125"/>
        <v>3363.25</v>
      </c>
      <c r="AB1810" s="3">
        <f t="shared" si="1126"/>
        <v>29724.6</v>
      </c>
      <c r="AC1810" s="3" cm="1">
        <f t="array" ref="AC1810">100000000/LvacE(AA1810)</f>
        <v>29724.604617721336</v>
      </c>
      <c r="AD1810" s="10">
        <f t="shared" si="1127"/>
        <v>9.4190298993118773E-3</v>
      </c>
      <c r="AE1810" s="10" t="b">
        <f t="shared" si="1128"/>
        <v>1</v>
      </c>
      <c r="AP1810"/>
      <c r="AQ1810"/>
      <c r="AU1810" s="16" cm="1">
        <f t="array" ref="AU1810">$C1810*EXP(poly_from_str(100000000/$E1810,AU$4342))</f>
        <v>8.2308378987356328</v>
      </c>
    </row>
    <row r="1811" spans="1:48" x14ac:dyDescent="0.25">
      <c r="A1811" t="s">
        <v>2591</v>
      </c>
      <c r="B1811" s="2" t="str">
        <f t="shared" si="1124"/>
        <v/>
      </c>
      <c r="C1811">
        <v>6</v>
      </c>
      <c r="E1811" t="s">
        <v>2592</v>
      </c>
      <c r="R1811">
        <v>17</v>
      </c>
      <c r="S1811" t="s">
        <v>22</v>
      </c>
      <c r="AA1811" s="10">
        <f t="shared" si="1125"/>
        <v>3363.1129999999998</v>
      </c>
      <c r="AB1811" s="3">
        <f t="shared" si="1126"/>
        <v>29725.82</v>
      </c>
      <c r="AC1811" s="3" cm="1">
        <f t="array" ref="AC1811">100000000/LvacE(AA1811)</f>
        <v>29725.81544239261</v>
      </c>
      <c r="AD1811" s="10">
        <f t="shared" si="1127"/>
        <v>9.4193899286751023E-3</v>
      </c>
      <c r="AE1811" s="10" t="b">
        <f t="shared" si="1128"/>
        <v>1</v>
      </c>
      <c r="AP1811"/>
      <c r="AQ1811"/>
      <c r="AU1811" s="16" cm="1">
        <f t="array" ref="AU1811">$C1811*EXP(poly_from_str(100000000/$E1811,AU$4342))</f>
        <v>6.1761305447768233</v>
      </c>
    </row>
    <row r="1812" spans="1:48" x14ac:dyDescent="0.25">
      <c r="A1812" t="s">
        <v>2593</v>
      </c>
      <c r="B1812" s="2" t="str">
        <f t="shared" si="1124"/>
        <v/>
      </c>
      <c r="C1812">
        <v>7</v>
      </c>
      <c r="E1812" t="s">
        <v>2594</v>
      </c>
      <c r="R1812">
        <v>17</v>
      </c>
      <c r="S1812" t="s">
        <v>22</v>
      </c>
      <c r="AA1812" s="10">
        <f t="shared" si="1125"/>
        <v>3363.0790000000002</v>
      </c>
      <c r="AB1812" s="3">
        <f t="shared" si="1126"/>
        <v>29726.12</v>
      </c>
      <c r="AC1812" s="3" cm="1">
        <f t="array" ref="AC1812">100000000/LvacE(AA1812)</f>
        <v>29726.11595430466</v>
      </c>
      <c r="AD1812" s="10">
        <f t="shared" si="1127"/>
        <v>9.4194792858426253E-3</v>
      </c>
      <c r="AE1812" s="10" t="b">
        <f t="shared" si="1128"/>
        <v>1</v>
      </c>
      <c r="AP1812"/>
      <c r="AQ1812"/>
      <c r="AU1812" s="16" cm="1">
        <f t="array" ref="AU1812">$C1812*EXP(poly_from_str(100000000/$E1812,AU$4342))</f>
        <v>7.2063469590894345</v>
      </c>
    </row>
    <row r="1813" spans="1:48" x14ac:dyDescent="0.25">
      <c r="A1813" t="s">
        <v>2595</v>
      </c>
      <c r="B1813" s="2" t="str">
        <f t="shared" si="1124"/>
        <v/>
      </c>
      <c r="C1813">
        <v>5</v>
      </c>
      <c r="E1813" t="s">
        <v>2596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1129">$G1813&amp;""</f>
        <v>e</v>
      </c>
      <c r="N1813" t="str">
        <f t="shared" ref="N1813:N1814" si="1130">$H1813&amp;""</f>
        <v>3/2</v>
      </c>
      <c r="O1813">
        <v>66943.039999999994</v>
      </c>
      <c r="P1813" t="str">
        <f t="shared" ref="P1813:P1814" si="1131">$J1813&amp;""</f>
        <v>o</v>
      </c>
      <c r="Q1813" t="str">
        <f t="shared" ref="Q1813:Q1814" si="1132">$K1813&amp;""</f>
        <v>5/2</v>
      </c>
      <c r="R1813">
        <v>17</v>
      </c>
      <c r="AA1813" s="10">
        <f t="shared" si="1125"/>
        <v>3360.8989999999999</v>
      </c>
      <c r="AB1813" s="3">
        <f t="shared" si="1126"/>
        <v>29745.4</v>
      </c>
      <c r="AC1813" s="3" cm="1">
        <f t="array" ref="AC1813">100000000/LvacE(AA1813)</f>
        <v>29745.39676324655</v>
      </c>
      <c r="AD1813" s="10">
        <f t="shared" si="1127"/>
        <v>9.4252143196279555E-3</v>
      </c>
      <c r="AE1813" s="10" t="b">
        <f t="shared" si="1128"/>
        <v>1</v>
      </c>
      <c r="AJ1813" t="s">
        <v>4787</v>
      </c>
      <c r="AK1813" t="s">
        <v>4847</v>
      </c>
      <c r="AL1813">
        <v>37197.64</v>
      </c>
      <c r="AM1813">
        <v>66943.039999999994</v>
      </c>
      <c r="AN1813" s="10" cm="1">
        <f t="array" ref="AN1813">Lair(100000000/($AM1813-$AL1813))</f>
        <v>3360.8986286349846</v>
      </c>
      <c r="AO1813" s="10">
        <f t="shared" ref="AO1813:AO1814" si="1133">100000000/($AM1813-$AL1813)</f>
        <v>3361.8643554969849</v>
      </c>
      <c r="AP1813" s="12">
        <v>2480000</v>
      </c>
      <c r="AQ1813" s="3">
        <v>2.9000000000000001E-2</v>
      </c>
      <c r="AR1813" s="3"/>
      <c r="AS1813" s="13">
        <f>EXP(AR$4341*$AM1813+AR$4342)*$AP1813/(100000000/($AM1813-$AL1813))</f>
        <v>0.42907453872120932</v>
      </c>
      <c r="AT1813" s="3"/>
      <c r="AU1813" s="16" cm="1">
        <f t="array" ref="AU1813">$C1813*EXP(poly_from_str(100000000/$E1813,AU$4342))</f>
        <v>5.1869639953402826</v>
      </c>
    </row>
    <row r="1814" spans="1:48" x14ac:dyDescent="0.25">
      <c r="A1814" t="s">
        <v>2597</v>
      </c>
      <c r="B1814" s="2" t="str">
        <f t="shared" si="1124"/>
        <v/>
      </c>
      <c r="C1814">
        <v>1</v>
      </c>
      <c r="D1814" t="s">
        <v>14</v>
      </c>
      <c r="E1814" t="s">
        <v>2598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1129"/>
        <v>o</v>
      </c>
      <c r="N1814" t="str">
        <f t="shared" si="1130"/>
        <v>3/2</v>
      </c>
      <c r="O1814">
        <v>39120.49</v>
      </c>
      <c r="P1814" t="str">
        <f t="shared" si="1131"/>
        <v>e</v>
      </c>
      <c r="Q1814" t="str">
        <f t="shared" si="1132"/>
        <v>3/2</v>
      </c>
      <c r="R1814">
        <v>17</v>
      </c>
      <c r="S1814" t="s">
        <v>6</v>
      </c>
      <c r="AA1814" s="10">
        <f t="shared" si="1125"/>
        <v>3360.4009999999998</v>
      </c>
      <c r="AB1814" s="3">
        <f t="shared" si="1126"/>
        <v>29749.8</v>
      </c>
      <c r="AC1814" s="3" cm="1">
        <f t="array" ref="AC1814">100000000/LvacE(AA1814)</f>
        <v>29749.804788210742</v>
      </c>
      <c r="AD1814" s="10">
        <f t="shared" si="1127"/>
        <v>9.4265259991606273E-3</v>
      </c>
      <c r="AE1814" s="10" t="b">
        <f t="shared" si="1128"/>
        <v>1</v>
      </c>
      <c r="AJ1814" t="s">
        <v>4967</v>
      </c>
      <c r="AK1814" t="s">
        <v>4733</v>
      </c>
      <c r="AL1814">
        <v>9370.66</v>
      </c>
      <c r="AM1814">
        <v>39120.400000000001</v>
      </c>
      <c r="AN1814" s="10" cm="1">
        <f t="array" ref="AN1814">Lair(100000000/($AM1814-$AL1814))</f>
        <v>3360.4083127929866</v>
      </c>
      <c r="AO1814" s="10">
        <f t="shared" si="1133"/>
        <v>3361.3739145283284</v>
      </c>
      <c r="AU1814" s="16" cm="1">
        <f t="array" ref="AU1814">$C1814*EXP(poly_from_str(100000000/$E1814,AU$4342))</f>
        <v>1.0392009103840596</v>
      </c>
    </row>
    <row r="1815" spans="1:48" x14ac:dyDescent="0.25">
      <c r="A1815" t="s">
        <v>2599</v>
      </c>
      <c r="B1815" s="2" t="str">
        <f t="shared" si="1124"/>
        <v/>
      </c>
      <c r="C1815">
        <v>5</v>
      </c>
      <c r="E1815" t="s">
        <v>2600</v>
      </c>
      <c r="R1815">
        <v>17</v>
      </c>
      <c r="S1815" t="s">
        <v>22</v>
      </c>
      <c r="AA1815" s="10">
        <f t="shared" si="1125"/>
        <v>3360.1570000000002</v>
      </c>
      <c r="AB1815" s="3">
        <f t="shared" si="1126"/>
        <v>29751.96</v>
      </c>
      <c r="AC1815" s="3" cm="1">
        <f t="array" ref="AC1815">100000000/LvacE(AA1815)</f>
        <v>29751.965020311836</v>
      </c>
      <c r="AD1815" s="10">
        <f t="shared" si="1127"/>
        <v>9.4271688823337474E-3</v>
      </c>
      <c r="AE1815" s="10" t="b">
        <f t="shared" si="1128"/>
        <v>1</v>
      </c>
      <c r="AP1815"/>
      <c r="AQ1815"/>
      <c r="AU1815" s="16" cm="1">
        <f t="array" ref="AU1815">$C1815*EXP(poly_from_str(100000000/$E1815,AU$4342))</f>
        <v>5.2004438779685742</v>
      </c>
    </row>
    <row r="1816" spans="1:48" x14ac:dyDescent="0.25">
      <c r="A1816" t="s">
        <v>2601</v>
      </c>
      <c r="B1816" s="2" t="str">
        <f t="shared" si="1124"/>
        <v/>
      </c>
      <c r="C1816">
        <v>3</v>
      </c>
      <c r="D1816" t="s">
        <v>134</v>
      </c>
      <c r="E1816" t="s">
        <v>2602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1125"/>
        <v>3359.973</v>
      </c>
      <c r="AB1816" s="3">
        <f t="shared" si="1126"/>
        <v>29753.59</v>
      </c>
      <c r="AC1816" s="3" cm="1">
        <f t="array" ref="AC1816">100000000/LvacE(AA1816)</f>
        <v>29753.594255295382</v>
      </c>
      <c r="AD1816" s="10">
        <f t="shared" si="1127"/>
        <v>9.427653772112958E-3</v>
      </c>
      <c r="AE1816" s="10" t="b">
        <f t="shared" si="1128"/>
        <v>1</v>
      </c>
      <c r="AJ1816" t="s">
        <v>4972</v>
      </c>
      <c r="AK1816" t="s">
        <v>4943</v>
      </c>
      <c r="AL1816">
        <v>45807.1</v>
      </c>
      <c r="AM1816">
        <v>75560.75</v>
      </c>
      <c r="AN1816" s="10" cm="1">
        <f t="array" ref="AN1816">Lair(100000000/($AM1816-$AL1816))</f>
        <v>3359.9666991117124</v>
      </c>
      <c r="AO1816" s="10">
        <f>100000000/($AM1816-$AL1816)</f>
        <v>3360.9321881517058</v>
      </c>
      <c r="AP1816" s="12">
        <v>73500000</v>
      </c>
      <c r="AQ1816" s="3">
        <v>0.47399999999999998</v>
      </c>
      <c r="AR1816" s="3">
        <f>LN(AU1816*100000000/($AM1816-$AL1816)/AP1816)</f>
        <v>-8.854259873387095</v>
      </c>
      <c r="AS1816" s="13">
        <f>EXP(AR$4341*$AM1816+AR$4342)*$AP1816/(100000000/($AM1816-$AL1816))</f>
        <v>6.6621904246138879</v>
      </c>
      <c r="AT1816" s="3">
        <f>LN(AS1816/$C1816)</f>
        <v>0.79783603439554573</v>
      </c>
      <c r="AU1816" s="16" cm="1">
        <f t="array" ref="AU1816">$C1816*EXP(poly_from_str(100000000/$E1816,AU$4342))</f>
        <v>3.1222766753886115</v>
      </c>
      <c r="AV1816" s="13">
        <f>LN(AS1816/AU1816)</f>
        <v>0.75788588369633336</v>
      </c>
    </row>
    <row r="1817" spans="1:48" x14ac:dyDescent="0.25">
      <c r="A1817" t="s">
        <v>2603</v>
      </c>
      <c r="B1817" s="2" t="str">
        <f t="shared" si="1124"/>
        <v/>
      </c>
      <c r="C1817">
        <v>0</v>
      </c>
      <c r="E1817" t="s">
        <v>2604</v>
      </c>
      <c r="R1817">
        <v>17</v>
      </c>
      <c r="S1817" t="s">
        <v>22</v>
      </c>
      <c r="AA1817" s="10">
        <f t="shared" si="1125"/>
        <v>3359.8389999999999</v>
      </c>
      <c r="AB1817" s="3">
        <f t="shared" si="1126"/>
        <v>29754.78</v>
      </c>
      <c r="AC1817" s="3" cm="1">
        <f t="array" ref="AC1817">100000000/LvacE(AA1817)</f>
        <v>29754.78087567502</v>
      </c>
      <c r="AD1817" s="10">
        <f t="shared" si="1127"/>
        <v>9.4280069484988741E-3</v>
      </c>
      <c r="AE1817" s="10" t="b">
        <f t="shared" si="1128"/>
        <v>1</v>
      </c>
      <c r="AP1817"/>
      <c r="AQ1817"/>
      <c r="AU1817" s="16" cm="1">
        <f t="array" ref="AU1817">$C1817*EXP(poly_from_str(100000000/$E1817,AU$4342))</f>
        <v>0</v>
      </c>
    </row>
    <row r="1818" spans="1:48" x14ac:dyDescent="0.25">
      <c r="A1818" t="s">
        <v>2605</v>
      </c>
      <c r="B1818" s="2" t="str">
        <f t="shared" si="1124"/>
        <v/>
      </c>
      <c r="C1818">
        <v>0</v>
      </c>
      <c r="E1818" t="s">
        <v>2606</v>
      </c>
      <c r="R1818">
        <v>17</v>
      </c>
      <c r="S1818" t="s">
        <v>22</v>
      </c>
      <c r="AA1818" s="10">
        <f t="shared" si="1125"/>
        <v>3359.4459999999999</v>
      </c>
      <c r="AB1818" s="3">
        <f t="shared" si="1126"/>
        <v>29758.26</v>
      </c>
      <c r="AC1818" s="3" cm="1">
        <f t="array" ref="AC1818">100000000/LvacE(AA1818)</f>
        <v>29758.261584337539</v>
      </c>
      <c r="AD1818" s="10">
        <f t="shared" si="1127"/>
        <v>9.42904300059259E-3</v>
      </c>
      <c r="AE1818" s="10" t="b">
        <f t="shared" si="1128"/>
        <v>1</v>
      </c>
      <c r="AP1818"/>
      <c r="AQ1818"/>
      <c r="AU1818" s="16" cm="1">
        <f t="array" ref="AU1818">$C1818*EXP(poly_from_str(100000000/$E1818,AU$4342))</f>
        <v>0</v>
      </c>
    </row>
    <row r="1819" spans="1:48" x14ac:dyDescent="0.25">
      <c r="A1819" t="s">
        <v>2607</v>
      </c>
      <c r="B1819" s="2" t="str">
        <f t="shared" si="1124"/>
        <v/>
      </c>
      <c r="C1819">
        <v>500</v>
      </c>
      <c r="D1819" t="s">
        <v>170</v>
      </c>
      <c r="E1819" t="s">
        <v>2608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1125"/>
        <v>3359.4140000000002</v>
      </c>
      <c r="AB1819" s="3">
        <f t="shared" si="1126"/>
        <v>29758.54</v>
      </c>
      <c r="AC1819" s="3" cm="1">
        <f t="array" ref="AC1819">100000000/LvacE(AA1819)</f>
        <v>29758.545036672076</v>
      </c>
      <c r="AD1819" s="10">
        <f t="shared" si="1127"/>
        <v>9.4291273770770855E-3</v>
      </c>
      <c r="AE1819" s="10" t="b">
        <f t="shared" si="1128"/>
        <v>1</v>
      </c>
      <c r="AJ1819" t="s">
        <v>4975</v>
      </c>
      <c r="AK1819" t="s">
        <v>4902</v>
      </c>
      <c r="AL1819">
        <v>28399.43</v>
      </c>
      <c r="AM1819">
        <v>58158.080000000002</v>
      </c>
      <c r="AN1819" s="10" cm="1">
        <f t="array" ref="AN1819">Lair(100000000/($AM1819-$AL1819))</f>
        <v>3359.4021448134968</v>
      </c>
      <c r="AO1819" s="10">
        <f>100000000/($AM1819-$AL1819)</f>
        <v>3360.3674897886831</v>
      </c>
      <c r="AP1819" s="12">
        <v>704000000</v>
      </c>
      <c r="AQ1819" s="3">
        <v>0.56000000000000005</v>
      </c>
      <c r="AR1819" s="3">
        <f>LN(AU1819*100000000/($AM1819-$AL1819)/AP1819)</f>
        <v>-5.9959711009401602</v>
      </c>
      <c r="AS1819" s="13">
        <f>EXP(AR$4341*$AM1819+AR$4342)*$AP1819/(100000000/($AM1819-$AL1819))</f>
        <v>235.5971376054186</v>
      </c>
      <c r="AT1819" s="3">
        <f>LN(AS1819/$C1819)</f>
        <v>-0.75248479610133789</v>
      </c>
      <c r="AU1819" s="16" cm="1">
        <f t="array" ref="AU1819">$C1819*EXP(poly_from_str(100000000/$E1819,AU$4342))</f>
        <v>521.39723280472401</v>
      </c>
      <c r="AV1819" s="13">
        <f>LN(AS1819/AU1819)</f>
        <v>-0.7943888919238119</v>
      </c>
    </row>
    <row r="1820" spans="1:48" x14ac:dyDescent="0.25">
      <c r="A1820" t="s">
        <v>2609</v>
      </c>
      <c r="B1820" s="2" t="str">
        <f t="shared" si="1124"/>
        <v/>
      </c>
      <c r="C1820">
        <v>0</v>
      </c>
      <c r="E1820" t="s">
        <v>2610</v>
      </c>
      <c r="R1820">
        <v>17</v>
      </c>
      <c r="S1820" t="s">
        <v>22</v>
      </c>
      <c r="AA1820" s="10">
        <f t="shared" si="1125"/>
        <v>3358.6640000000002</v>
      </c>
      <c r="AB1820" s="3">
        <f t="shared" si="1126"/>
        <v>29765.19</v>
      </c>
      <c r="AC1820" s="3" cm="1">
        <f t="array" ref="AC1820">100000000/LvacE(AA1820)</f>
        <v>29765.189997469406</v>
      </c>
      <c r="AD1820" s="10">
        <f t="shared" si="1127"/>
        <v>9.4311056416285476E-3</v>
      </c>
      <c r="AE1820" s="10" t="b">
        <f t="shared" si="1128"/>
        <v>1</v>
      </c>
      <c r="AP1820"/>
      <c r="AQ1820"/>
      <c r="AU1820" s="16" cm="1">
        <f t="array" ref="AU1820">$C1820*EXP(poly_from_str(100000000/$E1820,AU$4342))</f>
        <v>0</v>
      </c>
    </row>
    <row r="1821" spans="1:48" x14ac:dyDescent="0.25">
      <c r="A1821" t="s">
        <v>2611</v>
      </c>
      <c r="B1821" s="2" t="str">
        <f t="shared" si="1124"/>
        <v/>
      </c>
      <c r="C1821">
        <v>0</v>
      </c>
      <c r="E1821" t="s">
        <v>2612</v>
      </c>
      <c r="R1821">
        <v>18</v>
      </c>
      <c r="S1821" t="s">
        <v>22</v>
      </c>
      <c r="AA1821" s="10">
        <f t="shared" si="1125"/>
        <v>3358.627</v>
      </c>
      <c r="AB1821" s="3">
        <f t="shared" si="1126"/>
        <v>29765.52</v>
      </c>
      <c r="AC1821" s="3" cm="1">
        <f t="array" ref="AC1821">100000000/LvacE(AA1821)</f>
        <v>29765.517892346197</v>
      </c>
      <c r="AD1821" s="10">
        <f t="shared" si="1127"/>
        <v>9.431203270316442E-3</v>
      </c>
      <c r="AE1821" s="10" t="b">
        <f t="shared" si="1128"/>
        <v>1</v>
      </c>
      <c r="AP1821"/>
      <c r="AQ1821"/>
      <c r="AU1821" s="16" cm="1">
        <f t="array" ref="AU1821">$C1821*EXP(poly_from_str(100000000/$E1821,AU$4342))</f>
        <v>0</v>
      </c>
    </row>
    <row r="1822" spans="1:48" x14ac:dyDescent="0.25">
      <c r="A1822" t="s">
        <v>2613</v>
      </c>
      <c r="B1822" s="2" t="str">
        <f t="shared" si="1124"/>
        <v/>
      </c>
      <c r="C1822">
        <v>5</v>
      </c>
      <c r="D1822" t="s">
        <v>170</v>
      </c>
      <c r="E1822" t="s">
        <v>2614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1125"/>
        <v>3358.5830000000001</v>
      </c>
      <c r="AB1822" s="3">
        <f t="shared" si="1126"/>
        <v>29765.91</v>
      </c>
      <c r="AC1822" s="3" cm="1">
        <f t="array" ref="AC1822">100000000/LvacE(AA1822)</f>
        <v>29765.907830792399</v>
      </c>
      <c r="AD1822" s="10">
        <f t="shared" si="1127"/>
        <v>9.4313193734965606E-3</v>
      </c>
      <c r="AE1822" s="10" t="b">
        <f t="shared" si="1128"/>
        <v>1</v>
      </c>
      <c r="AJ1822" t="s">
        <v>4750</v>
      </c>
      <c r="AK1822" t="s">
        <v>4831</v>
      </c>
      <c r="AL1822">
        <v>38726.5</v>
      </c>
      <c r="AM1822">
        <v>68492.429999999993</v>
      </c>
      <c r="AN1822" s="10" cm="1">
        <f t="array" ref="AN1822">Lair(100000000/($AM1822-$AL1822))</f>
        <v>3358.5804928620055</v>
      </c>
      <c r="AO1822" s="10">
        <f>100000000/($AM1822-$AL1822)</f>
        <v>3359.5456281728816</v>
      </c>
      <c r="AP1822" s="12">
        <v>111000000</v>
      </c>
      <c r="AQ1822" s="3">
        <v>0.26400000000000001</v>
      </c>
      <c r="AR1822" s="3">
        <f>LN(AU1822*100000000/($AM1822-$AL1822)/AP1822)</f>
        <v>-8.7512341174801076</v>
      </c>
      <c r="AS1822" s="13">
        <f>EXP(AR$4341*$AM1822+AR$4342)*$AP1822/(100000000/($AM1822-$AL1822))</f>
        <v>17.108240864209989</v>
      </c>
      <c r="AT1822" s="3">
        <f>LN(AS1822/$C1822)</f>
        <v>1.2301223568710831</v>
      </c>
      <c r="AU1822" s="16" cm="1">
        <f t="array" ref="AU1822">$C1822*EXP(poly_from_str(100000000/$E1822,AU$4342))</f>
        <v>5.2291337202498935</v>
      </c>
      <c r="AV1822" s="13">
        <f>LN(AS1822/AU1822)</f>
        <v>1.1853146416111193</v>
      </c>
    </row>
    <row r="1823" spans="1:48" x14ac:dyDescent="0.25">
      <c r="A1823" t="s">
        <v>2615</v>
      </c>
      <c r="B1823" s="2" t="str">
        <f t="shared" si="1124"/>
        <v/>
      </c>
      <c r="C1823">
        <v>0</v>
      </c>
      <c r="E1823" t="s">
        <v>2616</v>
      </c>
      <c r="R1823">
        <v>18</v>
      </c>
      <c r="S1823" t="s">
        <v>22</v>
      </c>
      <c r="AA1823" s="10">
        <f t="shared" si="1125"/>
        <v>3358.2049999999999</v>
      </c>
      <c r="AB1823" s="3">
        <f t="shared" si="1126"/>
        <v>29769.26</v>
      </c>
      <c r="AC1823" s="3" cm="1">
        <f t="array" ref="AC1823">100000000/LvacE(AA1823)</f>
        <v>29769.258177471467</v>
      </c>
      <c r="AD1823" s="10">
        <f t="shared" si="1127"/>
        <v>9.4323169933746565E-3</v>
      </c>
      <c r="AE1823" s="10" t="b">
        <f t="shared" si="1128"/>
        <v>1</v>
      </c>
      <c r="AP1823"/>
      <c r="AQ1823"/>
      <c r="AU1823" s="16" cm="1">
        <f t="array" ref="AU1823">$C1823*EXP(poly_from_str(100000000/$E1823,AU$4342))</f>
        <v>0</v>
      </c>
    </row>
    <row r="1824" spans="1:48" x14ac:dyDescent="0.25">
      <c r="A1824" t="s">
        <v>2617</v>
      </c>
      <c r="B1824" s="2" t="str">
        <f t="shared" si="1124"/>
        <v/>
      </c>
      <c r="C1824">
        <v>0</v>
      </c>
      <c r="E1824" t="s">
        <v>2618</v>
      </c>
      <c r="R1824">
        <v>18</v>
      </c>
      <c r="S1824" t="s">
        <v>22</v>
      </c>
      <c r="AA1824" s="10">
        <f t="shared" si="1125"/>
        <v>3358.152</v>
      </c>
      <c r="AB1824" s="3">
        <f t="shared" si="1126"/>
        <v>29769.73</v>
      </c>
      <c r="AC1824" s="3" cm="1">
        <f t="array" ref="AC1824">100000000/LvacE(AA1824)</f>
        <v>29769.727995362096</v>
      </c>
      <c r="AD1824" s="10">
        <f t="shared" si="1127"/>
        <v>9.4324568982229063E-3</v>
      </c>
      <c r="AE1824" s="10" t="b">
        <f t="shared" si="1128"/>
        <v>1</v>
      </c>
      <c r="AP1824"/>
      <c r="AQ1824"/>
      <c r="AU1824" s="16" cm="1">
        <f t="array" ref="AU1824">$C1824*EXP(poly_from_str(100000000/$E1824,AU$4342))</f>
        <v>0</v>
      </c>
    </row>
    <row r="1825" spans="1:48" x14ac:dyDescent="0.25">
      <c r="A1825" t="s">
        <v>2619</v>
      </c>
      <c r="B1825" s="2" t="str">
        <f t="shared" si="1124"/>
        <v/>
      </c>
      <c r="C1825">
        <v>30</v>
      </c>
      <c r="D1825" t="s">
        <v>170</v>
      </c>
      <c r="E1825" t="s">
        <v>2620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1125"/>
        <v>3358.0830000000001</v>
      </c>
      <c r="AB1825" s="3">
        <f t="shared" si="1126"/>
        <v>29770.34</v>
      </c>
      <c r="AC1825" s="3" cm="1">
        <f t="array" ref="AC1825">100000000/LvacE(AA1825)</f>
        <v>29770.339667288943</v>
      </c>
      <c r="AD1825" s="10">
        <f t="shared" si="1127"/>
        <v>9.4326390484227064E-3</v>
      </c>
      <c r="AE1825" s="10" t="b">
        <f t="shared" si="1128"/>
        <v>1</v>
      </c>
      <c r="AJ1825" t="s">
        <v>4971</v>
      </c>
      <c r="AK1825" t="s">
        <v>4947</v>
      </c>
      <c r="AL1825">
        <v>45844.65</v>
      </c>
      <c r="AM1825">
        <v>75614.81</v>
      </c>
      <c r="AN1825" s="10" cm="1">
        <f t="array" ref="AN1825">Lair(100000000/($AM1825-$AL1825))</f>
        <v>3358.1032615402446</v>
      </c>
      <c r="AO1825" s="10">
        <f>100000000/($AM1825-$AL1825)</f>
        <v>3359.0682750781325</v>
      </c>
      <c r="AP1825" s="12">
        <v>386000000</v>
      </c>
      <c r="AQ1825" s="3">
        <v>0.46500000000000002</v>
      </c>
      <c r="AR1825" s="3">
        <f>LN(AU1825*100000000/($AM1825-$AL1825)/AP1825)</f>
        <v>-8.2041818103839894</v>
      </c>
      <c r="AS1825" s="13">
        <f>EXP(AR$4341*$AM1825+AR$4342)*$AP1825/(100000000/($AM1825-$AL1825))</f>
        <v>34.865506724870087</v>
      </c>
      <c r="AT1825" s="3">
        <f>LN(AS1825/$C1825)</f>
        <v>0.15030061281801144</v>
      </c>
      <c r="AU1825" s="16" cm="1">
        <f t="array" ref="AU1825">$C1825*EXP(poly_from_str(100000000/$E1825,AU$4342))</f>
        <v>31.429508150019871</v>
      </c>
      <c r="AV1825" s="13">
        <f>LN(AS1825/AU1825)</f>
        <v>0.10375079285391246</v>
      </c>
    </row>
    <row r="1826" spans="1:48" x14ac:dyDescent="0.25">
      <c r="A1826" t="s">
        <v>2621</v>
      </c>
      <c r="B1826" s="2" t="str">
        <f t="shared" si="1124"/>
        <v/>
      </c>
      <c r="C1826">
        <v>0</v>
      </c>
      <c r="E1826" t="s">
        <v>2622</v>
      </c>
      <c r="R1826">
        <v>18</v>
      </c>
      <c r="S1826" t="s">
        <v>22</v>
      </c>
      <c r="AA1826" s="10">
        <f t="shared" si="1125"/>
        <v>3357.7060000000001</v>
      </c>
      <c r="AB1826" s="3">
        <f t="shared" si="1126"/>
        <v>29773.68</v>
      </c>
      <c r="AC1826" s="3" cm="1">
        <f t="array" ref="AC1826">100000000/LvacE(AA1826)</f>
        <v>29773.682144754359</v>
      </c>
      <c r="AD1826" s="10">
        <f t="shared" si="1127"/>
        <v>9.433634473172213E-3</v>
      </c>
      <c r="AE1826" s="10" t="b">
        <f t="shared" si="1128"/>
        <v>1</v>
      </c>
      <c r="AP1826"/>
      <c r="AQ1826"/>
      <c r="AU1826" s="16" cm="1">
        <f t="array" ref="AU1826">$C1826*EXP(poly_from_str(100000000/$E1826,AU$4342))</f>
        <v>0</v>
      </c>
    </row>
    <row r="1827" spans="1:48" x14ac:dyDescent="0.25">
      <c r="A1827" t="s">
        <v>2623</v>
      </c>
      <c r="B1827" s="2" t="str">
        <f t="shared" si="1124"/>
        <v/>
      </c>
      <c r="C1827">
        <v>0</v>
      </c>
      <c r="E1827" t="s">
        <v>2624</v>
      </c>
      <c r="R1827">
        <v>18</v>
      </c>
      <c r="S1827" t="s">
        <v>22</v>
      </c>
      <c r="AA1827" s="10">
        <f t="shared" si="1125"/>
        <v>3357.6770000000001</v>
      </c>
      <c r="AB1827" s="3">
        <f t="shared" si="1126"/>
        <v>29773.94</v>
      </c>
      <c r="AC1827" s="3" cm="1">
        <f t="array" ref="AC1827">100000000/LvacE(AA1827)</f>
        <v>29773.939289493246</v>
      </c>
      <c r="AD1827" s="10">
        <f t="shared" si="1127"/>
        <v>9.4337110581948838E-3</v>
      </c>
      <c r="AE1827" s="10" t="b">
        <f t="shared" si="1128"/>
        <v>1</v>
      </c>
      <c r="AP1827"/>
      <c r="AQ1827"/>
      <c r="AU1827" s="16" cm="1">
        <f t="array" ref="AU1827">$C1827*EXP(poly_from_str(100000000/$E1827,AU$4342))</f>
        <v>0</v>
      </c>
    </row>
    <row r="1828" spans="1:48" x14ac:dyDescent="0.25">
      <c r="A1828" t="s">
        <v>2625</v>
      </c>
      <c r="B1828" s="2" t="str">
        <f t="shared" si="1124"/>
        <v/>
      </c>
      <c r="C1828">
        <v>0</v>
      </c>
      <c r="E1828" t="s">
        <v>2626</v>
      </c>
      <c r="R1828">
        <v>18</v>
      </c>
      <c r="S1828" t="s">
        <v>22</v>
      </c>
      <c r="AA1828" s="10">
        <f t="shared" si="1125"/>
        <v>3357.6179999999999</v>
      </c>
      <c r="AB1828" s="3">
        <f t="shared" si="1126"/>
        <v>29774.46</v>
      </c>
      <c r="AC1828" s="3" cm="1">
        <f t="array" ref="AC1828">100000000/LvacE(AA1828)</f>
        <v>29774.462459741681</v>
      </c>
      <c r="AD1828" s="10">
        <f t="shared" si="1127"/>
        <v>9.4338668752284617E-3</v>
      </c>
      <c r="AE1828" s="10" t="b">
        <f t="shared" si="1128"/>
        <v>1</v>
      </c>
      <c r="AP1828"/>
      <c r="AQ1828"/>
      <c r="AU1828" s="16" cm="1">
        <f t="array" ref="AU1828">$C1828*EXP(poly_from_str(100000000/$E1828,AU$4342))</f>
        <v>0</v>
      </c>
    </row>
    <row r="1829" spans="1:48" x14ac:dyDescent="0.25">
      <c r="A1829" t="s">
        <v>2627</v>
      </c>
      <c r="B1829" s="2" t="str">
        <f t="shared" si="1124"/>
        <v/>
      </c>
      <c r="C1829">
        <v>500</v>
      </c>
      <c r="D1829" t="s">
        <v>170</v>
      </c>
      <c r="E1829" t="s">
        <v>2628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1134">$G1829&amp;""</f>
        <v>e</v>
      </c>
      <c r="N1829" t="str">
        <f t="shared" ref="N1829:N1831" si="1135">$H1829&amp;""</f>
        <v>7/2</v>
      </c>
      <c r="O1829">
        <v>58174.15</v>
      </c>
      <c r="P1829" t="str">
        <f t="shared" ref="P1829:P1831" si="1136">$J1829&amp;""</f>
        <v>o</v>
      </c>
      <c r="Q1829" t="str">
        <f t="shared" ref="Q1829:Q1831" si="1137">$K1829&amp;""</f>
        <v>9/2</v>
      </c>
      <c r="R1829">
        <v>18</v>
      </c>
      <c r="AA1829" s="10">
        <f t="shared" si="1125"/>
        <v>3357.5630000000001</v>
      </c>
      <c r="AB1829" s="3">
        <f t="shared" si="1126"/>
        <v>29774.95</v>
      </c>
      <c r="AC1829" s="3" cm="1">
        <f t="array" ref="AC1829">100000000/LvacE(AA1829)</f>
        <v>29774.950177378836</v>
      </c>
      <c r="AD1829" s="10">
        <f t="shared" si="1127"/>
        <v>9.4340121357929588E-3</v>
      </c>
      <c r="AE1829" s="10" t="b">
        <f t="shared" si="1128"/>
        <v>1</v>
      </c>
      <c r="AJ1829" t="s">
        <v>4975</v>
      </c>
      <c r="AK1829" t="s">
        <v>4698</v>
      </c>
      <c r="AL1829">
        <v>28399.43</v>
      </c>
      <c r="AM1829">
        <v>58174.15</v>
      </c>
      <c r="AN1829" s="10" cm="1">
        <f t="array" ref="AN1829">Lair(100000000/($AM1829-$AL1829))</f>
        <v>3357.5889512806857</v>
      </c>
      <c r="AO1829" s="10">
        <f t="shared" ref="AO1829:AO1831" si="1138">100000000/($AM1829-$AL1829)</f>
        <v>3358.5538335876877</v>
      </c>
      <c r="AP1829" s="12">
        <v>1000000000</v>
      </c>
      <c r="AQ1829" s="3">
        <v>0.63400000000000001</v>
      </c>
      <c r="AR1829" s="3">
        <f t="shared" ref="AR1829:AR1831" si="1139">LN(AU1829*100000000/($AM1829-$AL1829)/AP1829)</f>
        <v>-6.3410318424665979</v>
      </c>
      <c r="AS1829" s="13">
        <f t="shared" ref="AS1829:AS1831" si="1140">EXP(AR$4341*$AM1829+AR$4342)*$AP1829/(100000000/($AM1829-$AL1829))</f>
        <v>334.43217343769481</v>
      </c>
      <c r="AT1829" s="3">
        <f t="shared" ref="AT1829:AT1831" si="1141">LN(AS1829/$C1829)</f>
        <v>-0.40217400940646658</v>
      </c>
      <c r="AU1829" s="16" cm="1">
        <f t="array" ref="AU1829">$C1829*EXP(poly_from_str(100000000/$E1829,AU$4342))</f>
        <v>524.77428711692653</v>
      </c>
      <c r="AV1829" s="13">
        <f t="shared" ref="AV1829:AV1831" si="1142">LN(AS1829/AU1829)</f>
        <v>-0.4505341518287066</v>
      </c>
    </row>
    <row r="1830" spans="1:48" x14ac:dyDescent="0.25">
      <c r="A1830" t="s">
        <v>2629</v>
      </c>
      <c r="B1830" s="2" t="str">
        <f t="shared" si="1124"/>
        <v/>
      </c>
      <c r="C1830">
        <v>7</v>
      </c>
      <c r="E1830" t="s">
        <v>2630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1134"/>
        <v>e</v>
      </c>
      <c r="N1830" t="str">
        <f t="shared" si="1135"/>
        <v>7/2</v>
      </c>
      <c r="O1830">
        <v>64817.53</v>
      </c>
      <c r="P1830" t="str">
        <f t="shared" si="1136"/>
        <v>o</v>
      </c>
      <c r="Q1830" t="str">
        <f t="shared" si="1137"/>
        <v>5/2</v>
      </c>
      <c r="R1830">
        <v>18</v>
      </c>
      <c r="AA1830" s="10">
        <f t="shared" si="1125"/>
        <v>3355.5250000000001</v>
      </c>
      <c r="AB1830" s="3">
        <f t="shared" si="1126"/>
        <v>29793.03</v>
      </c>
      <c r="AC1830" s="3" cm="1">
        <f t="array" ref="AC1830">100000000/LvacE(AA1830)</f>
        <v>29793.033604579734</v>
      </c>
      <c r="AD1830" s="10">
        <f t="shared" si="1127"/>
        <v>9.4393997369382927E-3</v>
      </c>
      <c r="AE1830" s="10" t="b">
        <f t="shared" si="1128"/>
        <v>1</v>
      </c>
      <c r="AJ1830" t="s">
        <v>4770</v>
      </c>
      <c r="AK1830" t="s">
        <v>4882</v>
      </c>
      <c r="AL1830">
        <v>35024.49</v>
      </c>
      <c r="AM1830">
        <v>64817.53</v>
      </c>
      <c r="AN1830" s="10" cm="1">
        <f t="array" ref="AN1830">Lair(100000000/($AM1830-$AL1830))</f>
        <v>3355.5242740378503</v>
      </c>
      <c r="AO1830" s="10">
        <f t="shared" si="1138"/>
        <v>3356.4886295591182</v>
      </c>
      <c r="AP1830" s="12">
        <v>60500000</v>
      </c>
      <c r="AQ1830" s="3">
        <v>0.18</v>
      </c>
      <c r="AR1830" s="3">
        <f t="shared" si="1139"/>
        <v>-7.7981583534357934</v>
      </c>
      <c r="AS1830" s="13">
        <f t="shared" si="1140"/>
        <v>12.29721887691686</v>
      </c>
      <c r="AT1830" s="3">
        <f t="shared" si="1141"/>
        <v>0.56346298018915353</v>
      </c>
      <c r="AU1830" s="16" cm="1">
        <f t="array" ref="AU1830">$C1830*EXP(poly_from_str(100000000/$E1830,AU$4342))</f>
        <v>7.399000427938331</v>
      </c>
      <c r="AV1830" s="13">
        <f t="shared" si="1142"/>
        <v>0.50802821546373456</v>
      </c>
    </row>
    <row r="1831" spans="1:48" x14ac:dyDescent="0.25">
      <c r="A1831" t="s">
        <v>2631</v>
      </c>
      <c r="B1831" s="2" t="str">
        <f t="shared" si="1124"/>
        <v/>
      </c>
      <c r="C1831">
        <v>250</v>
      </c>
      <c r="D1831" t="s">
        <v>134</v>
      </c>
      <c r="E1831" t="s">
        <v>2632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1134"/>
        <v>e</v>
      </c>
      <c r="N1831" t="str">
        <f t="shared" si="1135"/>
        <v>13/2</v>
      </c>
      <c r="O1831">
        <v>62558.67</v>
      </c>
      <c r="P1831" t="str">
        <f t="shared" si="1136"/>
        <v>o</v>
      </c>
      <c r="Q1831" t="str">
        <f t="shared" si="1137"/>
        <v>11/2</v>
      </c>
      <c r="R1831">
        <v>18</v>
      </c>
      <c r="AA1831" s="10">
        <f t="shared" si="1125"/>
        <v>3354.9140000000002</v>
      </c>
      <c r="AB1831" s="3">
        <f t="shared" si="1126"/>
        <v>29798.46</v>
      </c>
      <c r="AC1831" s="3" cm="1">
        <f t="array" ref="AC1831">100000000/LvacE(AA1831)</f>
        <v>29798.459363991948</v>
      </c>
      <c r="AD1831" s="10">
        <f t="shared" si="1127"/>
        <v>9.4410168731585888E-3</v>
      </c>
      <c r="AE1831" s="10" t="b">
        <f t="shared" si="1128"/>
        <v>1</v>
      </c>
      <c r="AJ1831" t="s">
        <v>4829</v>
      </c>
      <c r="AK1831" t="s">
        <v>4821</v>
      </c>
      <c r="AL1831">
        <v>32760.11</v>
      </c>
      <c r="AM1831">
        <v>62558.67</v>
      </c>
      <c r="AN1831" s="10" cm="1">
        <f t="array" ref="AN1831">Lair(100000000/($AM1831-$AL1831))</f>
        <v>3354.9026637470365</v>
      </c>
      <c r="AO1831" s="10">
        <f t="shared" si="1138"/>
        <v>3355.8668606805163</v>
      </c>
      <c r="AP1831" s="12">
        <v>814000000</v>
      </c>
      <c r="AQ1831" s="3">
        <v>0.80700000000000005</v>
      </c>
      <c r="AR1831" s="3">
        <f t="shared" si="1139"/>
        <v>-6.8199929917383484</v>
      </c>
      <c r="AS1831" s="13">
        <f t="shared" si="1140"/>
        <v>196.05505551114024</v>
      </c>
      <c r="AT1831" s="3">
        <f t="shared" si="1141"/>
        <v>-0.24306540261047285</v>
      </c>
      <c r="AU1831" s="16" cm="1">
        <f t="array" ref="AU1831">$C1831*EXP(poly_from_str(100000000/$E1831,AU$4342))</f>
        <v>264.80998669439464</v>
      </c>
      <c r="AV1831" s="13">
        <f t="shared" si="1142"/>
        <v>-0.30061702220261954</v>
      </c>
    </row>
    <row r="1832" spans="1:48" x14ac:dyDescent="0.25">
      <c r="A1832" t="s">
        <v>2633</v>
      </c>
      <c r="B1832" s="2" t="str">
        <f t="shared" si="1124"/>
        <v/>
      </c>
      <c r="C1832">
        <v>0</v>
      </c>
      <c r="E1832" t="s">
        <v>2634</v>
      </c>
      <c r="R1832">
        <v>18</v>
      </c>
      <c r="S1832" t="s">
        <v>22</v>
      </c>
      <c r="AA1832" s="10">
        <f t="shared" si="1125"/>
        <v>3354.8620000000001</v>
      </c>
      <c r="AB1832" s="3">
        <f t="shared" si="1126"/>
        <v>29798.92</v>
      </c>
      <c r="AC1832" s="3" cm="1">
        <f t="array" ref="AC1832">100000000/LvacE(AA1832)</f>
        <v>29798.921222001482</v>
      </c>
      <c r="AD1832" s="10">
        <f t="shared" si="1127"/>
        <v>9.4411545425715695E-3</v>
      </c>
      <c r="AE1832" s="10" t="b">
        <f t="shared" si="1128"/>
        <v>1</v>
      </c>
      <c r="AP1832"/>
      <c r="AQ1832"/>
      <c r="AU1832" s="16" cm="1">
        <f t="array" ref="AU1832">$C1832*EXP(poly_from_str(100000000/$E1832,AU$4342))</f>
        <v>0</v>
      </c>
    </row>
    <row r="1833" spans="1:48" x14ac:dyDescent="0.25">
      <c r="A1833" t="s">
        <v>2635</v>
      </c>
      <c r="B1833" s="2" t="str">
        <f t="shared" si="1124"/>
        <v/>
      </c>
      <c r="C1833">
        <v>0</v>
      </c>
      <c r="E1833" t="s">
        <v>2636</v>
      </c>
      <c r="R1833">
        <v>18</v>
      </c>
      <c r="S1833" t="s">
        <v>22</v>
      </c>
      <c r="AA1833" s="10">
        <f t="shared" si="1125"/>
        <v>3354.817</v>
      </c>
      <c r="AB1833" s="3">
        <f t="shared" si="1126"/>
        <v>29799.32</v>
      </c>
      <c r="AC1833" s="3" cm="1">
        <f t="array" ref="AC1833">100000000/LvacE(AA1833)</f>
        <v>29799.320918373138</v>
      </c>
      <c r="AD1833" s="10">
        <f t="shared" si="1127"/>
        <v>9.4412736847305154E-3</v>
      </c>
      <c r="AE1833" s="10" t="b">
        <f t="shared" si="1128"/>
        <v>1</v>
      </c>
      <c r="AP1833"/>
      <c r="AQ1833"/>
      <c r="AU1833" s="16" cm="1">
        <f t="array" ref="AU1833">$C1833*EXP(poly_from_str(100000000/$E1833,AU$4342))</f>
        <v>0</v>
      </c>
    </row>
    <row r="1834" spans="1:48" x14ac:dyDescent="0.25">
      <c r="A1834" t="s">
        <v>2637</v>
      </c>
      <c r="B1834" s="2" t="str">
        <f t="shared" si="1124"/>
        <v/>
      </c>
      <c r="C1834">
        <v>0</v>
      </c>
      <c r="E1834" t="s">
        <v>2638</v>
      </c>
      <c r="R1834">
        <v>18</v>
      </c>
      <c r="S1834" t="s">
        <v>22</v>
      </c>
      <c r="AA1834" s="10">
        <f t="shared" si="1125"/>
        <v>3354.7739999999999</v>
      </c>
      <c r="AB1834" s="3">
        <f t="shared" si="1126"/>
        <v>29799.7</v>
      </c>
      <c r="AC1834" s="3" cm="1">
        <f t="array" ref="AC1834">100000000/LvacE(AA1834)</f>
        <v>29799.702860479632</v>
      </c>
      <c r="AD1834" s="10">
        <f t="shared" si="1127"/>
        <v>9.4413875361618448E-3</v>
      </c>
      <c r="AE1834" s="10" t="b">
        <f t="shared" si="1128"/>
        <v>1</v>
      </c>
      <c r="AP1834"/>
      <c r="AQ1834"/>
      <c r="AU1834" s="16" cm="1">
        <f t="array" ref="AU1834">$C1834*EXP(poly_from_str(100000000/$E1834,AU$4342))</f>
        <v>0</v>
      </c>
    </row>
    <row r="1835" spans="1:48" x14ac:dyDescent="0.25">
      <c r="A1835" t="s">
        <v>2639</v>
      </c>
      <c r="B1835" s="2" t="str">
        <f t="shared" si="1124"/>
        <v/>
      </c>
      <c r="C1835">
        <v>50</v>
      </c>
      <c r="D1835" t="s">
        <v>134</v>
      </c>
      <c r="E1835" t="s">
        <v>2640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1125"/>
        <v>3353.866</v>
      </c>
      <c r="AB1835" s="3">
        <f t="shared" si="1126"/>
        <v>29807.77</v>
      </c>
      <c r="AC1835" s="3" cm="1">
        <f t="array" ref="AC1835">100000000/LvacE(AA1835)</f>
        <v>29807.77034337755</v>
      </c>
      <c r="AD1835" s="10">
        <f t="shared" si="1127"/>
        <v>9.4437926773725533E-3</v>
      </c>
      <c r="AE1835" s="10" t="b">
        <f t="shared" si="1128"/>
        <v>1</v>
      </c>
      <c r="AJ1835" t="s">
        <v>4972</v>
      </c>
      <c r="AK1835" t="s">
        <v>4947</v>
      </c>
      <c r="AL1835">
        <v>45807.1</v>
      </c>
      <c r="AM1835">
        <v>75614.81</v>
      </c>
      <c r="AN1835" s="10" cm="1">
        <f t="array" ref="AN1835">Lair(100000000/($AM1835-$AL1835))</f>
        <v>3353.8727842218573</v>
      </c>
      <c r="AO1835" s="10">
        <f>100000000/($AM1835-$AL1835)</f>
        <v>3354.8367184194963</v>
      </c>
      <c r="AP1835" s="12">
        <v>349000000</v>
      </c>
      <c r="AQ1835" s="3">
        <v>0.73199999999999998</v>
      </c>
      <c r="AR1835" s="3">
        <f>LN(AU1835*100000000/($AM1835-$AL1835)/AP1835)</f>
        <v>-7.5792285035876068</v>
      </c>
      <c r="AS1835" s="13">
        <f>EXP(AR$4341*$AM1835+AR$4342)*$AP1835/(100000000/($AM1835-$AL1835))</f>
        <v>31.563237798185725</v>
      </c>
      <c r="AT1835" s="3">
        <f>LN(AS1835/$C1835)</f>
        <v>-0.46002992288167477</v>
      </c>
      <c r="AU1835" s="16" cm="1">
        <f t="array" ref="AU1835">$C1835*EXP(poly_from_str(100000000/$E1835,AU$4342))</f>
        <v>53.154118843493379</v>
      </c>
      <c r="AV1835" s="13">
        <f>LN(AS1835/AU1835)</f>
        <v>-0.52120251394247041</v>
      </c>
    </row>
    <row r="1836" spans="1:48" x14ac:dyDescent="0.25">
      <c r="A1836" t="s">
        <v>2641</v>
      </c>
      <c r="B1836" s="2" t="str">
        <f t="shared" si="1124"/>
        <v/>
      </c>
      <c r="C1836">
        <v>0</v>
      </c>
      <c r="E1836" t="s">
        <v>2642</v>
      </c>
      <c r="R1836">
        <v>18</v>
      </c>
      <c r="S1836" t="s">
        <v>22</v>
      </c>
      <c r="AA1836" s="10">
        <f t="shared" si="1125"/>
        <v>3353.8029999999999</v>
      </c>
      <c r="AB1836" s="3">
        <f t="shared" si="1126"/>
        <v>29808.33</v>
      </c>
      <c r="AC1836" s="3" cm="1">
        <f t="array" ref="AC1836">100000000/LvacE(AA1836)</f>
        <v>29808.330253690921</v>
      </c>
      <c r="AD1836" s="10">
        <f t="shared" si="1127"/>
        <v>9.4439596263839777E-3</v>
      </c>
      <c r="AE1836" s="10" t="b">
        <f t="shared" si="1128"/>
        <v>1</v>
      </c>
      <c r="AP1836"/>
      <c r="AQ1836"/>
      <c r="AU1836" s="16" cm="1">
        <f t="array" ref="AU1836">$C1836*EXP(poly_from_str(100000000/$E1836,AU$4342))</f>
        <v>0</v>
      </c>
    </row>
    <row r="1837" spans="1:48" x14ac:dyDescent="0.25">
      <c r="A1837" t="s">
        <v>2643</v>
      </c>
      <c r="B1837" s="2" t="str">
        <f t="shared" si="1124"/>
        <v/>
      </c>
      <c r="C1837">
        <v>5</v>
      </c>
      <c r="E1837" t="s">
        <v>2644</v>
      </c>
      <c r="R1837">
        <v>18</v>
      </c>
      <c r="S1837" t="s">
        <v>22</v>
      </c>
      <c r="AA1837" s="10">
        <f t="shared" si="1125"/>
        <v>3353.4929999999999</v>
      </c>
      <c r="AB1837" s="3">
        <f t="shared" si="1126"/>
        <v>29811.09</v>
      </c>
      <c r="AC1837" s="3" cm="1">
        <f t="array" ref="AC1837">100000000/LvacE(AA1837)</f>
        <v>29811.085674358554</v>
      </c>
      <c r="AD1837" s="10">
        <f t="shared" si="1127"/>
        <v>9.4447812585800178E-3</v>
      </c>
      <c r="AE1837" s="10" t="b">
        <f t="shared" si="1128"/>
        <v>1</v>
      </c>
      <c r="AP1837"/>
      <c r="AQ1837"/>
      <c r="AU1837" s="16" cm="1">
        <f t="array" ref="AU1837">$C1837*EXP(poly_from_str(100000000/$E1837,AU$4342))</f>
        <v>5.322266095177798</v>
      </c>
    </row>
    <row r="1838" spans="1:48" x14ac:dyDescent="0.25">
      <c r="A1838" t="s">
        <v>2645</v>
      </c>
      <c r="B1838" s="2" t="str">
        <f t="shared" si="1124"/>
        <v/>
      </c>
      <c r="C1838">
        <v>50</v>
      </c>
      <c r="D1838" t="s">
        <v>14</v>
      </c>
      <c r="E1838" t="s">
        <v>2646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1143">$G1838&amp;""</f>
        <v>e</v>
      </c>
      <c r="N1838" t="str">
        <f t="shared" ref="N1838:N1839" si="1144">$H1838&amp;""</f>
        <v>7/2</v>
      </c>
      <c r="O1838">
        <v>64857.15</v>
      </c>
      <c r="P1838" t="str">
        <f t="shared" ref="P1838:P1839" si="1145">$J1838&amp;""</f>
        <v>o</v>
      </c>
      <c r="Q1838" t="str">
        <f t="shared" ref="Q1838:Q1839" si="1146">$K1838&amp;""</f>
        <v>9/2</v>
      </c>
      <c r="R1838">
        <v>18</v>
      </c>
      <c r="AA1838" s="10">
        <f t="shared" si="1125"/>
        <v>3351.07</v>
      </c>
      <c r="AB1838" s="3">
        <f t="shared" si="1126"/>
        <v>29832.639999999999</v>
      </c>
      <c r="AC1838" s="3" cm="1">
        <f t="array" ref="AC1838">100000000/LvacE(AA1838)</f>
        <v>29832.639961373807</v>
      </c>
      <c r="AD1838" s="10">
        <f t="shared" si="1127"/>
        <v>9.4512110999432734E-3</v>
      </c>
      <c r="AE1838" s="10" t="b">
        <f t="shared" si="1128"/>
        <v>1</v>
      </c>
      <c r="AJ1838" t="s">
        <v>4770</v>
      </c>
      <c r="AK1838" t="s">
        <v>4854</v>
      </c>
      <c r="AL1838">
        <v>35024.49</v>
      </c>
      <c r="AM1838">
        <v>64857.15</v>
      </c>
      <c r="AN1838" s="10" cm="1">
        <f t="array" ref="AN1838">Lair(100000000/($AM1838-$AL1838))</f>
        <v>3351.0677433733545</v>
      </c>
      <c r="AO1838" s="10">
        <f t="shared" ref="AO1838:AO1839" si="1147">100000000/($AM1838-$AL1838)</f>
        <v>3352.0309620395897</v>
      </c>
      <c r="AP1838" s="12">
        <v>1770000</v>
      </c>
      <c r="AQ1838" s="3">
        <v>4.0000000000000001E-3</v>
      </c>
      <c r="AR1838" s="3"/>
      <c r="AS1838" s="13">
        <f t="shared" ref="AS1838:AS1839" si="1148">EXP(AR$4341*$AM1838+AR$4342)*$AP1838/(100000000/($AM1838-$AL1838))</f>
        <v>0.35917875684363204</v>
      </c>
      <c r="AT1838" s="3"/>
      <c r="AU1838" s="16" cm="1">
        <f t="array" ref="AU1838">$C1838*EXP(poly_from_str(100000000/$E1838,AU$4342))</f>
        <v>53.667938804196467</v>
      </c>
    </row>
    <row r="1839" spans="1:48" x14ac:dyDescent="0.25">
      <c r="A1839" t="s">
        <v>2647</v>
      </c>
      <c r="B1839" s="2" t="str">
        <f t="shared" si="1124"/>
        <v/>
      </c>
      <c r="C1839">
        <v>3</v>
      </c>
      <c r="E1839" t="s">
        <v>2648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1143"/>
        <v>o</v>
      </c>
      <c r="N1839" t="str">
        <f t="shared" si="1144"/>
        <v>9/2</v>
      </c>
      <c r="O1839">
        <v>39870.17</v>
      </c>
      <c r="P1839" t="str">
        <f t="shared" si="1145"/>
        <v>e</v>
      </c>
      <c r="Q1839" t="str">
        <f t="shared" si="1146"/>
        <v>9/2</v>
      </c>
      <c r="R1839">
        <v>18</v>
      </c>
      <c r="S1839" t="s">
        <v>6</v>
      </c>
      <c r="AA1839" s="10">
        <f t="shared" si="1125"/>
        <v>3350.5479999999998</v>
      </c>
      <c r="AB1839" s="3">
        <f t="shared" si="1126"/>
        <v>29837.29</v>
      </c>
      <c r="AC1839" s="3" cm="1">
        <f t="array" ref="AC1839">100000000/LvacE(AA1839)</f>
        <v>29837.287599328745</v>
      </c>
      <c r="AD1839" s="10">
        <f t="shared" si="1127"/>
        <v>9.4525981420544858E-3</v>
      </c>
      <c r="AE1839" s="10" t="b">
        <f t="shared" si="1128"/>
        <v>1</v>
      </c>
      <c r="AJ1839" t="s">
        <v>4812</v>
      </c>
      <c r="AK1839" t="s">
        <v>4731</v>
      </c>
      <c r="AL1839">
        <v>10032.92</v>
      </c>
      <c r="AM1839">
        <v>39870.17</v>
      </c>
      <c r="AN1839" s="10" cm="1">
        <f t="array" ref="AN1839">Lair(100000000/($AM1839-$AL1839))</f>
        <v>3350.5522166836404</v>
      </c>
      <c r="AO1839" s="10">
        <f t="shared" si="1147"/>
        <v>3351.5153038567564</v>
      </c>
      <c r="AP1839" s="12">
        <v>1190000</v>
      </c>
      <c r="AQ1839" s="3">
        <v>0.01</v>
      </c>
      <c r="AR1839" s="3"/>
      <c r="AS1839" s="13">
        <f t="shared" si="1148"/>
        <v>1.5752034061670754</v>
      </c>
      <c r="AT1839" s="3"/>
      <c r="AU1839" s="16" cm="1">
        <f t="array" ref="AU1839">$C1839*EXP(poly_from_str(100000000/$E1839,AU$4342))</f>
        <v>3.2258460845112689</v>
      </c>
    </row>
    <row r="1840" spans="1:48" x14ac:dyDescent="0.25">
      <c r="A1840" t="s">
        <v>2649</v>
      </c>
      <c r="B1840" s="2" t="str">
        <f t="shared" si="1124"/>
        <v/>
      </c>
      <c r="C1840">
        <v>6</v>
      </c>
      <c r="E1840" t="s">
        <v>2650</v>
      </c>
      <c r="R1840">
        <v>18</v>
      </c>
      <c r="S1840" t="s">
        <v>22</v>
      </c>
      <c r="AA1840" s="10">
        <f t="shared" si="1125"/>
        <v>3350.2649999999999</v>
      </c>
      <c r="AB1840" s="3">
        <f t="shared" si="1126"/>
        <v>29839.81</v>
      </c>
      <c r="AC1840" s="3" cm="1">
        <f t="array" ref="AC1840">100000000/LvacE(AA1840)</f>
        <v>29839.807901166179</v>
      </c>
      <c r="AD1840" s="10">
        <f t="shared" si="1127"/>
        <v>9.4533503918594781E-3</v>
      </c>
      <c r="AE1840" s="10" t="b">
        <f t="shared" si="1128"/>
        <v>1</v>
      </c>
      <c r="AP1840"/>
      <c r="AQ1840"/>
      <c r="AU1840" s="16" cm="1">
        <f t="array" ref="AU1840">$C1840*EXP(poly_from_str(100000000/$E1840,AU$4342))</f>
        <v>6.4579472410364103</v>
      </c>
    </row>
    <row r="1841" spans="1:48" x14ac:dyDescent="0.25">
      <c r="A1841" t="s">
        <v>2651</v>
      </c>
      <c r="B1841" s="2" t="str">
        <f t="shared" si="1124"/>
        <v/>
      </c>
      <c r="C1841">
        <v>1</v>
      </c>
      <c r="E1841" t="s">
        <v>2652</v>
      </c>
      <c r="R1841">
        <v>18</v>
      </c>
      <c r="S1841" t="s">
        <v>22</v>
      </c>
      <c r="AA1841" s="10">
        <f t="shared" si="1125"/>
        <v>3349.038</v>
      </c>
      <c r="AB1841" s="3">
        <f t="shared" si="1126"/>
        <v>29850.74</v>
      </c>
      <c r="AC1841" s="3" cm="1">
        <f t="array" ref="AC1841">100000000/LvacE(AA1841)</f>
        <v>29850.740072795157</v>
      </c>
      <c r="AD1841" s="10">
        <f t="shared" si="1127"/>
        <v>9.4566141191582721E-3</v>
      </c>
      <c r="AE1841" s="10" t="b">
        <f t="shared" si="1128"/>
        <v>1</v>
      </c>
      <c r="AP1841"/>
      <c r="AQ1841"/>
      <c r="AU1841" s="16" cm="1">
        <f t="array" ref="AU1841">$C1841*EXP(poly_from_str(100000000/$E1841,AU$4342))</f>
        <v>1.0808480817214827</v>
      </c>
    </row>
    <row r="1842" spans="1:48" x14ac:dyDescent="0.25">
      <c r="A1842" t="s">
        <v>2653</v>
      </c>
      <c r="B1842" s="2" t="str">
        <f t="shared" si="1124"/>
        <v/>
      </c>
      <c r="C1842">
        <v>6</v>
      </c>
      <c r="D1842" t="s">
        <v>14</v>
      </c>
      <c r="E1842" t="s">
        <v>2654</v>
      </c>
      <c r="R1842">
        <v>18</v>
      </c>
      <c r="S1842" t="s">
        <v>22</v>
      </c>
      <c r="AA1842" s="10">
        <f t="shared" si="1125"/>
        <v>3346.4259999999999</v>
      </c>
      <c r="AB1842" s="3">
        <f t="shared" si="1126"/>
        <v>29874.04</v>
      </c>
      <c r="AC1842" s="3" cm="1">
        <f t="array" ref="AC1842">100000000/LvacE(AA1842)</f>
        <v>29874.03884087344</v>
      </c>
      <c r="AD1842" s="10">
        <f t="shared" si="1127"/>
        <v>9.4635738009556224E-3</v>
      </c>
      <c r="AE1842" s="10" t="b">
        <f t="shared" si="1128"/>
        <v>1</v>
      </c>
      <c r="AP1842"/>
      <c r="AQ1842"/>
      <c r="AU1842" s="16" cm="1">
        <f t="array" ref="AU1842">$C1842*EXP(poly_from_str(100000000/$E1842,AU$4342))</f>
        <v>6.5430039729700589</v>
      </c>
    </row>
    <row r="1843" spans="1:48" x14ac:dyDescent="0.25">
      <c r="A1843" t="s">
        <v>2655</v>
      </c>
      <c r="B1843" s="2" t="str">
        <f t="shared" si="1124"/>
        <v/>
      </c>
      <c r="C1843">
        <v>7</v>
      </c>
      <c r="E1843" t="s">
        <v>2656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1125"/>
        <v>3345.6709999999998</v>
      </c>
      <c r="AB1843" s="3">
        <f t="shared" si="1126"/>
        <v>29880.78</v>
      </c>
      <c r="AC1843" s="3" cm="1">
        <f t="array" ref="AC1843">100000000/LvacE(AA1843)</f>
        <v>29880.780139356932</v>
      </c>
      <c r="AD1843" s="10">
        <f t="shared" si="1127"/>
        <v>9.4655885380476642E-3</v>
      </c>
      <c r="AE1843" s="10" t="b">
        <f t="shared" si="1128"/>
        <v>1</v>
      </c>
      <c r="AJ1843" t="s">
        <v>4722</v>
      </c>
      <c r="AK1843" t="s">
        <v>4837</v>
      </c>
      <c r="AL1843">
        <v>34520.269999999997</v>
      </c>
      <c r="AM1843">
        <v>64401.03</v>
      </c>
      <c r="AN1843" s="10" cm="1">
        <f t="array" ref="AN1843">Lair(100000000/($AM1843-$AL1843))</f>
        <v>3345.6732493878685</v>
      </c>
      <c r="AO1843" s="10">
        <f>100000000/($AM1843-$AL1843)</f>
        <v>3346.6350922801157</v>
      </c>
      <c r="AP1843" s="12">
        <v>1280000</v>
      </c>
      <c r="AQ1843" s="3">
        <v>6.0000000000000001E-3</v>
      </c>
      <c r="AR1843" s="3"/>
      <c r="AS1843" s="13">
        <f>EXP(AR$4341*$AM1843+AR$4342)*$AP1843/(100000000/($AM1843-$AL1843))</f>
        <v>0.26922355190375535</v>
      </c>
      <c r="AT1843" s="3"/>
      <c r="AU1843" s="16" cm="1">
        <f t="array" ref="AU1843">$C1843*EXP(poly_from_str(100000000/$E1843,AU$4342))</f>
        <v>7.6530659805957377</v>
      </c>
    </row>
    <row r="1844" spans="1:48" x14ac:dyDescent="0.25">
      <c r="A1844" t="s">
        <v>2657</v>
      </c>
      <c r="B1844" s="2" t="str">
        <f t="shared" si="1124"/>
        <v/>
      </c>
      <c r="C1844">
        <v>0</v>
      </c>
      <c r="E1844" t="s">
        <v>2658</v>
      </c>
      <c r="R1844">
        <v>18</v>
      </c>
      <c r="S1844" t="s">
        <v>22</v>
      </c>
      <c r="AA1844" s="10">
        <f t="shared" si="1125"/>
        <v>3345.4839999999999</v>
      </c>
      <c r="AB1844" s="3">
        <f t="shared" si="1126"/>
        <v>29882.45</v>
      </c>
      <c r="AC1844" s="3" cm="1">
        <f t="array" ref="AC1844">100000000/LvacE(AA1844)</f>
        <v>29882.450308568885</v>
      </c>
      <c r="AD1844" s="10">
        <f t="shared" si="1127"/>
        <v>9.4660877631710209E-3</v>
      </c>
      <c r="AE1844" s="10" t="b">
        <f t="shared" si="1128"/>
        <v>1</v>
      </c>
      <c r="AP1844"/>
      <c r="AQ1844"/>
      <c r="AU1844" s="16" cm="1">
        <f t="array" ref="AU1844">$C1844*EXP(poly_from_str(100000000/$E1844,AU$4342))</f>
        <v>0</v>
      </c>
    </row>
    <row r="1845" spans="1:48" x14ac:dyDescent="0.25">
      <c r="A1845" t="s">
        <v>2659</v>
      </c>
      <c r="B1845" s="2" t="str">
        <f t="shared" si="1124"/>
        <v/>
      </c>
      <c r="C1845">
        <v>70</v>
      </c>
      <c r="D1845" t="s">
        <v>170</v>
      </c>
      <c r="E1845" t="s">
        <v>2660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1149">$G1845&amp;""</f>
        <v>e</v>
      </c>
      <c r="N1845" t="str">
        <f t="shared" ref="N1845:N1846" si="1150">$H1845&amp;""</f>
        <v>3/2</v>
      </c>
      <c r="O1845">
        <v>63221.279999999999</v>
      </c>
      <c r="P1845" t="str">
        <f t="shared" ref="P1845:P1846" si="1151">$J1845&amp;""</f>
        <v>o</v>
      </c>
      <c r="Q1845" t="str">
        <f t="shared" ref="Q1845:Q1846" si="1152">$K1845&amp;""</f>
        <v>3/2</v>
      </c>
      <c r="R1845">
        <v>18</v>
      </c>
      <c r="AA1845" s="10">
        <f t="shared" si="1125"/>
        <v>3345.4409999999998</v>
      </c>
      <c r="AB1845" s="3">
        <f t="shared" si="1126"/>
        <v>29882.83</v>
      </c>
      <c r="AC1845" s="3" cm="1">
        <f t="array" ref="AC1845">100000000/LvacE(AA1845)</f>
        <v>29882.834384575846</v>
      </c>
      <c r="AD1845" s="10">
        <f t="shared" si="1127"/>
        <v>9.4662025700910368E-3</v>
      </c>
      <c r="AE1845" s="10" t="b">
        <f t="shared" si="1128"/>
        <v>1</v>
      </c>
      <c r="AJ1845" t="s">
        <v>4974</v>
      </c>
      <c r="AK1845" t="s">
        <v>4707</v>
      </c>
      <c r="AL1845">
        <v>33338.370000000003</v>
      </c>
      <c r="AM1845">
        <v>63221.279999999999</v>
      </c>
      <c r="AN1845" s="10" cm="1">
        <f t="array" ref="AN1845">Lair(100000000/($AM1845-$AL1845))</f>
        <v>3345.4325288169011</v>
      </c>
      <c r="AO1845" s="10">
        <f t="shared" ref="AO1845:AO1846" si="1153">100000000/($AM1845-$AL1845)</f>
        <v>3346.3943103265383</v>
      </c>
      <c r="AP1845" s="12">
        <v>117000000</v>
      </c>
      <c r="AQ1845" s="3">
        <v>0.216</v>
      </c>
      <c r="AR1845" s="3">
        <f t="shared" ref="AR1845:AR1846" si="1154">LN(AU1845*100000000/($AM1845-$AL1845)/AP1845)</f>
        <v>-6.1235770344958196</v>
      </c>
      <c r="AS1845" s="13">
        <f t="shared" ref="AS1845:AS1846" si="1155">EXP(AR$4341*$AM1845+AR$4342)*$AP1845/(100000000/($AM1845-$AL1845))</f>
        <v>26.888778013982474</v>
      </c>
      <c r="AT1845" s="3">
        <f t="shared" ref="AT1845:AT1846" si="1156">LN(AS1845/$C1845)</f>
        <v>-0.95678621668432628</v>
      </c>
      <c r="AU1845" s="16" cm="1">
        <f t="array" ref="AU1845">$C1845*EXP(poly_from_str(100000000/$E1845,AU$4342))</f>
        <v>76.590169911677904</v>
      </c>
      <c r="AV1845" s="13">
        <f t="shared" ref="AV1845:AV1846" si="1157">LN(AS1845/AU1845)</f>
        <v>-1.0467597130117434</v>
      </c>
    </row>
    <row r="1846" spans="1:48" x14ac:dyDescent="0.25">
      <c r="A1846" t="s">
        <v>2661</v>
      </c>
      <c r="B1846" s="2" t="str">
        <f t="shared" si="1124"/>
        <v/>
      </c>
      <c r="C1846">
        <v>70</v>
      </c>
      <c r="D1846" t="s">
        <v>134</v>
      </c>
      <c r="E1846" t="s">
        <v>2662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1149"/>
        <v>e</v>
      </c>
      <c r="N1846" t="str">
        <f t="shared" si="1150"/>
        <v>9/2</v>
      </c>
      <c r="O1846">
        <v>68331.73</v>
      </c>
      <c r="P1846" t="str">
        <f t="shared" si="1151"/>
        <v>o</v>
      </c>
      <c r="Q1846" t="str">
        <f t="shared" si="1152"/>
        <v>7/2</v>
      </c>
      <c r="R1846">
        <v>18</v>
      </c>
      <c r="AA1846" s="10">
        <f t="shared" si="1125"/>
        <v>3345.3850000000002</v>
      </c>
      <c r="AB1846" s="3">
        <f t="shared" si="1126"/>
        <v>29883.33</v>
      </c>
      <c r="AC1846" s="3" cm="1">
        <f t="array" ref="AC1846">100000000/LvacE(AA1846)</f>
        <v>29883.334591386269</v>
      </c>
      <c r="AD1846" s="10">
        <f t="shared" si="1127"/>
        <v>9.466352092716724E-3</v>
      </c>
      <c r="AE1846" s="10" t="b">
        <f t="shared" si="1128"/>
        <v>1</v>
      </c>
      <c r="AJ1846" t="s">
        <v>4816</v>
      </c>
      <c r="AK1846" t="s">
        <v>4923</v>
      </c>
      <c r="AL1846">
        <v>38448.379999999997</v>
      </c>
      <c r="AM1846">
        <v>68331.75</v>
      </c>
      <c r="AN1846" s="10" cm="1">
        <f t="array" ref="AN1846">Lair(100000000/($AM1846-$AL1846))</f>
        <v>3345.3810303091673</v>
      </c>
      <c r="AO1846" s="10">
        <f t="shared" si="1153"/>
        <v>3346.3427986870288</v>
      </c>
      <c r="AP1846" s="12">
        <v>145000000</v>
      </c>
      <c r="AQ1846" s="3">
        <v>0.35599999999999998</v>
      </c>
      <c r="AR1846" s="3">
        <f t="shared" si="1154"/>
        <v>-6.3379627304148896</v>
      </c>
      <c r="AS1846" s="13">
        <f t="shared" si="1155"/>
        <v>22.70897024254036</v>
      </c>
      <c r="AT1846" s="3">
        <f t="shared" si="1156"/>
        <v>-1.1257352307494568</v>
      </c>
      <c r="AU1846" s="16" cm="1">
        <f t="array" ref="AU1846">$C1846*EXP(poly_from_str(100000000/$E1846,AU$4342))</f>
        <v>76.604685507103525</v>
      </c>
      <c r="AV1846" s="13">
        <f t="shared" si="1157"/>
        <v>-1.215898232075973</v>
      </c>
    </row>
    <row r="1847" spans="1:48" x14ac:dyDescent="0.25">
      <c r="A1847" t="s">
        <v>2663</v>
      </c>
      <c r="B1847" s="2" t="str">
        <f t="shared" si="1124"/>
        <v/>
      </c>
      <c r="C1847">
        <v>0</v>
      </c>
      <c r="E1847" t="s">
        <v>2664</v>
      </c>
      <c r="R1847">
        <v>18</v>
      </c>
      <c r="S1847" t="s">
        <v>22</v>
      </c>
      <c r="AA1847" s="10">
        <f t="shared" si="1125"/>
        <v>3345.326</v>
      </c>
      <c r="AB1847" s="3">
        <f t="shared" si="1126"/>
        <v>29883.86</v>
      </c>
      <c r="AC1847" s="3" cm="1">
        <f t="array" ref="AC1847">100000000/LvacE(AA1847)</f>
        <v>29883.861613105568</v>
      </c>
      <c r="AD1847" s="10">
        <f t="shared" si="1127"/>
        <v>9.4665096336060475E-3</v>
      </c>
      <c r="AE1847" s="10" t="b">
        <f t="shared" si="1128"/>
        <v>1</v>
      </c>
      <c r="AP1847"/>
      <c r="AQ1847"/>
      <c r="AU1847" s="16" cm="1">
        <f t="array" ref="AU1847">$C1847*EXP(poly_from_str(100000000/$E1847,AU$4342))</f>
        <v>0</v>
      </c>
    </row>
    <row r="1848" spans="1:48" x14ac:dyDescent="0.25">
      <c r="A1848" t="s">
        <v>2665</v>
      </c>
      <c r="B1848" s="2" t="str">
        <f t="shared" si="1124"/>
        <v/>
      </c>
      <c r="C1848">
        <v>0</v>
      </c>
      <c r="E1848" t="s">
        <v>2666</v>
      </c>
      <c r="R1848">
        <v>18</v>
      </c>
      <c r="S1848" t="s">
        <v>22</v>
      </c>
      <c r="AA1848" s="10">
        <f t="shared" si="1125"/>
        <v>3345.2750000000001</v>
      </c>
      <c r="AB1848" s="3">
        <f t="shared" si="1126"/>
        <v>29884.32</v>
      </c>
      <c r="AC1848" s="3" cm="1">
        <f t="array" ref="AC1848">100000000/LvacE(AA1848)</f>
        <v>29884.317189231781</v>
      </c>
      <c r="AD1848" s="10">
        <f t="shared" si="1127"/>
        <v>9.4666458197355634E-3</v>
      </c>
      <c r="AE1848" s="10" t="b">
        <f t="shared" si="1128"/>
        <v>1</v>
      </c>
      <c r="AP1848"/>
      <c r="AQ1848"/>
      <c r="AU1848" s="16" cm="1">
        <f t="array" ref="AU1848">$C1848*EXP(poly_from_str(100000000/$E1848,AU$4342))</f>
        <v>0</v>
      </c>
    </row>
    <row r="1849" spans="1:48" x14ac:dyDescent="0.25">
      <c r="A1849" t="s">
        <v>2667</v>
      </c>
      <c r="B1849" s="2" t="str">
        <f t="shared" si="1124"/>
        <v/>
      </c>
      <c r="C1849">
        <v>0</v>
      </c>
      <c r="E1849" t="s">
        <v>2668</v>
      </c>
      <c r="R1849">
        <v>18</v>
      </c>
      <c r="S1849" t="s">
        <v>22</v>
      </c>
      <c r="AA1849" s="10">
        <f t="shared" si="1125"/>
        <v>3345.2330000000002</v>
      </c>
      <c r="AB1849" s="3">
        <f t="shared" si="1126"/>
        <v>29884.69</v>
      </c>
      <c r="AC1849" s="3" cm="1">
        <f t="array" ref="AC1849">100000000/LvacE(AA1849)</f>
        <v>29884.692380000743</v>
      </c>
      <c r="AD1849" s="10">
        <f t="shared" si="1127"/>
        <v>9.4667579776955349E-3</v>
      </c>
      <c r="AE1849" s="10" t="b">
        <f t="shared" si="1128"/>
        <v>1</v>
      </c>
      <c r="AP1849"/>
      <c r="AQ1849"/>
      <c r="AU1849" s="16" cm="1">
        <f t="array" ref="AU1849">$C1849*EXP(poly_from_str(100000000/$E1849,AU$4342))</f>
        <v>0</v>
      </c>
    </row>
    <row r="1850" spans="1:48" x14ac:dyDescent="0.25">
      <c r="A1850" t="s">
        <v>2669</v>
      </c>
      <c r="B1850" s="2" t="str">
        <f t="shared" si="1124"/>
        <v/>
      </c>
      <c r="C1850">
        <v>0</v>
      </c>
      <c r="E1850" t="s">
        <v>2670</v>
      </c>
      <c r="R1850">
        <v>18</v>
      </c>
      <c r="S1850" t="s">
        <v>22</v>
      </c>
      <c r="AA1850" s="10">
        <f t="shared" si="1125"/>
        <v>3345.2</v>
      </c>
      <c r="AB1850" s="3">
        <f t="shared" si="1126"/>
        <v>29884.99</v>
      </c>
      <c r="AC1850" s="3" cm="1">
        <f t="array" ref="AC1850">100000000/LvacE(AA1850)</f>
        <v>29884.987179356729</v>
      </c>
      <c r="AD1850" s="10">
        <f t="shared" si="1127"/>
        <v>9.4668461047705266E-3</v>
      </c>
      <c r="AE1850" s="10" t="b">
        <f t="shared" si="1128"/>
        <v>1</v>
      </c>
      <c r="AP1850"/>
      <c r="AQ1850"/>
      <c r="AU1850" s="16" cm="1">
        <f t="array" ref="AU1850">$C1850*EXP(poly_from_str(100000000/$E1850,AU$4342))</f>
        <v>0</v>
      </c>
    </row>
    <row r="1851" spans="1:48" x14ac:dyDescent="0.25">
      <c r="A1851" t="s">
        <v>2671</v>
      </c>
      <c r="B1851" s="2" t="str">
        <f t="shared" si="1124"/>
        <v/>
      </c>
      <c r="C1851">
        <v>0</v>
      </c>
      <c r="E1851" t="s">
        <v>2672</v>
      </c>
      <c r="R1851">
        <v>18</v>
      </c>
      <c r="S1851" t="s">
        <v>22</v>
      </c>
      <c r="AA1851" s="10">
        <f t="shared" si="1125"/>
        <v>3345.1790000000001</v>
      </c>
      <c r="AB1851" s="3">
        <f t="shared" si="1126"/>
        <v>29885.17</v>
      </c>
      <c r="AC1851" s="3" cm="1">
        <f t="array" ref="AC1851">100000000/LvacE(AA1851)</f>
        <v>29885.174781975085</v>
      </c>
      <c r="AD1851" s="10">
        <f t="shared" si="1127"/>
        <v>9.4669021869943411E-3</v>
      </c>
      <c r="AE1851" s="10" t="b">
        <f t="shared" si="1128"/>
        <v>1</v>
      </c>
      <c r="AP1851"/>
      <c r="AQ1851"/>
      <c r="AU1851" s="16" cm="1">
        <f t="array" ref="AU1851">$C1851*EXP(poly_from_str(100000000/$E1851,AU$4342))</f>
        <v>0</v>
      </c>
    </row>
    <row r="1852" spans="1:48" x14ac:dyDescent="0.25">
      <c r="A1852" t="s">
        <v>2673</v>
      </c>
      <c r="B1852" s="2" t="str">
        <f t="shared" si="1124"/>
        <v/>
      </c>
      <c r="C1852">
        <v>4</v>
      </c>
      <c r="E1852" t="s">
        <v>2674</v>
      </c>
      <c r="R1852">
        <v>18</v>
      </c>
      <c r="S1852" t="s">
        <v>22</v>
      </c>
      <c r="AA1852" s="10">
        <f t="shared" si="1125"/>
        <v>3344.5549999999998</v>
      </c>
      <c r="AB1852" s="3">
        <f t="shared" si="1126"/>
        <v>29890.75</v>
      </c>
      <c r="AC1852" s="3" cm="1">
        <f t="array" ref="AC1852">100000000/LvacE(AA1852)</f>
        <v>29890.750334760934</v>
      </c>
      <c r="AD1852" s="10">
        <f t="shared" si="1127"/>
        <v>9.468569112297591E-3</v>
      </c>
      <c r="AE1852" s="10" t="b">
        <f t="shared" si="1128"/>
        <v>1</v>
      </c>
      <c r="AP1852"/>
      <c r="AQ1852"/>
      <c r="AU1852" s="16" cm="1">
        <f t="array" ref="AU1852">$C1852*EXP(poly_from_str(100000000/$E1852,AU$4342))</f>
        <v>4.3897222470640145</v>
      </c>
    </row>
    <row r="1853" spans="1:48" x14ac:dyDescent="0.25">
      <c r="A1853" t="s">
        <v>2675</v>
      </c>
      <c r="B1853" s="2" t="str">
        <f t="shared" si="1124"/>
        <v/>
      </c>
      <c r="C1853">
        <v>3</v>
      </c>
      <c r="E1853" t="s">
        <v>2676</v>
      </c>
      <c r="R1853">
        <v>18</v>
      </c>
      <c r="S1853" t="s">
        <v>22</v>
      </c>
      <c r="AA1853" s="10">
        <f t="shared" si="1125"/>
        <v>3343.3359999999998</v>
      </c>
      <c r="AB1853" s="3">
        <f t="shared" si="1126"/>
        <v>29901.65</v>
      </c>
      <c r="AC1853" s="3" cm="1">
        <f t="array" ref="AC1853">100000000/LvacE(AA1853)</f>
        <v>29901.648323922091</v>
      </c>
      <c r="AD1853" s="10">
        <f t="shared" si="1127"/>
        <v>9.4718281865660663E-3</v>
      </c>
      <c r="AE1853" s="10" t="b">
        <f t="shared" si="1128"/>
        <v>1</v>
      </c>
      <c r="AP1853"/>
      <c r="AQ1853"/>
      <c r="AU1853" s="16" cm="1">
        <f t="array" ref="AU1853">$C1853*EXP(poly_from_str(100000000/$E1853,AU$4342))</f>
        <v>3.3058620352458634</v>
      </c>
    </row>
    <row r="1854" spans="1:48" x14ac:dyDescent="0.25">
      <c r="A1854" t="s">
        <v>2677</v>
      </c>
      <c r="B1854" s="2" t="str">
        <f t="shared" si="1124"/>
        <v/>
      </c>
      <c r="C1854">
        <v>0</v>
      </c>
      <c r="E1854" t="s">
        <v>2678</v>
      </c>
      <c r="R1854">
        <v>18</v>
      </c>
      <c r="S1854" t="s">
        <v>22</v>
      </c>
      <c r="AA1854" s="10">
        <f t="shared" si="1125"/>
        <v>3342.2359999999999</v>
      </c>
      <c r="AB1854" s="3">
        <f t="shared" si="1126"/>
        <v>29911.49</v>
      </c>
      <c r="AC1854" s="3" cm="1">
        <f t="array" ref="AC1854">100000000/LvacE(AA1854)</f>
        <v>29911.489263469768</v>
      </c>
      <c r="AD1854" s="10">
        <f t="shared" si="1127"/>
        <v>9.4747721680141332E-3</v>
      </c>
      <c r="AE1854" s="10" t="b">
        <f t="shared" si="1128"/>
        <v>1</v>
      </c>
      <c r="AP1854"/>
      <c r="AQ1854"/>
      <c r="AU1854" s="16" cm="1">
        <f t="array" ref="AU1854">$C1854*EXP(poly_from_str(100000000/$E1854,AU$4342))</f>
        <v>0</v>
      </c>
    </row>
    <row r="1855" spans="1:48" x14ac:dyDescent="0.25">
      <c r="A1855" t="s">
        <v>2679</v>
      </c>
      <c r="B1855" s="2" t="str">
        <f t="shared" si="1124"/>
        <v/>
      </c>
      <c r="C1855">
        <v>30</v>
      </c>
      <c r="D1855" t="s">
        <v>170</v>
      </c>
      <c r="E1855" t="s">
        <v>2680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1158">$G1855&amp;""</f>
        <v>e</v>
      </c>
      <c r="N1855" t="str">
        <f t="shared" ref="N1855:N1857" si="1159">$H1855&amp;""</f>
        <v>5/2</v>
      </c>
      <c r="O1855">
        <v>65295.9</v>
      </c>
      <c r="P1855" t="str">
        <f t="shared" ref="P1855:P1857" si="1160">$J1855&amp;""</f>
        <v>o</v>
      </c>
      <c r="Q1855" t="str">
        <f t="shared" ref="Q1855:Q1857" si="1161">$K1855&amp;""</f>
        <v>7/2</v>
      </c>
      <c r="R1855">
        <v>18</v>
      </c>
      <c r="AA1855" s="10">
        <f t="shared" si="1125"/>
        <v>3342.2020000000002</v>
      </c>
      <c r="AB1855" s="3">
        <f t="shared" si="1126"/>
        <v>29911.79</v>
      </c>
      <c r="AC1855" s="3" cm="1">
        <f t="array" ref="AC1855">100000000/LvacE(AA1855)</f>
        <v>29911.79354116477</v>
      </c>
      <c r="AD1855" s="10">
        <f t="shared" si="1127"/>
        <v>9.4748632101178745E-3</v>
      </c>
      <c r="AE1855" s="10" t="b">
        <f t="shared" si="1128"/>
        <v>1</v>
      </c>
      <c r="AJ1855" t="s">
        <v>4728</v>
      </c>
      <c r="AK1855" t="s">
        <v>4825</v>
      </c>
      <c r="AL1855">
        <v>35384.17</v>
      </c>
      <c r="AM1855">
        <v>65295.9</v>
      </c>
      <c r="AN1855" s="10" cm="1">
        <f t="array" ref="AN1855">Lair(100000000/($AM1855-$AL1855))</f>
        <v>3342.2090943982107</v>
      </c>
      <c r="AO1855" s="10">
        <f t="shared" ref="AO1855:AO1857" si="1162">100000000/($AM1855-$AL1855)</f>
        <v>3343.1700540222846</v>
      </c>
      <c r="AP1855" s="12">
        <v>189000000</v>
      </c>
      <c r="AQ1855" s="3">
        <v>0.38900000000000001</v>
      </c>
      <c r="AR1855" s="3">
        <f t="shared" ref="AR1855:AR1857" si="1163">LN(AU1855*100000000/($AM1855-$AL1855)/AP1855)</f>
        <v>-7.4404871902956353</v>
      </c>
      <c r="AS1855" s="13">
        <f t="shared" ref="AS1855:AS1857" si="1164">EXP(AR$4341*$AM1855+AR$4342)*$AP1855/(100000000/($AM1855-$AL1855))</f>
        <v>37.209070518977576</v>
      </c>
      <c r="AT1855" s="3">
        <f t="shared" ref="AT1855:AT1857" si="1165">LN(AS1855/$C1855)</f>
        <v>0.21535518105027188</v>
      </c>
      <c r="AU1855" s="16" cm="1">
        <f t="array" ref="AU1855">$C1855*EXP(poly_from_str(100000000/$E1855,AU$4342))</f>
        <v>33.184922424066052</v>
      </c>
      <c r="AV1855" s="13">
        <f t="shared" ref="AV1855:AV1857" si="1166">LN(AS1855/AU1855)</f>
        <v>0.11445693379796897</v>
      </c>
    </row>
    <row r="1856" spans="1:48" x14ac:dyDescent="0.25">
      <c r="A1856" t="s">
        <v>2681</v>
      </c>
      <c r="B1856" s="2" t="str">
        <f t="shared" si="1124"/>
        <v/>
      </c>
      <c r="C1856">
        <v>30</v>
      </c>
      <c r="E1856" t="s">
        <v>2682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1158"/>
        <v>e</v>
      </c>
      <c r="N1856" t="str">
        <f t="shared" si="1159"/>
        <v>11/2</v>
      </c>
      <c r="O1856">
        <v>60419.73</v>
      </c>
      <c r="P1856" t="str">
        <f t="shared" si="1160"/>
        <v>o</v>
      </c>
      <c r="Q1856" t="str">
        <f t="shared" si="1161"/>
        <v>11/2</v>
      </c>
      <c r="R1856">
        <v>18</v>
      </c>
      <c r="AA1856" s="10">
        <f t="shared" si="1125"/>
        <v>3341.9540000000002</v>
      </c>
      <c r="AB1856" s="3">
        <f t="shared" si="1126"/>
        <v>29914.01</v>
      </c>
      <c r="AC1856" s="3" cm="1">
        <f t="array" ref="AC1856">100000000/LvacE(AA1856)</f>
        <v>29914.013165739212</v>
      </c>
      <c r="AD1856" s="10">
        <f t="shared" si="1127"/>
        <v>9.4755273659869674E-3</v>
      </c>
      <c r="AE1856" s="10" t="b">
        <f t="shared" si="1128"/>
        <v>1</v>
      </c>
      <c r="AJ1856" t="s">
        <v>4706</v>
      </c>
      <c r="AK1856" t="s">
        <v>4849</v>
      </c>
      <c r="AL1856">
        <v>30505.72</v>
      </c>
      <c r="AM1856">
        <v>60419.73</v>
      </c>
      <c r="AN1856" s="10" cm="1">
        <f t="array" ref="AN1856">Lair(100000000/($AM1856-$AL1856))</f>
        <v>3341.9543480472162</v>
      </c>
      <c r="AO1856" s="10">
        <f t="shared" si="1162"/>
        <v>3342.915242724061</v>
      </c>
      <c r="AP1856" s="12">
        <v>203000000</v>
      </c>
      <c r="AQ1856" s="3">
        <v>0.499</v>
      </c>
      <c r="AR1856" s="3">
        <f t="shared" si="1163"/>
        <v>-7.5111892309776769</v>
      </c>
      <c r="AS1856" s="13">
        <f t="shared" si="1164"/>
        <v>57.629149488952898</v>
      </c>
      <c r="AT1856" s="3">
        <f t="shared" si="1165"/>
        <v>0.65283112554725353</v>
      </c>
      <c r="AU1856" s="16" cm="1">
        <f t="array" ref="AU1856">$C1856*EXP(poly_from_str(100000000/$E1856,AU$4342))</f>
        <v>33.212581785913144</v>
      </c>
      <c r="AV1856" s="13">
        <f t="shared" si="1166"/>
        <v>0.55109973362253784</v>
      </c>
    </row>
    <row r="1857" spans="1:48" x14ac:dyDescent="0.25">
      <c r="A1857" t="s">
        <v>2683</v>
      </c>
      <c r="B1857" s="2" t="str">
        <f t="shared" si="1124"/>
        <v/>
      </c>
      <c r="C1857">
        <v>70</v>
      </c>
      <c r="D1857" t="s">
        <v>134</v>
      </c>
      <c r="E1857" t="s">
        <v>2684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1158"/>
        <v>e</v>
      </c>
      <c r="N1857" t="str">
        <f t="shared" si="1159"/>
        <v>5/2</v>
      </c>
      <c r="O1857">
        <v>63576.27</v>
      </c>
      <c r="P1857" t="str">
        <f t="shared" si="1160"/>
        <v>o</v>
      </c>
      <c r="Q1857" t="str">
        <f t="shared" si="1161"/>
        <v>5/2</v>
      </c>
      <c r="R1857">
        <v>18</v>
      </c>
      <c r="AA1857" s="10">
        <f t="shared" si="1125"/>
        <v>3341.6819999999998</v>
      </c>
      <c r="AB1857" s="3">
        <f t="shared" si="1126"/>
        <v>29916.45</v>
      </c>
      <c r="AC1857" s="3" cm="1">
        <f t="array" ref="AC1857">100000000/LvacE(AA1857)</f>
        <v>29916.447971492762</v>
      </c>
      <c r="AD1857" s="10">
        <f t="shared" si="1127"/>
        <v>9.4762559650338907E-3</v>
      </c>
      <c r="AE1857" s="10" t="b">
        <f t="shared" si="1128"/>
        <v>1</v>
      </c>
      <c r="AJ1857" t="s">
        <v>4895</v>
      </c>
      <c r="AK1857" t="s">
        <v>4843</v>
      </c>
      <c r="AL1857">
        <v>33659.99</v>
      </c>
      <c r="AM1857">
        <v>63576.27</v>
      </c>
      <c r="AN1857" s="10" cm="1">
        <f t="array" ref="AN1857">Lair(100000000/($AM1857-$AL1857))</f>
        <v>3341.7007575786315</v>
      </c>
      <c r="AO1857" s="10">
        <f t="shared" si="1162"/>
        <v>3342.6615876038063</v>
      </c>
      <c r="AP1857" s="12">
        <v>367000000</v>
      </c>
      <c r="AQ1857" s="3">
        <v>0.76</v>
      </c>
      <c r="AR1857" s="3">
        <f t="shared" si="1163"/>
        <v>-7.2552081225136877</v>
      </c>
      <c r="AS1857" s="13">
        <f t="shared" si="1164"/>
        <v>82.21782749723485</v>
      </c>
      <c r="AT1857" s="3">
        <f t="shared" si="1165"/>
        <v>0.16087691602621476</v>
      </c>
      <c r="AU1857" s="16" cm="1">
        <f t="array" ref="AU1857">$C1857*EXP(poly_from_str(100000000/$E1857,AU$4342))</f>
        <v>77.566965354791975</v>
      </c>
      <c r="AV1857" s="13">
        <f t="shared" si="1166"/>
        <v>5.8230525714978831E-2</v>
      </c>
    </row>
    <row r="1858" spans="1:48" x14ac:dyDescent="0.25">
      <c r="A1858" t="s">
        <v>2685</v>
      </c>
      <c r="B1858" s="2" t="str">
        <f t="shared" ref="B1858:B1921" si="1167">IF(OR(A1858=A1857,A1858=A1859),IF(B1857="",1,B1857+1),"")</f>
        <v/>
      </c>
      <c r="C1858">
        <v>0</v>
      </c>
      <c r="E1858" t="s">
        <v>2686</v>
      </c>
      <c r="R1858">
        <v>18</v>
      </c>
      <c r="S1858" t="s">
        <v>22</v>
      </c>
      <c r="AA1858" s="10">
        <f t="shared" si="1125"/>
        <v>3341.6370000000002</v>
      </c>
      <c r="AB1858" s="3">
        <f t="shared" si="1126"/>
        <v>29916.85</v>
      </c>
      <c r="AC1858" s="3" cm="1">
        <f t="array" ref="AC1858">100000000/LvacE(AA1858)</f>
        <v>29916.850826831716</v>
      </c>
      <c r="AD1858" s="10">
        <f t="shared" si="1127"/>
        <v>9.4763765224696334E-3</v>
      </c>
      <c r="AE1858" s="10" t="b">
        <f t="shared" si="1128"/>
        <v>1</v>
      </c>
      <c r="AP1858"/>
      <c r="AQ1858"/>
      <c r="AU1858" s="16" cm="1">
        <f t="array" ref="AU1858">$C1858*EXP(poly_from_str(100000000/$E1858,AU$4342))</f>
        <v>0</v>
      </c>
    </row>
    <row r="1859" spans="1:48" x14ac:dyDescent="0.25">
      <c r="A1859" t="s">
        <v>2687</v>
      </c>
      <c r="B1859" s="2" t="str">
        <f t="shared" si="1167"/>
        <v/>
      </c>
      <c r="C1859">
        <v>0</v>
      </c>
      <c r="E1859" t="s">
        <v>2688</v>
      </c>
      <c r="R1859">
        <v>18</v>
      </c>
      <c r="S1859" t="s">
        <v>22</v>
      </c>
      <c r="AA1859" s="10">
        <f t="shared" ref="AA1859:AA1922" si="1168">ROUND($A1859,3)+0</f>
        <v>3341.6120000000001</v>
      </c>
      <c r="AB1859" s="3">
        <f t="shared" ref="AB1859:AB1922" si="1169">ROUND($E1859,2)+0</f>
        <v>29917.07</v>
      </c>
      <c r="AC1859" s="3" cm="1">
        <f t="array" ref="AC1859">100000000/LvacE(AA1859)</f>
        <v>29917.074640041439</v>
      </c>
      <c r="AD1859" s="10">
        <f t="shared" ref="AD1859:AD1922" si="1170">0.0005/$AA1859*AC1859+0.005</f>
        <v>9.4764435009273128E-3</v>
      </c>
      <c r="AE1859" s="10" t="b">
        <f t="shared" ref="AE1859:AE1922" si="1171">ABS(AB1859-AC1859)&lt;AD1859</f>
        <v>1</v>
      </c>
      <c r="AP1859"/>
      <c r="AQ1859"/>
      <c r="AU1859" s="16" cm="1">
        <f t="array" ref="AU1859">$C1859*EXP(poly_from_str(100000000/$E1859,AU$4342))</f>
        <v>0</v>
      </c>
    </row>
    <row r="1860" spans="1:48" x14ac:dyDescent="0.25">
      <c r="A1860" t="s">
        <v>2689</v>
      </c>
      <c r="B1860" s="2" t="str">
        <f t="shared" si="1167"/>
        <v/>
      </c>
      <c r="C1860">
        <v>0</v>
      </c>
      <c r="E1860" t="s">
        <v>2690</v>
      </c>
      <c r="R1860">
        <v>18</v>
      </c>
      <c r="S1860" t="s">
        <v>22</v>
      </c>
      <c r="AA1860" s="10">
        <f t="shared" si="1168"/>
        <v>3341.585</v>
      </c>
      <c r="AB1860" s="3">
        <f t="shared" si="1169"/>
        <v>29917.32</v>
      </c>
      <c r="AC1860" s="3" cm="1">
        <f t="array" ref="AC1860">100000000/LvacE(AA1860)</f>
        <v>29917.316362069218</v>
      </c>
      <c r="AD1860" s="10">
        <f t="shared" si="1170"/>
        <v>9.4765158393500717E-3</v>
      </c>
      <c r="AE1860" s="10" t="b">
        <f t="shared" si="1171"/>
        <v>1</v>
      </c>
      <c r="AP1860"/>
      <c r="AQ1860"/>
      <c r="AU1860" s="16" cm="1">
        <f t="array" ref="AU1860">$C1860*EXP(poly_from_str(100000000/$E1860,AU$4342))</f>
        <v>0</v>
      </c>
    </row>
    <row r="1861" spans="1:48" x14ac:dyDescent="0.25">
      <c r="A1861" t="s">
        <v>2691</v>
      </c>
      <c r="B1861" s="2" t="str">
        <f t="shared" si="1167"/>
        <v/>
      </c>
      <c r="C1861">
        <v>500</v>
      </c>
      <c r="D1861" t="s">
        <v>134</v>
      </c>
      <c r="E1861" t="s">
        <v>2692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1168"/>
        <v>3341.4340000000002</v>
      </c>
      <c r="AB1861" s="3">
        <f t="shared" si="1169"/>
        <v>29918.67</v>
      </c>
      <c r="AC1861" s="3" cm="1">
        <f t="array" ref="AC1861">100000000/LvacE(AA1861)</f>
        <v>29918.668286901222</v>
      </c>
      <c r="AD1861" s="10">
        <f t="shared" si="1170"/>
        <v>9.4769204310037568E-3</v>
      </c>
      <c r="AE1861" s="10" t="b">
        <f t="shared" si="1171"/>
        <v>1</v>
      </c>
      <c r="AJ1861" t="s">
        <v>4829</v>
      </c>
      <c r="AK1861" t="s">
        <v>4888</v>
      </c>
      <c r="AL1861">
        <v>32760.11</v>
      </c>
      <c r="AM1861">
        <v>62678.7</v>
      </c>
      <c r="AN1861" s="10" cm="1">
        <f t="array" ref="AN1861">Lair(100000000/($AM1861-$AL1861))</f>
        <v>3341.4427380588568</v>
      </c>
      <c r="AO1861" s="10">
        <f>100000000/($AM1861-$AL1861)</f>
        <v>3342.403502304086</v>
      </c>
      <c r="AP1861" s="12">
        <v>1750000000</v>
      </c>
      <c r="AQ1861" s="3">
        <v>0.88500000000000001</v>
      </c>
      <c r="AR1861" s="3">
        <f>LN(AU1861*100000000/($AM1861-$AL1861)/AP1861)</f>
        <v>-6.8503498452462033</v>
      </c>
      <c r="AS1861" s="13">
        <f>EXP(AR$4341*$AM1861+AR$4342)*$AP1861/(100000000/($AM1861-$AL1861))</f>
        <v>419.39714441634197</v>
      </c>
      <c r="AT1861" s="3">
        <f>LN(AS1861/$C1861)</f>
        <v>-0.17578978871302631</v>
      </c>
      <c r="AU1861" s="16" cm="1">
        <f t="array" ref="AU1861">$C1861*EXP(poly_from_str(100000000/$E1861,AU$4342))</f>
        <v>554.51083182100297</v>
      </c>
      <c r="AV1861" s="13">
        <f>LN(AS1861/AU1861)</f>
        <v>-0.27926803128361477</v>
      </c>
    </row>
    <row r="1862" spans="1:48" x14ac:dyDescent="0.25">
      <c r="A1862" t="s">
        <v>2693</v>
      </c>
      <c r="B1862" s="2" t="str">
        <f t="shared" si="1167"/>
        <v/>
      </c>
      <c r="C1862">
        <v>0</v>
      </c>
      <c r="E1862" t="s">
        <v>2694</v>
      </c>
      <c r="R1862">
        <v>18</v>
      </c>
      <c r="S1862" t="s">
        <v>22</v>
      </c>
      <c r="AA1862" s="10">
        <f t="shared" si="1168"/>
        <v>3341.395</v>
      </c>
      <c r="AB1862" s="3">
        <f t="shared" si="1169"/>
        <v>29919.02</v>
      </c>
      <c r="AC1862" s="3" cm="1">
        <f t="array" ref="AC1862">100000000/LvacE(AA1862)</f>
        <v>29919.017479393679</v>
      </c>
      <c r="AD1862" s="10">
        <f t="shared" si="1170"/>
        <v>9.4770249370986787E-3</v>
      </c>
      <c r="AE1862" s="10" t="b">
        <f t="shared" si="1171"/>
        <v>1</v>
      </c>
      <c r="AP1862"/>
      <c r="AQ1862"/>
      <c r="AU1862" s="16" cm="1">
        <f t="array" ref="AU1862">$C1862*EXP(poly_from_str(100000000/$E1862,AU$4342))</f>
        <v>0</v>
      </c>
    </row>
    <row r="1863" spans="1:48" x14ac:dyDescent="0.25">
      <c r="A1863" t="s">
        <v>2695</v>
      </c>
      <c r="B1863" s="2" t="str">
        <f t="shared" si="1167"/>
        <v/>
      </c>
      <c r="C1863">
        <v>0</v>
      </c>
      <c r="E1863" t="s">
        <v>2696</v>
      </c>
      <c r="R1863">
        <v>18</v>
      </c>
      <c r="S1863" t="s">
        <v>22</v>
      </c>
      <c r="AA1863" s="10">
        <f t="shared" si="1168"/>
        <v>3341.36</v>
      </c>
      <c r="AB1863" s="3">
        <f t="shared" si="1169"/>
        <v>29919.33</v>
      </c>
      <c r="AC1863" s="3" cm="1">
        <f t="array" ref="AC1863">100000000/LvacE(AA1863)</f>
        <v>29919.330864211421</v>
      </c>
      <c r="AD1863" s="10">
        <f t="shared" si="1170"/>
        <v>9.4771187277353265E-3</v>
      </c>
      <c r="AE1863" s="10" t="b">
        <f t="shared" si="1171"/>
        <v>1</v>
      </c>
      <c r="AP1863"/>
      <c r="AQ1863"/>
      <c r="AU1863" s="16" cm="1">
        <f t="array" ref="AU1863">$C1863*EXP(poly_from_str(100000000/$E1863,AU$4342))</f>
        <v>0</v>
      </c>
    </row>
    <row r="1864" spans="1:48" x14ac:dyDescent="0.25">
      <c r="A1864" t="s">
        <v>2697</v>
      </c>
      <c r="B1864" s="2" t="str">
        <f t="shared" si="1167"/>
        <v/>
      </c>
      <c r="C1864">
        <v>90</v>
      </c>
      <c r="D1864" t="s">
        <v>134</v>
      </c>
      <c r="E1864" t="s">
        <v>2698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1168"/>
        <v>3340.5819999999999</v>
      </c>
      <c r="AB1864" s="3">
        <f t="shared" si="1169"/>
        <v>29926.3</v>
      </c>
      <c r="AC1864" s="3" cm="1">
        <f t="array" ref="AC1864">100000000/LvacE(AA1864)</f>
        <v>29926.298656268016</v>
      </c>
      <c r="AD1864" s="10">
        <f t="shared" si="1170"/>
        <v>9.4792043207243548E-3</v>
      </c>
      <c r="AE1864" s="10" t="b">
        <f t="shared" si="1171"/>
        <v>1</v>
      </c>
      <c r="AJ1864" t="s">
        <v>4816</v>
      </c>
      <c r="AK1864" t="s">
        <v>4739</v>
      </c>
      <c r="AL1864">
        <v>38448.379999999997</v>
      </c>
      <c r="AM1864">
        <v>68374.539999999994</v>
      </c>
      <c r="AN1864" s="10" cm="1">
        <f t="array" ref="AN1864">Lair(100000000/($AM1864-$AL1864))</f>
        <v>3340.5974727187618</v>
      </c>
      <c r="AO1864" s="10">
        <f>100000000/($AM1864-$AL1864)</f>
        <v>3341.558021476862</v>
      </c>
      <c r="AP1864" s="12">
        <v>516000000</v>
      </c>
      <c r="AQ1864" s="3">
        <v>0.76700000000000002</v>
      </c>
      <c r="AR1864" s="3">
        <f>LN(AU1864*100000000/($AM1864-$AL1864)/AP1864)</f>
        <v>-7.3412826328160286</v>
      </c>
      <c r="AS1864" s="13">
        <f>EXP(AR$4341*$AM1864+AR$4342)*$AP1864/(100000000/($AM1864-$AL1864))</f>
        <v>80.668862597222429</v>
      </c>
      <c r="AT1864" s="3">
        <f>LN(AS1864/$C1864)</f>
        <v>-0.10945701093259104</v>
      </c>
      <c r="AU1864" s="16" cm="1">
        <f t="array" ref="AU1864">$C1864*EXP(poly_from_str(100000000/$E1864,AU$4342))</f>
        <v>100.0972526537391</v>
      </c>
      <c r="AV1864" s="13">
        <f>LN(AS1864/AU1864)</f>
        <v>-0.21578958053025965</v>
      </c>
    </row>
    <row r="1865" spans="1:48" x14ac:dyDescent="0.25">
      <c r="A1865" t="s">
        <v>2699</v>
      </c>
      <c r="B1865" s="2" t="str">
        <f t="shared" si="1167"/>
        <v/>
      </c>
      <c r="C1865">
        <v>0</v>
      </c>
      <c r="E1865" t="s">
        <v>2700</v>
      </c>
      <c r="R1865">
        <v>18</v>
      </c>
      <c r="S1865" t="s">
        <v>22</v>
      </c>
      <c r="AA1865" s="10">
        <f t="shared" si="1168"/>
        <v>3340.5349999999999</v>
      </c>
      <c r="AB1865" s="3">
        <f t="shared" si="1169"/>
        <v>29926.720000000001</v>
      </c>
      <c r="AC1865" s="3" cm="1">
        <f t="array" ref="AC1865">100000000/LvacE(AA1865)</f>
        <v>29926.719693672003</v>
      </c>
      <c r="AD1865" s="10">
        <f t="shared" si="1170"/>
        <v>9.4793303608062783E-3</v>
      </c>
      <c r="AE1865" s="10" t="b">
        <f t="shared" si="1171"/>
        <v>1</v>
      </c>
      <c r="AP1865"/>
      <c r="AQ1865"/>
      <c r="AU1865" s="16" cm="1">
        <f t="array" ref="AU1865">$C1865*EXP(poly_from_str(100000000/$E1865,AU$4342))</f>
        <v>0</v>
      </c>
    </row>
    <row r="1866" spans="1:48" x14ac:dyDescent="0.25">
      <c r="A1866" t="s">
        <v>2701</v>
      </c>
      <c r="B1866" s="2" t="str">
        <f t="shared" si="1167"/>
        <v/>
      </c>
      <c r="C1866">
        <v>0</v>
      </c>
      <c r="E1866" t="s">
        <v>2702</v>
      </c>
      <c r="R1866">
        <v>18</v>
      </c>
      <c r="S1866" t="s">
        <v>22</v>
      </c>
      <c r="AA1866" s="10">
        <f t="shared" si="1168"/>
        <v>3340.4920000000002</v>
      </c>
      <c r="AB1866" s="3">
        <f t="shared" si="1169"/>
        <v>29927.1</v>
      </c>
      <c r="AC1866" s="3" cm="1">
        <f t="array" ref="AC1866">100000000/LvacE(AA1866)</f>
        <v>29927.104908483099</v>
      </c>
      <c r="AD1866" s="10">
        <f t="shared" si="1170"/>
        <v>9.4794456787328195E-3</v>
      </c>
      <c r="AE1866" s="10" t="b">
        <f t="shared" si="1171"/>
        <v>1</v>
      </c>
      <c r="AP1866"/>
      <c r="AQ1866"/>
      <c r="AU1866" s="16" cm="1">
        <f t="array" ref="AU1866">$C1866*EXP(poly_from_str(100000000/$E1866,AU$4342))</f>
        <v>0</v>
      </c>
    </row>
    <row r="1867" spans="1:48" x14ac:dyDescent="0.25">
      <c r="A1867" t="s">
        <v>2703</v>
      </c>
      <c r="B1867" s="2" t="str">
        <f t="shared" si="1167"/>
        <v/>
      </c>
      <c r="C1867">
        <v>0</v>
      </c>
      <c r="E1867" t="s">
        <v>2704</v>
      </c>
      <c r="R1867">
        <v>18</v>
      </c>
      <c r="S1867" t="s">
        <v>22</v>
      </c>
      <c r="AA1867" s="10">
        <f t="shared" si="1168"/>
        <v>3340.4589999999998</v>
      </c>
      <c r="AB1867" s="3">
        <f t="shared" si="1169"/>
        <v>29927.4</v>
      </c>
      <c r="AC1867" s="3" cm="1">
        <f t="array" ref="AC1867">100000000/LvacE(AA1867)</f>
        <v>29927.400545180019</v>
      </c>
      <c r="AD1867" s="10">
        <f t="shared" si="1170"/>
        <v>9.4795341815570901E-3</v>
      </c>
      <c r="AE1867" s="10" t="b">
        <f t="shared" si="1171"/>
        <v>1</v>
      </c>
      <c r="AP1867"/>
      <c r="AQ1867"/>
      <c r="AU1867" s="16" cm="1">
        <f t="array" ref="AU1867">$C1867*EXP(poly_from_str(100000000/$E1867,AU$4342))</f>
        <v>0</v>
      </c>
    </row>
    <row r="1868" spans="1:48" x14ac:dyDescent="0.25">
      <c r="A1868" t="s">
        <v>2705</v>
      </c>
      <c r="B1868" s="2" t="str">
        <f t="shared" si="1167"/>
        <v/>
      </c>
      <c r="C1868">
        <v>0</v>
      </c>
      <c r="E1868" t="s">
        <v>2706</v>
      </c>
      <c r="R1868">
        <v>18</v>
      </c>
      <c r="S1868" t="s">
        <v>22</v>
      </c>
      <c r="AA1868" s="10">
        <f t="shared" si="1168"/>
        <v>3340.4319999999998</v>
      </c>
      <c r="AB1868" s="3">
        <f t="shared" si="1169"/>
        <v>29927.64</v>
      </c>
      <c r="AC1868" s="3" cm="1">
        <f t="array" ref="AC1868">100000000/LvacE(AA1868)</f>
        <v>29927.642434094658</v>
      </c>
      <c r="AD1868" s="10">
        <f t="shared" si="1170"/>
        <v>9.4796065949096786E-3</v>
      </c>
      <c r="AE1868" s="10" t="b">
        <f t="shared" si="1171"/>
        <v>1</v>
      </c>
      <c r="AP1868"/>
      <c r="AQ1868"/>
      <c r="AU1868" s="16" cm="1">
        <f t="array" ref="AU1868">$C1868*EXP(poly_from_str(100000000/$E1868,AU$4342))</f>
        <v>0</v>
      </c>
    </row>
    <row r="1869" spans="1:48" x14ac:dyDescent="0.25">
      <c r="A1869" t="s">
        <v>2707</v>
      </c>
      <c r="B1869" s="2" t="str">
        <f t="shared" si="1167"/>
        <v/>
      </c>
      <c r="C1869">
        <v>7</v>
      </c>
      <c r="D1869" t="s">
        <v>134</v>
      </c>
      <c r="E1869" t="s">
        <v>2708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1168"/>
        <v>3339.47</v>
      </c>
      <c r="AB1869" s="3">
        <f t="shared" si="1169"/>
        <v>29936.26</v>
      </c>
      <c r="AC1869" s="3" cm="1">
        <f t="array" ref="AC1869">100000000/LvacE(AA1869)</f>
        <v>29936.263398777868</v>
      </c>
      <c r="AD1869" s="10">
        <f t="shared" si="1170"/>
        <v>9.4821878020730638E-3</v>
      </c>
      <c r="AE1869" s="10" t="b">
        <f t="shared" si="1171"/>
        <v>1</v>
      </c>
      <c r="AJ1869" t="s">
        <v>4939</v>
      </c>
      <c r="AK1869" t="s">
        <v>4893</v>
      </c>
      <c r="AL1869">
        <v>50227.79</v>
      </c>
      <c r="AM1869">
        <v>80164.039999999994</v>
      </c>
      <c r="AN1869" s="10" cm="1">
        <f t="array" ref="AN1869">Lair(100000000/($AM1869-$AL1869))</f>
        <v>3339.4714890825621</v>
      </c>
      <c r="AO1869" s="10">
        <f>100000000/($AM1869-$AL1869)</f>
        <v>3340.4317508037921</v>
      </c>
      <c r="AP1869" s="12">
        <v>477000000</v>
      </c>
      <c r="AQ1869" s="3">
        <v>0.69499999999999995</v>
      </c>
      <c r="AR1869" s="3">
        <f>LN(AU1869*100000000/($AM1869-$AL1869)/AP1869)</f>
        <v>-9.8132139779648853</v>
      </c>
      <c r="AS1869" s="13">
        <f>EXP(AR$4341*$AM1869+AR$4342)*$AP1869/(100000000/($AM1869-$AL1869))</f>
        <v>30.794488080282395</v>
      </c>
      <c r="AT1869" s="3">
        <f>LN(AS1869/$C1869)</f>
        <v>1.4814255664768547</v>
      </c>
      <c r="AU1869" s="16" cm="1">
        <f t="array" ref="AU1869">$C1869*EXP(poly_from_str(100000000/$E1869,AU$4342))</f>
        <v>7.8143182701592533</v>
      </c>
      <c r="AV1869" s="13">
        <f>LN(AS1869/AU1869)</f>
        <v>1.3713779889686857</v>
      </c>
    </row>
    <row r="1870" spans="1:48" x14ac:dyDescent="0.25">
      <c r="A1870" t="s">
        <v>2709</v>
      </c>
      <c r="B1870" s="2" t="str">
        <f t="shared" si="1167"/>
        <v/>
      </c>
      <c r="C1870">
        <v>0</v>
      </c>
      <c r="E1870" t="s">
        <v>2710</v>
      </c>
      <c r="R1870">
        <v>18</v>
      </c>
      <c r="S1870" t="s">
        <v>22</v>
      </c>
      <c r="AA1870" s="10">
        <f t="shared" si="1168"/>
        <v>3339.3969999999999</v>
      </c>
      <c r="AB1870" s="3">
        <f t="shared" si="1169"/>
        <v>29936.92</v>
      </c>
      <c r="AC1870" s="3" cm="1">
        <f t="array" ref="AC1870">100000000/LvacE(AA1870)</f>
        <v>29936.917791151445</v>
      </c>
      <c r="AD1870" s="10">
        <f t="shared" si="1170"/>
        <v>9.4823837643669556E-3</v>
      </c>
      <c r="AE1870" s="10" t="b">
        <f t="shared" si="1171"/>
        <v>1</v>
      </c>
      <c r="AP1870"/>
      <c r="AQ1870"/>
      <c r="AU1870" s="16" cm="1">
        <f t="array" ref="AU1870">$C1870*EXP(poly_from_str(100000000/$E1870,AU$4342))</f>
        <v>0</v>
      </c>
    </row>
    <row r="1871" spans="1:48" x14ac:dyDescent="0.25">
      <c r="A1871" t="s">
        <v>2711</v>
      </c>
      <c r="B1871" s="2" t="str">
        <f t="shared" si="1167"/>
        <v/>
      </c>
      <c r="C1871">
        <v>0</v>
      </c>
      <c r="E1871" t="s">
        <v>2712</v>
      </c>
      <c r="R1871">
        <v>18</v>
      </c>
      <c r="S1871" t="s">
        <v>22</v>
      </c>
      <c r="AA1871" s="10">
        <f t="shared" si="1168"/>
        <v>3339.3319999999999</v>
      </c>
      <c r="AB1871" s="3">
        <f t="shared" si="1169"/>
        <v>29937.5</v>
      </c>
      <c r="AC1871" s="3" cm="1">
        <f t="array" ref="AC1871">100000000/LvacE(AA1871)</f>
        <v>29937.500493370517</v>
      </c>
      <c r="AD1871" s="10">
        <f t="shared" si="1170"/>
        <v>9.4825582621569995E-3</v>
      </c>
      <c r="AE1871" s="10" t="b">
        <f t="shared" si="1171"/>
        <v>1</v>
      </c>
      <c r="AP1871"/>
      <c r="AQ1871"/>
      <c r="AU1871" s="16" cm="1">
        <f t="array" ref="AU1871">$C1871*EXP(poly_from_str(100000000/$E1871,AU$4342))</f>
        <v>0</v>
      </c>
    </row>
    <row r="1872" spans="1:48" x14ac:dyDescent="0.25">
      <c r="A1872" t="s">
        <v>2713</v>
      </c>
      <c r="B1872" s="2" t="str">
        <f t="shared" si="1167"/>
        <v/>
      </c>
      <c r="C1872">
        <v>3</v>
      </c>
      <c r="D1872" t="s">
        <v>14</v>
      </c>
      <c r="E1872" t="s">
        <v>2714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1172">$G1872&amp;""</f>
        <v>e</v>
      </c>
      <c r="N1872" t="str">
        <f t="shared" ref="N1872:N1875" si="1173">$H1872&amp;""</f>
        <v>7/2</v>
      </c>
      <c r="O1872">
        <v>67870.759999999995</v>
      </c>
      <c r="P1872" t="str">
        <f t="shared" ref="P1872:P1875" si="1174">$J1872&amp;""</f>
        <v>o</v>
      </c>
      <c r="Q1872" t="str">
        <f t="shared" ref="Q1872:Q1875" si="1175">$K1872&amp;""</f>
        <v>9/2</v>
      </c>
      <c r="R1872">
        <v>18</v>
      </c>
      <c r="AA1872" s="10">
        <f t="shared" si="1168"/>
        <v>3337.8049999999998</v>
      </c>
      <c r="AB1872" s="3">
        <f t="shared" si="1169"/>
        <v>29951.200000000001</v>
      </c>
      <c r="AC1872" s="3" cm="1">
        <f t="array" ref="AC1872">100000000/LvacE(AA1872)</f>
        <v>29951.196041950228</v>
      </c>
      <c r="AD1872" s="10">
        <f t="shared" si="1170"/>
        <v>9.486660551163149E-3</v>
      </c>
      <c r="AE1872" s="10" t="b">
        <f t="shared" si="1171"/>
        <v>1</v>
      </c>
      <c r="AJ1872" t="s">
        <v>4764</v>
      </c>
      <c r="AK1872" t="s">
        <v>4755</v>
      </c>
      <c r="AL1872">
        <v>37919.58</v>
      </c>
      <c r="AM1872">
        <v>67870.759999999995</v>
      </c>
      <c r="AN1872" s="10" cm="1">
        <f t="array" ref="AN1872">Lair(100000000/($AM1872-$AL1872))</f>
        <v>3337.8067821616555</v>
      </c>
      <c r="AO1872" s="10">
        <f t="shared" ref="AO1872:AO1875" si="1176">100000000/($AM1872-$AL1872)</f>
        <v>3338.7666195455413</v>
      </c>
      <c r="AP1872" s="12">
        <v>15100000</v>
      </c>
      <c r="AQ1872" s="3">
        <v>0.111</v>
      </c>
      <c r="AR1872" s="3">
        <f t="shared" ref="AR1872:AR1873" si="1177">LN(AU1872*100000000/($AM1872-$AL1872)/AP1872)</f>
        <v>-7.2026394651958148</v>
      </c>
      <c r="AS1872" s="13">
        <f t="shared" ref="AS1872:AS1873" si="1178">EXP(AR$4341*$AM1872+AR$4342)*$AP1872/(100000000/($AM1872-$AL1872))</f>
        <v>2.4536664177129932</v>
      </c>
      <c r="AT1872" s="3">
        <f t="shared" ref="AT1872:AT1873" si="1179">LN(AS1872/$C1872)</f>
        <v>-0.20102888572155214</v>
      </c>
      <c r="AU1872" s="16" cm="1">
        <f t="array" ref="AU1872">$C1872*EXP(poly_from_str(100000000/$E1872,AU$4342))</f>
        <v>3.3676295337168316</v>
      </c>
      <c r="AV1872" s="13">
        <f t="shared" ref="AV1872:AV1873" si="1180">LN(AS1872/AU1872)</f>
        <v>-0.3166256914562206</v>
      </c>
    </row>
    <row r="1873" spans="1:48" x14ac:dyDescent="0.25">
      <c r="A1873" t="s">
        <v>2715</v>
      </c>
      <c r="B1873" s="2" t="str">
        <f t="shared" si="1167"/>
        <v/>
      </c>
      <c r="C1873">
        <v>3</v>
      </c>
      <c r="E1873" t="s">
        <v>2716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1172"/>
        <v>e</v>
      </c>
      <c r="N1873" t="str">
        <f t="shared" si="1173"/>
        <v>11/2</v>
      </c>
      <c r="O1873">
        <v>69686.259999999995</v>
      </c>
      <c r="P1873" t="str">
        <f t="shared" si="1174"/>
        <v>o</v>
      </c>
      <c r="Q1873" t="str">
        <f t="shared" si="1175"/>
        <v>9/2</v>
      </c>
      <c r="R1873">
        <v>18</v>
      </c>
      <c r="AA1873" s="10">
        <f t="shared" si="1168"/>
        <v>3337.578</v>
      </c>
      <c r="AB1873" s="3">
        <f t="shared" si="1169"/>
        <v>29953.23</v>
      </c>
      <c r="AC1873" s="3" cm="1">
        <f t="array" ref="AC1873">100000000/LvacE(AA1873)</f>
        <v>29953.233057833957</v>
      </c>
      <c r="AD1873" s="10">
        <f t="shared" si="1170"/>
        <v>9.4872708679518448E-3</v>
      </c>
      <c r="AE1873" s="10" t="b">
        <f t="shared" si="1171"/>
        <v>1</v>
      </c>
      <c r="AJ1873" t="s">
        <v>4725</v>
      </c>
      <c r="AK1873" t="s">
        <v>4838</v>
      </c>
      <c r="AL1873">
        <v>39732.99</v>
      </c>
      <c r="AM1873">
        <v>69686.259999999995</v>
      </c>
      <c r="AN1873" s="10" cm="1">
        <f t="array" ref="AN1873">Lair(100000000/($AM1873-$AL1873))</f>
        <v>3337.5738779056273</v>
      </c>
      <c r="AO1873" s="10">
        <f t="shared" si="1176"/>
        <v>3338.5336559247125</v>
      </c>
      <c r="AP1873" s="12">
        <v>9020000</v>
      </c>
      <c r="AQ1873" s="3">
        <v>0.1</v>
      </c>
      <c r="AR1873" s="3">
        <f t="shared" si="1177"/>
        <v>-6.6867069794702489</v>
      </c>
      <c r="AS1873" s="13">
        <f t="shared" si="1178"/>
        <v>1.2790983023742439</v>
      </c>
      <c r="AT1873" s="3">
        <f t="shared" si="1179"/>
        <v>-0.85245691024909176</v>
      </c>
      <c r="AU1873" s="16" cm="1">
        <f t="array" ref="AU1873">$C1873*EXP(poly_from_str(100000000/$E1873,AU$4342))</f>
        <v>3.3701624507400432</v>
      </c>
      <c r="AV1873" s="13">
        <f t="shared" si="1180"/>
        <v>-0.96880556975080223</v>
      </c>
    </row>
    <row r="1874" spans="1:48" x14ac:dyDescent="0.25">
      <c r="A1874" t="s">
        <v>2717</v>
      </c>
      <c r="B1874" s="2" t="str">
        <f t="shared" si="1167"/>
        <v/>
      </c>
      <c r="C1874" s="4">
        <v>3</v>
      </c>
      <c r="E1874" t="s">
        <v>2718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1172"/>
        <v>o</v>
      </c>
      <c r="N1874" t="str">
        <f t="shared" si="1173"/>
        <v>5/2</v>
      </c>
      <c r="O1874" s="4">
        <v>40098.660000000003</v>
      </c>
      <c r="P1874" t="str">
        <f t="shared" si="1174"/>
        <v>e</v>
      </c>
      <c r="Q1874" t="str">
        <f t="shared" si="1175"/>
        <v>5/2</v>
      </c>
      <c r="R1874">
        <v>18</v>
      </c>
      <c r="S1874" s="4" t="s">
        <v>2719</v>
      </c>
      <c r="T1874">
        <v>2</v>
      </c>
      <c r="AA1874" s="10">
        <f t="shared" si="1168"/>
        <v>3336.7710000000002</v>
      </c>
      <c r="AB1874" s="3">
        <f t="shared" si="1169"/>
        <v>29960.48</v>
      </c>
      <c r="AC1874" s="3" cm="1">
        <f t="array" ref="AC1874">100000000/LvacE(AA1874)</f>
        <v>29960.477027850186</v>
      </c>
      <c r="AD1874" s="10">
        <f t="shared" si="1170"/>
        <v>9.489441593062602E-3</v>
      </c>
      <c r="AE1874" s="10" t="b">
        <f t="shared" si="1171"/>
        <v>1</v>
      </c>
      <c r="AJ1874" t="s">
        <v>4715</v>
      </c>
      <c r="AK1874" t="s">
        <v>4737</v>
      </c>
      <c r="AL1874">
        <v>10138.18</v>
      </c>
      <c r="AM1874">
        <v>40098.660000000003</v>
      </c>
      <c r="AN1874" s="10" cm="1">
        <f t="array" ref="AN1874">Lair(100000000/($AM1874-$AL1874))</f>
        <v>3336.7706633377898</v>
      </c>
      <c r="AO1874" s="10">
        <f t="shared" si="1176"/>
        <v>3337.7302366317226</v>
      </c>
      <c r="AU1874" s="16" cm="1">
        <f t="array" ref="AU1874">$C1874*EXP(poly_from_str(100000000/$E1874,AU$4342))</f>
        <v>3.3792098938552417</v>
      </c>
    </row>
    <row r="1875" spans="1:48" x14ac:dyDescent="0.25">
      <c r="A1875" t="s">
        <v>2720</v>
      </c>
      <c r="B1875" s="2" t="str">
        <f t="shared" si="1167"/>
        <v/>
      </c>
      <c r="C1875">
        <v>60</v>
      </c>
      <c r="D1875" t="s">
        <v>134</v>
      </c>
      <c r="E1875" t="s">
        <v>2721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1172"/>
        <v>e</v>
      </c>
      <c r="N1875" t="str">
        <f t="shared" si="1173"/>
        <v>7/2</v>
      </c>
      <c r="O1875">
        <v>64817.53</v>
      </c>
      <c r="P1875" t="str">
        <f t="shared" si="1174"/>
        <v>o</v>
      </c>
      <c r="Q1875" t="str">
        <f t="shared" si="1175"/>
        <v>5/2</v>
      </c>
      <c r="R1875">
        <v>18</v>
      </c>
      <c r="AA1875" s="10">
        <f t="shared" si="1168"/>
        <v>3333.2579999999998</v>
      </c>
      <c r="AB1875" s="3">
        <f t="shared" si="1169"/>
        <v>29992.05</v>
      </c>
      <c r="AC1875" s="3" cm="1">
        <f t="array" ref="AC1875">100000000/LvacE(AA1875)</f>
        <v>29992.052054218606</v>
      </c>
      <c r="AD1875" s="10">
        <f t="shared" si="1170"/>
        <v>9.4989094834871182E-3</v>
      </c>
      <c r="AE1875" s="10" t="b">
        <f t="shared" si="1171"/>
        <v>1</v>
      </c>
      <c r="AJ1875" t="s">
        <v>4761</v>
      </c>
      <c r="AK1875" t="s">
        <v>4882</v>
      </c>
      <c r="AL1875">
        <v>34825.49</v>
      </c>
      <c r="AM1875">
        <v>64817.53</v>
      </c>
      <c r="AN1875" s="10" cm="1">
        <f t="array" ref="AN1875">Lair(100000000/($AM1875-$AL1875))</f>
        <v>3333.2593340914568</v>
      </c>
      <c r="AO1875" s="10">
        <f t="shared" si="1176"/>
        <v>3334.2180125126533</v>
      </c>
      <c r="AP1875" s="12">
        <v>242000000</v>
      </c>
      <c r="AQ1875" s="3">
        <v>0.498</v>
      </c>
      <c r="AR1875" s="3">
        <f>LN(AU1875*100000000/($AM1875-$AL1875)/AP1875)</f>
        <v>-6.9674832861240885</v>
      </c>
      <c r="AS1875" s="13">
        <f>EXP(AR$4341*$AM1875+AR$4342)*$AP1875/(100000000/($AM1875-$AL1875))</f>
        <v>49.517428291338582</v>
      </c>
      <c r="AT1875" s="3">
        <f>LN(AS1875/$C1875)</f>
        <v>-0.19201986792172229</v>
      </c>
      <c r="AU1875" s="16" cm="1">
        <f t="array" ref="AU1875">$C1875*EXP(poly_from_str(100000000/$E1875,AU$4342))</f>
        <v>68.372558058255919</v>
      </c>
      <c r="AV1875" s="13">
        <f>LN(AS1875/AU1875)</f>
        <v>-0.32264685184797071</v>
      </c>
    </row>
    <row r="1876" spans="1:48" x14ac:dyDescent="0.25">
      <c r="A1876" t="s">
        <v>2722</v>
      </c>
      <c r="B1876" s="2" t="str">
        <f t="shared" si="1167"/>
        <v/>
      </c>
      <c r="C1876">
        <v>0</v>
      </c>
      <c r="E1876" t="s">
        <v>2723</v>
      </c>
      <c r="R1876">
        <v>18</v>
      </c>
      <c r="S1876" t="s">
        <v>22</v>
      </c>
      <c r="AA1876" s="10">
        <f t="shared" si="1168"/>
        <v>3333.2179999999998</v>
      </c>
      <c r="AB1876" s="3">
        <f t="shared" si="1169"/>
        <v>29992.41</v>
      </c>
      <c r="AC1876" s="3" cm="1">
        <f t="array" ref="AC1876">100000000/LvacE(AA1876)</f>
        <v>29992.411959501696</v>
      </c>
      <c r="AD1876" s="10">
        <f t="shared" si="1170"/>
        <v>9.4990174599293674E-3</v>
      </c>
      <c r="AE1876" s="10" t="b">
        <f t="shared" si="1171"/>
        <v>1</v>
      </c>
      <c r="AP1876"/>
      <c r="AQ1876"/>
      <c r="AU1876" s="16" cm="1">
        <f t="array" ref="AU1876">$C1876*EXP(poly_from_str(100000000/$E1876,AU$4342))</f>
        <v>0</v>
      </c>
    </row>
    <row r="1877" spans="1:48" x14ac:dyDescent="0.25">
      <c r="A1877" t="s">
        <v>2724</v>
      </c>
      <c r="B1877" s="2" t="str">
        <f t="shared" si="1167"/>
        <v/>
      </c>
      <c r="C1877">
        <v>0</v>
      </c>
      <c r="E1877" t="s">
        <v>2725</v>
      </c>
      <c r="R1877">
        <v>18</v>
      </c>
      <c r="S1877" t="s">
        <v>22</v>
      </c>
      <c r="AA1877" s="10">
        <f t="shared" si="1168"/>
        <v>3333.1819999999998</v>
      </c>
      <c r="AB1877" s="3">
        <f t="shared" si="1169"/>
        <v>29992.74</v>
      </c>
      <c r="AC1877" s="3" cm="1">
        <f t="array" ref="AC1877">100000000/LvacE(AA1877)</f>
        <v>29992.735881641656</v>
      </c>
      <c r="AD1877" s="10">
        <f t="shared" si="1170"/>
        <v>9.4991146420509986E-3</v>
      </c>
      <c r="AE1877" s="10" t="b">
        <f t="shared" si="1171"/>
        <v>1</v>
      </c>
      <c r="AP1877"/>
      <c r="AQ1877"/>
      <c r="AU1877" s="16" cm="1">
        <f t="array" ref="AU1877">$C1877*EXP(poly_from_str(100000000/$E1877,AU$4342))</f>
        <v>0</v>
      </c>
    </row>
    <row r="1878" spans="1:48" x14ac:dyDescent="0.25">
      <c r="A1878" t="s">
        <v>2726</v>
      </c>
      <c r="B1878" s="2" t="str">
        <f t="shared" si="1167"/>
        <v/>
      </c>
      <c r="C1878">
        <v>6</v>
      </c>
      <c r="D1878" t="s">
        <v>134</v>
      </c>
      <c r="E1878" t="s">
        <v>2727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1168"/>
        <v>3331.8229999999999</v>
      </c>
      <c r="AB1878" s="3">
        <f t="shared" si="1169"/>
        <v>30004.97</v>
      </c>
      <c r="AC1878" s="3" cm="1">
        <f t="array" ref="AC1878">100000000/LvacE(AA1878)</f>
        <v>30004.969061904158</v>
      </c>
      <c r="AD1878" s="10">
        <f t="shared" si="1170"/>
        <v>9.5027855714280383E-3</v>
      </c>
      <c r="AE1878" s="10" t="b">
        <f t="shared" si="1171"/>
        <v>1</v>
      </c>
      <c r="AJ1878" t="s">
        <v>4807</v>
      </c>
      <c r="AK1878" t="s">
        <v>4825</v>
      </c>
      <c r="AL1878">
        <v>35291</v>
      </c>
      <c r="AM1878">
        <v>65295.9</v>
      </c>
      <c r="AN1878" s="10" cm="1">
        <f t="array" ref="AN1878">Lair(100000000/($AM1878-$AL1878))</f>
        <v>3331.8306634320588</v>
      </c>
      <c r="AO1878" s="10">
        <f>100000000/($AM1878-$AL1878)</f>
        <v>3332.7889778002923</v>
      </c>
      <c r="AP1878" s="12">
        <v>102000000</v>
      </c>
      <c r="AQ1878" s="3">
        <v>0.34499999999999997</v>
      </c>
      <c r="AR1878" s="3">
        <f>LN(AU1878*100000000/($AM1878-$AL1878)/AP1878)</f>
        <v>-8.4018220721458707</v>
      </c>
      <c r="AS1878" s="13">
        <f>EXP(AR$4341*$AM1878+AR$4342)*$AP1878/(100000000/($AM1878-$AL1878))</f>
        <v>20.143634875919005</v>
      </c>
      <c r="AT1878" s="3">
        <f>LN(AS1878/$C1878)</f>
        <v>1.211128882210647</v>
      </c>
      <c r="AU1878" s="16" cm="1">
        <f t="array" ref="AU1878">$C1878*EXP(poly_from_str(100000000/$E1878,AU$4342))</f>
        <v>6.8695358067344143</v>
      </c>
      <c r="AV1878" s="13">
        <f>LN(AS1878/AU1878)</f>
        <v>1.0757918156482047</v>
      </c>
    </row>
    <row r="1879" spans="1:48" x14ac:dyDescent="0.25">
      <c r="A1879" t="s">
        <v>2728</v>
      </c>
      <c r="B1879" s="2" t="str">
        <f t="shared" si="1167"/>
        <v/>
      </c>
      <c r="C1879">
        <v>0</v>
      </c>
      <c r="E1879" t="s">
        <v>2729</v>
      </c>
      <c r="R1879">
        <v>18</v>
      </c>
      <c r="S1879" t="s">
        <v>22</v>
      </c>
      <c r="AA1879" s="10">
        <f t="shared" si="1168"/>
        <v>3331.7719999999999</v>
      </c>
      <c r="AB1879" s="3">
        <f t="shared" si="1169"/>
        <v>30005.43</v>
      </c>
      <c r="AC1879" s="3" cm="1">
        <f t="array" ref="AC1879">100000000/LvacE(AA1879)</f>
        <v>30005.428337995982</v>
      </c>
      <c r="AD1879" s="10">
        <f t="shared" si="1170"/>
        <v>9.5029234200293394E-3</v>
      </c>
      <c r="AE1879" s="10" t="b">
        <f t="shared" si="1171"/>
        <v>1</v>
      </c>
      <c r="AP1879"/>
      <c r="AQ1879"/>
      <c r="AU1879" s="16" cm="1">
        <f t="array" ref="AU1879">$C1879*EXP(poly_from_str(100000000/$E1879,AU$4342))</f>
        <v>0</v>
      </c>
    </row>
    <row r="1880" spans="1:48" x14ac:dyDescent="0.25">
      <c r="A1880" t="s">
        <v>2730</v>
      </c>
      <c r="B1880" s="2" t="str">
        <f t="shared" si="1167"/>
        <v/>
      </c>
      <c r="C1880">
        <v>0</v>
      </c>
      <c r="E1880" t="s">
        <v>2731</v>
      </c>
      <c r="R1880">
        <v>18</v>
      </c>
      <c r="S1880" t="s">
        <v>22</v>
      </c>
      <c r="AA1880" s="10">
        <f t="shared" si="1168"/>
        <v>3331.7269999999999</v>
      </c>
      <c r="AB1880" s="3">
        <f t="shared" si="1169"/>
        <v>30005.83</v>
      </c>
      <c r="AC1880" s="3" cm="1">
        <f t="array" ref="AC1880">100000000/LvacE(AA1880)</f>
        <v>30005.833593282416</v>
      </c>
      <c r="AD1880" s="10">
        <f t="shared" si="1170"/>
        <v>9.5030450564050437E-3</v>
      </c>
      <c r="AE1880" s="10" t="b">
        <f t="shared" si="1171"/>
        <v>1</v>
      </c>
      <c r="AP1880"/>
      <c r="AQ1880"/>
      <c r="AU1880" s="16" cm="1">
        <f t="array" ref="AU1880">$C1880*EXP(poly_from_str(100000000/$E1880,AU$4342))</f>
        <v>0</v>
      </c>
    </row>
    <row r="1881" spans="1:48" x14ac:dyDescent="0.25">
      <c r="A1881" t="s">
        <v>2732</v>
      </c>
      <c r="B1881" s="2" t="str">
        <f t="shared" si="1167"/>
        <v/>
      </c>
      <c r="C1881">
        <v>7</v>
      </c>
      <c r="D1881" t="s">
        <v>134</v>
      </c>
      <c r="E1881" t="s">
        <v>2733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1168"/>
        <v>3328.846</v>
      </c>
      <c r="AB1881" s="3">
        <f t="shared" si="1169"/>
        <v>30031.8</v>
      </c>
      <c r="AC1881" s="3" cm="1">
        <f t="array" ref="AC1881">100000000/LvacE(AA1881)</f>
        <v>30031.801741542225</v>
      </c>
      <c r="AD1881" s="10">
        <f t="shared" si="1170"/>
        <v>9.5108427577518199E-3</v>
      </c>
      <c r="AE1881" s="10" t="b">
        <f t="shared" si="1171"/>
        <v>1</v>
      </c>
      <c r="AJ1881" t="s">
        <v>4761</v>
      </c>
      <c r="AK1881" t="s">
        <v>4854</v>
      </c>
      <c r="AL1881">
        <v>34825.49</v>
      </c>
      <c r="AM1881">
        <v>64857.15</v>
      </c>
      <c r="AN1881" s="10" cm="1">
        <f t="array" ref="AN1881">Lair(100000000/($AM1881-$AL1881))</f>
        <v>3328.8617061604664</v>
      </c>
      <c r="AO1881" s="10">
        <f>100000000/($AM1881-$AL1881)</f>
        <v>3329.8192640699845</v>
      </c>
      <c r="AP1881" s="12">
        <v>124000000</v>
      </c>
      <c r="AQ1881" s="3">
        <v>0.11600000000000001</v>
      </c>
      <c r="AR1881" s="3">
        <f>LN(AU1881*100000000/($AM1881-$AL1881)/AP1881)</f>
        <v>-8.4341576806105785</v>
      </c>
      <c r="AS1881" s="13">
        <f>EXP(AR$4341*$AM1881+AR$4342)*$AP1881/(100000000/($AM1881-$AL1881))</f>
        <v>25.330655105839089</v>
      </c>
      <c r="AT1881" s="3">
        <f>LN(AS1881/$C1881)</f>
        <v>1.2861051774678554</v>
      </c>
      <c r="AU1881" s="16" cm="1">
        <f t="array" ref="AU1881">$C1881*EXP(poly_from_str(100000000/$E1881,AU$4342))</f>
        <v>8.0926896070116694</v>
      </c>
      <c r="AV1881" s="13">
        <f>LN(AS1881/AU1881)</f>
        <v>1.1410541900119238</v>
      </c>
    </row>
    <row r="1882" spans="1:48" x14ac:dyDescent="0.25">
      <c r="A1882" t="s">
        <v>2734</v>
      </c>
      <c r="B1882" s="2" t="str">
        <f t="shared" si="1167"/>
        <v/>
      </c>
      <c r="C1882">
        <v>0</v>
      </c>
      <c r="E1882" t="s">
        <v>2735</v>
      </c>
      <c r="R1882">
        <v>18</v>
      </c>
      <c r="S1882" t="s">
        <v>22</v>
      </c>
      <c r="AA1882" s="10">
        <f t="shared" si="1168"/>
        <v>3328.8139999999999</v>
      </c>
      <c r="AB1882" s="3">
        <f t="shared" si="1169"/>
        <v>30032.09</v>
      </c>
      <c r="AC1882" s="3" cm="1">
        <f t="array" ref="AC1882">100000000/LvacE(AA1882)</f>
        <v>30032.090428763273</v>
      </c>
      <c r="AD1882" s="10">
        <f t="shared" si="1170"/>
        <v>9.5109294825068743E-3</v>
      </c>
      <c r="AE1882" s="10" t="b">
        <f t="shared" si="1171"/>
        <v>1</v>
      </c>
      <c r="AP1882"/>
      <c r="AQ1882"/>
      <c r="AU1882" s="16" cm="1">
        <f t="array" ref="AU1882">$C1882*EXP(poly_from_str(100000000/$E1882,AU$4342))</f>
        <v>0</v>
      </c>
    </row>
    <row r="1883" spans="1:48" x14ac:dyDescent="0.25">
      <c r="A1883" t="s">
        <v>2736</v>
      </c>
      <c r="B1883" s="2" t="str">
        <f t="shared" si="1167"/>
        <v/>
      </c>
      <c r="C1883">
        <v>0</v>
      </c>
      <c r="E1883" t="s">
        <v>2737</v>
      </c>
      <c r="R1883">
        <v>18</v>
      </c>
      <c r="S1883" t="s">
        <v>22</v>
      </c>
      <c r="AA1883" s="10">
        <f t="shared" si="1168"/>
        <v>3328.7890000000002</v>
      </c>
      <c r="AB1883" s="3">
        <f t="shared" si="1169"/>
        <v>30032.32</v>
      </c>
      <c r="AC1883" s="3" cm="1">
        <f t="array" ref="AC1883">100000000/LvacE(AA1883)</f>
        <v>30032.315969516443</v>
      </c>
      <c r="AD1883" s="10">
        <f t="shared" si="1170"/>
        <v>9.5109972379619802E-3</v>
      </c>
      <c r="AE1883" s="10" t="b">
        <f t="shared" si="1171"/>
        <v>1</v>
      </c>
      <c r="AP1883"/>
      <c r="AQ1883"/>
      <c r="AU1883" s="16" cm="1">
        <f t="array" ref="AU1883">$C1883*EXP(poly_from_str(100000000/$E1883,AU$4342))</f>
        <v>0</v>
      </c>
    </row>
    <row r="1884" spans="1:48" x14ac:dyDescent="0.25">
      <c r="A1884" t="s">
        <v>2738</v>
      </c>
      <c r="B1884" s="2" t="str">
        <f t="shared" si="1167"/>
        <v/>
      </c>
      <c r="C1884">
        <v>2</v>
      </c>
      <c r="E1884" t="s">
        <v>2739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1181">$G1884&amp;""</f>
        <v>e</v>
      </c>
      <c r="N1884" t="str">
        <f t="shared" ref="N1884:N1885" si="1182">$H1884&amp;""</f>
        <v>7/2</v>
      </c>
      <c r="O1884">
        <v>66681.14</v>
      </c>
      <c r="P1884" t="str">
        <f t="shared" ref="P1884:P1885" si="1183">$J1884&amp;""</f>
        <v>o</v>
      </c>
      <c r="Q1884" t="str">
        <f t="shared" ref="Q1884:Q1885" si="1184">$K1884&amp;""</f>
        <v>5/2</v>
      </c>
      <c r="R1884">
        <v>18</v>
      </c>
      <c r="AA1884" s="10">
        <f t="shared" si="1168"/>
        <v>3327.8560000000002</v>
      </c>
      <c r="AB1884" s="3">
        <f t="shared" si="1169"/>
        <v>30040.74</v>
      </c>
      <c r="AC1884" s="3" cm="1">
        <f t="array" ref="AC1884">100000000/LvacE(AA1884)</f>
        <v>30040.735573369213</v>
      </c>
      <c r="AD1884" s="10">
        <f t="shared" si="1170"/>
        <v>9.5135269635118237E-3</v>
      </c>
      <c r="AE1884" s="10" t="b">
        <f t="shared" si="1171"/>
        <v>1</v>
      </c>
      <c r="AJ1884" t="s">
        <v>4805</v>
      </c>
      <c r="AK1884" t="s">
        <v>4851</v>
      </c>
      <c r="AL1884">
        <v>36640.379999999997</v>
      </c>
      <c r="AM1884">
        <v>66681.14</v>
      </c>
      <c r="AN1884" s="10" cm="1">
        <f t="array" ref="AN1884">Lair(100000000/($AM1884-$AL1884))</f>
        <v>3327.8532883431144</v>
      </c>
      <c r="AO1884" s="10">
        <f t="shared" ref="AO1884:AO1885" si="1185">100000000/($AM1884-$AL1884)</f>
        <v>3328.8105893459419</v>
      </c>
      <c r="AP1884" s="12">
        <v>7280000</v>
      </c>
      <c r="AQ1884" s="3">
        <v>6.5000000000000002E-2</v>
      </c>
      <c r="AR1884" s="3">
        <f t="shared" ref="AR1884:AR1885" si="1186">LN(AU1884*100000000/($AM1884-$AL1884)/AP1884)</f>
        <v>-6.8488563096454405</v>
      </c>
      <c r="AS1884" s="13">
        <f t="shared" ref="AS1884:AS1885" si="1187">EXP(AR$4341*$AM1884+AR$4342)*$AP1884/(100000000/($AM1884-$AL1884))</f>
        <v>1.2972972362676689</v>
      </c>
      <c r="AT1884" s="3">
        <f t="shared" ref="AT1884:AT1885" si="1188">LN(AS1884/$C1884)</f>
        <v>-0.43286412933995183</v>
      </c>
      <c r="AU1884" s="16" cm="1">
        <f t="array" ref="AU1884">$C1884*EXP(poly_from_str(100000000/$E1884,AU$4342))</f>
        <v>2.3196464265940144</v>
      </c>
      <c r="AV1884" s="13">
        <f t="shared" ref="AV1884:AV1885" si="1189">LN(AS1884/AU1884)</f>
        <v>-0.58113172051364381</v>
      </c>
    </row>
    <row r="1885" spans="1:48" x14ac:dyDescent="0.25">
      <c r="A1885" t="s">
        <v>2740</v>
      </c>
      <c r="B1885" s="2" t="str">
        <f t="shared" si="1167"/>
        <v/>
      </c>
      <c r="C1885">
        <v>20</v>
      </c>
      <c r="D1885" t="s">
        <v>134</v>
      </c>
      <c r="E1885" t="s">
        <v>2741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1181"/>
        <v>e</v>
      </c>
      <c r="N1885" t="str">
        <f t="shared" si="1182"/>
        <v>9/2</v>
      </c>
      <c r="O1885">
        <v>68492.429999999993</v>
      </c>
      <c r="P1885" t="str">
        <f t="shared" si="1183"/>
        <v>o</v>
      </c>
      <c r="Q1885" t="str">
        <f t="shared" si="1184"/>
        <v>7/2</v>
      </c>
      <c r="R1885">
        <v>18</v>
      </c>
      <c r="AA1885" s="10">
        <f t="shared" si="1168"/>
        <v>3327.489</v>
      </c>
      <c r="AB1885" s="3">
        <f t="shared" si="1169"/>
        <v>30044.05</v>
      </c>
      <c r="AC1885" s="3" cm="1">
        <f t="array" ref="AC1885">100000000/LvacE(AA1885)</f>
        <v>30044.048758536639</v>
      </c>
      <c r="AD1885" s="10">
        <f t="shared" si="1170"/>
        <v>9.5145226263011889E-3</v>
      </c>
      <c r="AE1885" s="10" t="b">
        <f t="shared" si="1171"/>
        <v>1</v>
      </c>
      <c r="AJ1885" t="s">
        <v>4816</v>
      </c>
      <c r="AK1885" t="s">
        <v>4831</v>
      </c>
      <c r="AL1885">
        <v>38448.379999999997</v>
      </c>
      <c r="AM1885">
        <v>68492.429999999993</v>
      </c>
      <c r="AN1885" s="10" cm="1">
        <f t="array" ref="AN1885">Lair(100000000/($AM1885-$AL1885))</f>
        <v>3327.4888568649421</v>
      </c>
      <c r="AO1885" s="10">
        <f t="shared" si="1185"/>
        <v>3328.4460650278511</v>
      </c>
      <c r="AP1885" s="12">
        <v>239000000</v>
      </c>
      <c r="AQ1885" s="3">
        <v>0.54400000000000004</v>
      </c>
      <c r="AR1885" s="3">
        <f t="shared" si="1186"/>
        <v>-8.0365250425876695</v>
      </c>
      <c r="AS1885" s="13">
        <f t="shared" si="1187"/>
        <v>37.180848636174744</v>
      </c>
      <c r="AT1885" s="3">
        <f t="shared" si="1188"/>
        <v>0.62006153355075944</v>
      </c>
      <c r="AU1885" s="16" cm="1">
        <f t="array" ref="AU1885">$C1885*EXP(poly_from_str(100000000/$E1885,AU$4342))</f>
        <v>23.22404676537381</v>
      </c>
      <c r="AV1885" s="13">
        <f t="shared" si="1189"/>
        <v>0.47060556671868048</v>
      </c>
    </row>
    <row r="1886" spans="1:48" x14ac:dyDescent="0.25">
      <c r="A1886" t="s">
        <v>2742</v>
      </c>
      <c r="B1886" s="2" t="str">
        <f t="shared" si="1167"/>
        <v/>
      </c>
      <c r="C1886">
        <v>0</v>
      </c>
      <c r="E1886" t="s">
        <v>2743</v>
      </c>
      <c r="R1886">
        <v>18</v>
      </c>
      <c r="S1886" t="s">
        <v>22</v>
      </c>
      <c r="AA1886" s="10">
        <f t="shared" si="1168"/>
        <v>3327.43</v>
      </c>
      <c r="AB1886" s="3">
        <f t="shared" si="1169"/>
        <v>30044.58</v>
      </c>
      <c r="AC1886" s="3" cm="1">
        <f t="array" ref="AC1886">100000000/LvacE(AA1886)</f>
        <v>30044.581464122151</v>
      </c>
      <c r="AD1886" s="10">
        <f t="shared" si="1170"/>
        <v>9.5146827227202604E-3</v>
      </c>
      <c r="AE1886" s="10" t="b">
        <f t="shared" si="1171"/>
        <v>1</v>
      </c>
      <c r="AP1886"/>
      <c r="AQ1886"/>
      <c r="AU1886" s="16" cm="1">
        <f t="array" ref="AU1886">$C1886*EXP(poly_from_str(100000000/$E1886,AU$4342))</f>
        <v>0</v>
      </c>
    </row>
    <row r="1887" spans="1:48" x14ac:dyDescent="0.25">
      <c r="A1887" t="s">
        <v>2744</v>
      </c>
      <c r="B1887" s="2" t="str">
        <f t="shared" si="1167"/>
        <v/>
      </c>
      <c r="C1887">
        <v>0</v>
      </c>
      <c r="E1887" t="s">
        <v>2745</v>
      </c>
      <c r="R1887">
        <v>18</v>
      </c>
      <c r="S1887" t="s">
        <v>22</v>
      </c>
      <c r="AA1887" s="10">
        <f t="shared" si="1168"/>
        <v>3327.3789999999999</v>
      </c>
      <c r="AB1887" s="3">
        <f t="shared" si="1169"/>
        <v>30045.040000000001</v>
      </c>
      <c r="AC1887" s="3" cm="1">
        <f t="array" ref="AC1887">100000000/LvacE(AA1887)</f>
        <v>30045.041953663833</v>
      </c>
      <c r="AD1887" s="10">
        <f t="shared" si="1170"/>
        <v>9.5148211180126827E-3</v>
      </c>
      <c r="AE1887" s="10" t="b">
        <f t="shared" si="1171"/>
        <v>1</v>
      </c>
      <c r="AP1887"/>
      <c r="AQ1887"/>
      <c r="AU1887" s="16" cm="1">
        <f t="array" ref="AU1887">$C1887*EXP(poly_from_str(100000000/$E1887,AU$4342))</f>
        <v>0</v>
      </c>
    </row>
    <row r="1888" spans="1:48" x14ac:dyDescent="0.25">
      <c r="A1888" t="s">
        <v>2746</v>
      </c>
      <c r="B1888" s="2" t="str">
        <f t="shared" si="1167"/>
        <v/>
      </c>
      <c r="C1888">
        <v>0</v>
      </c>
      <c r="E1888" t="s">
        <v>2747</v>
      </c>
      <c r="R1888">
        <v>18</v>
      </c>
      <c r="S1888" t="s">
        <v>22</v>
      </c>
      <c r="AA1888" s="10">
        <f t="shared" si="1168"/>
        <v>3327.3380000000002</v>
      </c>
      <c r="AB1888" s="3">
        <f t="shared" si="1169"/>
        <v>30045.41</v>
      </c>
      <c r="AC1888" s="3" cm="1">
        <f t="array" ref="AC1888">100000000/LvacE(AA1888)</f>
        <v>30045.412161373799</v>
      </c>
      <c r="AD1888" s="10">
        <f t="shared" si="1170"/>
        <v>9.5149323815875934E-3</v>
      </c>
      <c r="AE1888" s="10" t="b">
        <f t="shared" si="1171"/>
        <v>1</v>
      </c>
      <c r="AP1888"/>
      <c r="AQ1888"/>
      <c r="AU1888" s="16" cm="1">
        <f t="array" ref="AU1888">$C1888*EXP(poly_from_str(100000000/$E1888,AU$4342))</f>
        <v>0</v>
      </c>
    </row>
    <row r="1889" spans="1:48" x14ac:dyDescent="0.25">
      <c r="A1889" t="s">
        <v>2748</v>
      </c>
      <c r="B1889" s="2" t="str">
        <f t="shared" si="1167"/>
        <v/>
      </c>
      <c r="C1889">
        <v>1</v>
      </c>
      <c r="D1889" t="s">
        <v>14</v>
      </c>
      <c r="E1889" t="s">
        <v>2749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1168"/>
        <v>3324.8850000000002</v>
      </c>
      <c r="AB1889" s="3">
        <f t="shared" si="1169"/>
        <v>30067.58</v>
      </c>
      <c r="AC1889" s="3" cm="1">
        <f t="array" ref="AC1889">100000000/LvacE(AA1889)</f>
        <v>30067.578031032805</v>
      </c>
      <c r="AD1889" s="10">
        <f t="shared" si="1170"/>
        <v>9.5215966914694496E-3</v>
      </c>
      <c r="AE1889" s="10" t="b">
        <f t="shared" si="1171"/>
        <v>1</v>
      </c>
      <c r="AJ1889" t="s">
        <v>4715</v>
      </c>
      <c r="AK1889" t="s">
        <v>4779</v>
      </c>
      <c r="AL1889">
        <v>10138.18</v>
      </c>
      <c r="AM1889">
        <v>40205.74</v>
      </c>
      <c r="AN1889" s="10" cm="1">
        <f t="array" ref="AN1889">Lair(100000000/($AM1889-$AL1889))</f>
        <v>3324.8869883127131</v>
      </c>
      <c r="AO1889" s="10">
        <f>100000000/($AM1889-$AL1889)</f>
        <v>3325.8435336954512</v>
      </c>
      <c r="AU1889" s="16" cm="1">
        <f t="array" ref="AU1889">$C1889*EXP(poly_from_str(100000000/$E1889,AU$4342))</f>
        <v>1.1710068641617515</v>
      </c>
    </row>
    <row r="1890" spans="1:48" x14ac:dyDescent="0.25">
      <c r="A1890" t="s">
        <v>2750</v>
      </c>
      <c r="B1890" s="2" t="str">
        <f t="shared" si="1167"/>
        <v/>
      </c>
      <c r="C1890">
        <v>2</v>
      </c>
      <c r="E1890" t="s">
        <v>2751</v>
      </c>
      <c r="R1890">
        <v>18</v>
      </c>
      <c r="S1890" t="s">
        <v>22</v>
      </c>
      <c r="AA1890" s="10">
        <f t="shared" si="1168"/>
        <v>3324.1320000000001</v>
      </c>
      <c r="AB1890" s="3">
        <f t="shared" si="1169"/>
        <v>30074.39</v>
      </c>
      <c r="AC1890" s="3" cm="1">
        <f t="array" ref="AC1890">100000000/LvacE(AA1890)</f>
        <v>30074.388873551281</v>
      </c>
      <c r="AD1890" s="10">
        <f t="shared" si="1170"/>
        <v>9.5236454017998198E-3</v>
      </c>
      <c r="AE1890" s="10" t="b">
        <f t="shared" si="1171"/>
        <v>1</v>
      </c>
      <c r="AP1890"/>
      <c r="AQ1890"/>
      <c r="AU1890" s="16" cm="1">
        <f t="array" ref="AU1890">$C1890*EXP(poly_from_str(100000000/$E1890,AU$4342))</f>
        <v>2.3476890955663436</v>
      </c>
    </row>
    <row r="1891" spans="1:48" x14ac:dyDescent="0.25">
      <c r="A1891" t="s">
        <v>2752</v>
      </c>
      <c r="B1891" s="2" t="str">
        <f t="shared" si="1167"/>
        <v/>
      </c>
      <c r="C1891">
        <v>4</v>
      </c>
      <c r="E1891" t="s">
        <v>2753</v>
      </c>
      <c r="R1891">
        <v>18</v>
      </c>
      <c r="S1891" t="s">
        <v>22</v>
      </c>
      <c r="AA1891" s="10">
        <f t="shared" si="1168"/>
        <v>3322.5639999999999</v>
      </c>
      <c r="AB1891" s="3">
        <f t="shared" si="1169"/>
        <v>30088.58</v>
      </c>
      <c r="AC1891" s="3" cm="1">
        <f t="array" ref="AC1891">100000000/LvacE(AA1891)</f>
        <v>30088.581251799682</v>
      </c>
      <c r="AD1891" s="10">
        <f t="shared" si="1170"/>
        <v>9.527915978713981E-3</v>
      </c>
      <c r="AE1891" s="10" t="b">
        <f t="shared" si="1171"/>
        <v>1</v>
      </c>
      <c r="AP1891"/>
      <c r="AQ1891"/>
      <c r="AU1891" s="16" cm="1">
        <f t="array" ref="AU1891">$C1891*EXP(poly_from_str(100000000/$E1891,AU$4342))</f>
        <v>4.7190291470596302</v>
      </c>
    </row>
    <row r="1892" spans="1:48" x14ac:dyDescent="0.25">
      <c r="A1892" t="s">
        <v>2754</v>
      </c>
      <c r="B1892" s="2" t="str">
        <f t="shared" si="1167"/>
        <v/>
      </c>
      <c r="C1892">
        <v>4</v>
      </c>
      <c r="E1892" t="s">
        <v>2755</v>
      </c>
      <c r="R1892">
        <v>18</v>
      </c>
      <c r="S1892" t="s">
        <v>22</v>
      </c>
      <c r="AA1892" s="10">
        <f t="shared" si="1168"/>
        <v>3322.3919999999998</v>
      </c>
      <c r="AB1892" s="3">
        <f t="shared" si="1169"/>
        <v>30090.14</v>
      </c>
      <c r="AC1892" s="3" cm="1">
        <f t="array" ref="AC1892">100000000/LvacE(AA1892)</f>
        <v>30090.138884090531</v>
      </c>
      <c r="AD1892" s="10">
        <f t="shared" si="1170"/>
        <v>9.5283848028905882E-3</v>
      </c>
      <c r="AE1892" s="10" t="b">
        <f t="shared" si="1171"/>
        <v>1</v>
      </c>
      <c r="AP1892"/>
      <c r="AQ1892"/>
      <c r="AU1892" s="16" cm="1">
        <f t="array" ref="AU1892">$C1892*EXP(poly_from_str(100000000/$E1892,AU$4342))</f>
        <v>4.7216291614000534</v>
      </c>
    </row>
    <row r="1893" spans="1:48" x14ac:dyDescent="0.25">
      <c r="A1893" t="s">
        <v>2756</v>
      </c>
      <c r="B1893" s="2" t="str">
        <f t="shared" si="1167"/>
        <v/>
      </c>
      <c r="C1893">
        <v>6</v>
      </c>
      <c r="D1893" t="s">
        <v>134</v>
      </c>
      <c r="E1893" t="s">
        <v>2757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1168"/>
        <v>3322.203</v>
      </c>
      <c r="AB1893" s="3">
        <f t="shared" si="1169"/>
        <v>30091.85</v>
      </c>
      <c r="AC1893" s="3" cm="1">
        <f t="array" ref="AC1893">100000000/LvacE(AA1893)</f>
        <v>30091.850654385318</v>
      </c>
      <c r="AD1893" s="10">
        <f t="shared" si="1170"/>
        <v>9.5289000483091066E-3</v>
      </c>
      <c r="AE1893" s="10" t="b">
        <f t="shared" si="1171"/>
        <v>1</v>
      </c>
      <c r="AJ1893" t="s">
        <v>4973</v>
      </c>
      <c r="AK1893" t="s">
        <v>4916</v>
      </c>
      <c r="AL1893">
        <v>51312.800000000003</v>
      </c>
      <c r="AM1893">
        <v>81404.52</v>
      </c>
      <c r="AN1893" s="10" cm="1">
        <f t="array" ref="AN1893">Lair(100000000/($AM1893-$AL1893))</f>
        <v>3322.2174194231206</v>
      </c>
      <c r="AO1893" s="10">
        <f>100000000/($AM1893-$AL1893)</f>
        <v>3323.1732848770357</v>
      </c>
      <c r="AP1893" s="12">
        <v>504000000</v>
      </c>
      <c r="AQ1893" s="3">
        <v>0.753</v>
      </c>
      <c r="AR1893" s="3">
        <f>LN(AU1893*100000000/($AM1893-$AL1893)/AP1893)</f>
        <v>-9.9711889819999762</v>
      </c>
      <c r="AS1893" s="13">
        <f>EXP(AR$4341*$AM1893+AR$4342)*$AP1893/(100000000/($AM1893-$AL1893))</f>
        <v>29.799196147297906</v>
      </c>
      <c r="AT1893" s="3">
        <f>LN(AS1893/$C1893)</f>
        <v>1.6027219489965849</v>
      </c>
      <c r="AU1893" s="16" cm="1">
        <f t="array" ref="AU1893">$C1893*EXP(poly_from_str(100000000/$E1893,AU$4342))</f>
        <v>7.0867187232137958</v>
      </c>
      <c r="AV1893" s="13">
        <f>LN(AS1893/AU1893)</f>
        <v>1.436258988303134</v>
      </c>
    </row>
    <row r="1894" spans="1:48" x14ac:dyDescent="0.25">
      <c r="A1894" t="s">
        <v>2758</v>
      </c>
      <c r="B1894" s="2" t="str">
        <f t="shared" si="1167"/>
        <v/>
      </c>
      <c r="C1894">
        <v>0</v>
      </c>
      <c r="E1894" t="s">
        <v>2759</v>
      </c>
      <c r="R1894">
        <v>18</v>
      </c>
      <c r="S1894" t="s">
        <v>22</v>
      </c>
      <c r="AA1894" s="10">
        <f t="shared" si="1168"/>
        <v>3322.1480000000001</v>
      </c>
      <c r="AB1894" s="3">
        <f t="shared" si="1169"/>
        <v>30092.35</v>
      </c>
      <c r="AC1894" s="3" cm="1">
        <f t="array" ref="AC1894">100000000/LvacE(AA1894)</f>
        <v>30092.348825182235</v>
      </c>
      <c r="AD1894" s="10">
        <f t="shared" si="1170"/>
        <v>9.5290500039706579E-3</v>
      </c>
      <c r="AE1894" s="10" t="b">
        <f t="shared" si="1171"/>
        <v>1</v>
      </c>
      <c r="AP1894"/>
      <c r="AQ1894"/>
      <c r="AU1894" s="16" cm="1">
        <f t="array" ref="AU1894">$C1894*EXP(poly_from_str(100000000/$E1894,AU$4342))</f>
        <v>0</v>
      </c>
    </row>
    <row r="1895" spans="1:48" x14ac:dyDescent="0.25">
      <c r="A1895" t="s">
        <v>2760</v>
      </c>
      <c r="B1895" s="2" t="str">
        <f t="shared" si="1167"/>
        <v/>
      </c>
      <c r="C1895">
        <v>3</v>
      </c>
      <c r="D1895" t="s">
        <v>170</v>
      </c>
      <c r="E1895" t="s">
        <v>2761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1190">$G1895&amp;""</f>
        <v>e</v>
      </c>
      <c r="N1895" t="str">
        <f t="shared" ref="N1895:N1896" si="1191">$H1895&amp;""</f>
        <v>7/2</v>
      </c>
      <c r="O1895">
        <v>65909.440000000002</v>
      </c>
      <c r="P1895" t="str">
        <f t="shared" ref="P1895:P1896" si="1192">$J1895&amp;""</f>
        <v>o</v>
      </c>
      <c r="Q1895" t="str">
        <f t="shared" ref="Q1895:Q1896" si="1193">$K1895&amp;""</f>
        <v>5/2</v>
      </c>
      <c r="R1895">
        <v>18</v>
      </c>
      <c r="AA1895" s="10">
        <f t="shared" si="1168"/>
        <v>3320.3919999999998</v>
      </c>
      <c r="AB1895" s="3">
        <f t="shared" si="1169"/>
        <v>30108.26</v>
      </c>
      <c r="AC1895" s="3" cm="1">
        <f t="array" ref="AC1895">100000000/LvacE(AA1895)</f>
        <v>30108.262734588014</v>
      </c>
      <c r="AD1895" s="10">
        <f t="shared" si="1170"/>
        <v>9.5338415968036321E-3</v>
      </c>
      <c r="AE1895" s="10" t="b">
        <f t="shared" si="1171"/>
        <v>1</v>
      </c>
      <c r="AJ1895" t="s">
        <v>4810</v>
      </c>
      <c r="AK1895" t="s">
        <v>4907</v>
      </c>
      <c r="AL1895">
        <v>35801.120000000003</v>
      </c>
      <c r="AM1895">
        <v>65909.440000000002</v>
      </c>
      <c r="AN1895" s="10" cm="1">
        <f t="array" ref="AN1895">Lair(100000000/($AM1895-$AL1895))</f>
        <v>3320.3856788414382</v>
      </c>
      <c r="AO1895" s="10">
        <f t="shared" ref="AO1895:AO1896" si="1194">100000000/($AM1895-$AL1895)</f>
        <v>3321.341077815036</v>
      </c>
      <c r="AP1895" s="12">
        <v>27600000</v>
      </c>
      <c r="AQ1895" s="3">
        <v>0.33</v>
      </c>
      <c r="AR1895" s="3">
        <f t="shared" ref="AR1895:AR1896" si="1195">LN(AU1895*100000000/($AM1895-$AL1895)/AP1895)</f>
        <v>-7.7543552949453307</v>
      </c>
      <c r="AS1895" s="13">
        <f t="shared" ref="AS1895:AS1896" si="1196">EXP(AR$4341*$AM1895+AR$4342)*$AP1895/(100000000/($AM1895-$AL1895))</f>
        <v>5.2232925809452508</v>
      </c>
      <c r="AT1895" s="3">
        <f t="shared" ref="AT1895:AT1896" si="1197">LN(AS1895/$C1895)</f>
        <v>0.55451567701249027</v>
      </c>
      <c r="AU1895" s="16" cm="1">
        <f t="array" ref="AU1895">$C1895*EXP(poly_from_str(100000000/$E1895,AU$4342))</f>
        <v>3.5638702965800748</v>
      </c>
      <c r="AV1895" s="13">
        <f t="shared" ref="AV1895:AV1896" si="1198">LN(AS1895/AU1895)</f>
        <v>0.38228084938856577</v>
      </c>
    </row>
    <row r="1896" spans="1:48" x14ac:dyDescent="0.25">
      <c r="A1896" t="s">
        <v>2762</v>
      </c>
      <c r="B1896" s="2" t="str">
        <f t="shared" si="1167"/>
        <v/>
      </c>
      <c r="C1896">
        <v>4</v>
      </c>
      <c r="D1896" t="s">
        <v>134</v>
      </c>
      <c r="E1896" t="s">
        <v>2763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1190"/>
        <v>e</v>
      </c>
      <c r="N1896" t="str">
        <f t="shared" si="1191"/>
        <v>5/2</v>
      </c>
      <c r="O1896">
        <v>63768.66</v>
      </c>
      <c r="P1896" t="str">
        <f t="shared" si="1192"/>
        <v>o</v>
      </c>
      <c r="Q1896" t="str">
        <f t="shared" si="1193"/>
        <v>7/2</v>
      </c>
      <c r="R1896">
        <v>18</v>
      </c>
      <c r="AA1896" s="10">
        <f t="shared" si="1168"/>
        <v>3320.3359999999998</v>
      </c>
      <c r="AB1896" s="3">
        <f t="shared" si="1169"/>
        <v>30108.77</v>
      </c>
      <c r="AC1896" s="3" cm="1">
        <f t="array" ref="AC1896">100000000/LvacE(AA1896)</f>
        <v>30108.770516615732</v>
      </c>
      <c r="AD1896" s="10">
        <f t="shared" si="1170"/>
        <v>9.5339945289596786E-3</v>
      </c>
      <c r="AE1896" s="10" t="b">
        <f t="shared" si="1171"/>
        <v>1</v>
      </c>
      <c r="AJ1896" t="s">
        <v>4895</v>
      </c>
      <c r="AK1896" t="s">
        <v>4850</v>
      </c>
      <c r="AL1896">
        <v>33659.99</v>
      </c>
      <c r="AM1896">
        <v>63768.66</v>
      </c>
      <c r="AN1896" s="10" cm="1">
        <f t="array" ref="AN1896">Lair(100000000/($AM1896-$AL1896))</f>
        <v>3320.347079546706</v>
      </c>
      <c r="AO1896" s="10">
        <f t="shared" si="1194"/>
        <v>3321.3024686909112</v>
      </c>
      <c r="AP1896" s="12">
        <v>55800000</v>
      </c>
      <c r="AQ1896" s="3">
        <v>6.8000000000000005E-2</v>
      </c>
      <c r="AR1896" s="3">
        <f t="shared" si="1195"/>
        <v>-8.1704641095321904</v>
      </c>
      <c r="AS1896" s="13">
        <f t="shared" si="1196"/>
        <v>12.400741752785958</v>
      </c>
      <c r="AT1896" s="3">
        <f t="shared" si="1197"/>
        <v>1.1314619284750902</v>
      </c>
      <c r="AU1896" s="16" cm="1">
        <f t="array" ref="AU1896">$C1896*EXP(poly_from_str(100000000/$E1896,AU$4342))</f>
        <v>4.7526769275340151</v>
      </c>
      <c r="AV1896" s="13">
        <f t="shared" si="1198"/>
        <v>0.95904826659943843</v>
      </c>
    </row>
    <row r="1897" spans="1:48" x14ac:dyDescent="0.25">
      <c r="A1897" t="s">
        <v>2764</v>
      </c>
      <c r="B1897" s="2" t="str">
        <f t="shared" si="1167"/>
        <v/>
      </c>
      <c r="C1897">
        <v>0</v>
      </c>
      <c r="E1897" t="s">
        <v>2765</v>
      </c>
      <c r="R1897">
        <v>18</v>
      </c>
      <c r="S1897" t="s">
        <v>22</v>
      </c>
      <c r="AA1897" s="10">
        <f t="shared" si="1168"/>
        <v>3320.2860000000001</v>
      </c>
      <c r="AB1897" s="3">
        <f t="shared" si="1169"/>
        <v>30109.22</v>
      </c>
      <c r="AC1897" s="3" cm="1">
        <f t="array" ref="AC1897">100000000/LvacE(AA1897)</f>
        <v>30109.223907899417</v>
      </c>
      <c r="AD1897" s="10">
        <f t="shared" si="1170"/>
        <v>9.5341310820663376E-3</v>
      </c>
      <c r="AE1897" s="10" t="b">
        <f t="shared" si="1171"/>
        <v>1</v>
      </c>
      <c r="AP1897"/>
      <c r="AQ1897"/>
      <c r="AU1897" s="16" cm="1">
        <f t="array" ref="AU1897">$C1897*EXP(poly_from_str(100000000/$E1897,AU$4342))</f>
        <v>0</v>
      </c>
    </row>
    <row r="1898" spans="1:48" x14ac:dyDescent="0.25">
      <c r="A1898" t="s">
        <v>2766</v>
      </c>
      <c r="B1898" s="2" t="str">
        <f t="shared" si="1167"/>
        <v/>
      </c>
      <c r="C1898">
        <v>0</v>
      </c>
      <c r="E1898" t="s">
        <v>2767</v>
      </c>
      <c r="R1898">
        <v>18</v>
      </c>
      <c r="S1898" t="s">
        <v>22</v>
      </c>
      <c r="AA1898" s="10">
        <f t="shared" si="1168"/>
        <v>3320.2460000000001</v>
      </c>
      <c r="AB1898" s="3">
        <f t="shared" si="1169"/>
        <v>30109.59</v>
      </c>
      <c r="AC1898" s="3" cm="1">
        <f t="array" ref="AC1898">100000000/LvacE(AA1898)</f>
        <v>30109.586630757669</v>
      </c>
      <c r="AD1898" s="10">
        <f t="shared" si="1170"/>
        <v>9.5342403289933441E-3</v>
      </c>
      <c r="AE1898" s="10" t="b">
        <f t="shared" si="1171"/>
        <v>1</v>
      </c>
      <c r="AP1898"/>
      <c r="AQ1898"/>
      <c r="AU1898" s="16" cm="1">
        <f t="array" ref="AU1898">$C1898*EXP(poly_from_str(100000000/$E1898,AU$4342))</f>
        <v>0</v>
      </c>
    </row>
    <row r="1899" spans="1:48" x14ac:dyDescent="0.25">
      <c r="A1899" t="s">
        <v>2768</v>
      </c>
      <c r="B1899" s="2" t="str">
        <f t="shared" si="1167"/>
        <v/>
      </c>
      <c r="C1899">
        <v>0</v>
      </c>
      <c r="E1899" t="s">
        <v>2769</v>
      </c>
      <c r="R1899">
        <v>18</v>
      </c>
      <c r="S1899" t="s">
        <v>22</v>
      </c>
      <c r="AA1899" s="10">
        <f t="shared" si="1168"/>
        <v>3320.2170000000001</v>
      </c>
      <c r="AB1899" s="3">
        <f t="shared" si="1169"/>
        <v>30109.85</v>
      </c>
      <c r="AC1899" s="3" cm="1">
        <f t="array" ref="AC1899">100000000/LvacE(AA1899)</f>
        <v>30109.849610294663</v>
      </c>
      <c r="AD1899" s="10">
        <f t="shared" si="1170"/>
        <v>9.5343195354843785E-3</v>
      </c>
      <c r="AE1899" s="10" t="b">
        <f t="shared" si="1171"/>
        <v>1</v>
      </c>
      <c r="AP1899"/>
      <c r="AQ1899"/>
      <c r="AU1899" s="16" cm="1">
        <f t="array" ref="AU1899">$C1899*EXP(poly_from_str(100000000/$E1899,AU$4342))</f>
        <v>0</v>
      </c>
    </row>
    <row r="1900" spans="1:48" x14ac:dyDescent="0.25">
      <c r="A1900" t="s">
        <v>2770</v>
      </c>
      <c r="B1900" s="2" t="str">
        <f t="shared" si="1167"/>
        <v/>
      </c>
      <c r="C1900">
        <v>1</v>
      </c>
      <c r="D1900" t="s">
        <v>1156</v>
      </c>
      <c r="E1900" t="s">
        <v>2771</v>
      </c>
      <c r="R1900">
        <v>18</v>
      </c>
      <c r="S1900" t="s">
        <v>22</v>
      </c>
      <c r="AA1900" s="10">
        <f t="shared" si="1168"/>
        <v>3318.4029999999998</v>
      </c>
      <c r="AB1900" s="3">
        <f t="shared" si="1169"/>
        <v>30126.31</v>
      </c>
      <c r="AC1900" s="3" cm="1">
        <f t="array" ref="AC1900">100000000/LvacE(AA1900)</f>
        <v>30126.308569262597</v>
      </c>
      <c r="AD1900" s="10">
        <f t="shared" si="1170"/>
        <v>9.539278166223724E-3</v>
      </c>
      <c r="AE1900" s="10" t="b">
        <f t="shared" si="1171"/>
        <v>1</v>
      </c>
      <c r="AP1900"/>
      <c r="AQ1900"/>
      <c r="AU1900" s="16" cm="1">
        <f t="array" ref="AU1900">$C1900*EXP(poly_from_str(100000000/$E1900,AU$4342))</f>
        <v>1.1954755530013135</v>
      </c>
    </row>
    <row r="1901" spans="1:48" x14ac:dyDescent="0.25">
      <c r="A1901" t="s">
        <v>2772</v>
      </c>
      <c r="B1901" s="2" t="str">
        <f t="shared" si="1167"/>
        <v/>
      </c>
      <c r="C1901">
        <v>8</v>
      </c>
      <c r="D1901" t="s">
        <v>170</v>
      </c>
      <c r="E1901" t="s">
        <v>2773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1168"/>
        <v>3317.5549999999998</v>
      </c>
      <c r="AB1901" s="3">
        <f t="shared" si="1169"/>
        <v>30134.01</v>
      </c>
      <c r="AC1901" s="3" cm="1">
        <f t="array" ref="AC1901">100000000/LvacE(AA1901)</f>
        <v>30134.008897710872</v>
      </c>
      <c r="AD1901" s="10">
        <f t="shared" si="1170"/>
        <v>9.5415989934923284E-3</v>
      </c>
      <c r="AE1901" s="10" t="b">
        <f t="shared" si="1171"/>
        <v>1</v>
      </c>
      <c r="AJ1901" t="s">
        <v>4810</v>
      </c>
      <c r="AK1901" t="s">
        <v>4858</v>
      </c>
      <c r="AL1901">
        <v>35801.120000000003</v>
      </c>
      <c r="AM1901">
        <v>65935.25</v>
      </c>
      <c r="AN1901" s="10" cm="1">
        <f t="array" ref="AN1901">Lair(100000000/($AM1901-$AL1901))</f>
        <v>3317.5416614203477</v>
      </c>
      <c r="AO1901" s="10">
        <f>100000000/($AM1901-$AL1901)</f>
        <v>3318.4963362141202</v>
      </c>
      <c r="AP1901" s="12">
        <v>84900000</v>
      </c>
      <c r="AQ1901" s="3">
        <v>0.27600000000000002</v>
      </c>
      <c r="AR1901" s="3">
        <f>LN(AU1901*100000000/($AM1901-$AL1901)/AP1901)</f>
        <v>-7.8890531252463276</v>
      </c>
      <c r="AS1901" s="13">
        <f>EXP(AR$4341*$AM1901+AR$4342)*$AP1901/(100000000/($AM1901-$AL1901))</f>
        <v>16.049957479426837</v>
      </c>
      <c r="AT1901" s="3">
        <f>LN(AS1901/$C1901)</f>
        <v>0.69626465863578479</v>
      </c>
      <c r="AU1901" s="16" cm="1">
        <f t="array" ref="AU1901">$C1901*EXP(poly_from_str(100000000/$E1901,AU$4342))</f>
        <v>9.5894590299643472</v>
      </c>
      <c r="AV1901" s="13">
        <f>LN(AS1901/AU1901)</f>
        <v>0.51504172281696148</v>
      </c>
    </row>
    <row r="1902" spans="1:48" x14ac:dyDescent="0.25">
      <c r="A1902" t="s">
        <v>2774</v>
      </c>
      <c r="B1902" s="2" t="str">
        <f t="shared" si="1167"/>
        <v/>
      </c>
      <c r="C1902">
        <v>1</v>
      </c>
      <c r="D1902" t="s">
        <v>1156</v>
      </c>
      <c r="E1902" t="s">
        <v>2775</v>
      </c>
      <c r="R1902">
        <v>18</v>
      </c>
      <c r="S1902" t="s">
        <v>22</v>
      </c>
      <c r="AA1902" s="10">
        <f t="shared" si="1168"/>
        <v>3316.0309999999999</v>
      </c>
      <c r="AB1902" s="3">
        <f t="shared" si="1169"/>
        <v>30147.86</v>
      </c>
      <c r="AC1902" s="3" cm="1">
        <f t="array" ref="AC1902">100000000/LvacE(AA1902)</f>
        <v>30147.857594050485</v>
      </c>
      <c r="AD1902" s="10">
        <f t="shared" si="1170"/>
        <v>9.5457743902349658E-3</v>
      </c>
      <c r="AE1902" s="10" t="b">
        <f t="shared" si="1171"/>
        <v>1</v>
      </c>
      <c r="AP1902"/>
      <c r="AQ1902"/>
      <c r="AU1902" s="16" cm="1">
        <f t="array" ref="AU1902">$C1902*EXP(poly_from_str(100000000/$E1902,AU$4342))</f>
        <v>1.2044493094722195</v>
      </c>
    </row>
    <row r="1903" spans="1:48" x14ac:dyDescent="0.25">
      <c r="A1903" t="s">
        <v>2776</v>
      </c>
      <c r="B1903" s="2" t="str">
        <f t="shared" si="1167"/>
        <v/>
      </c>
      <c r="C1903">
        <v>2</v>
      </c>
      <c r="E1903" t="s">
        <v>2777</v>
      </c>
      <c r="R1903">
        <v>18</v>
      </c>
      <c r="S1903" t="s">
        <v>22</v>
      </c>
      <c r="AA1903" s="10">
        <f t="shared" si="1168"/>
        <v>3314.3339999999998</v>
      </c>
      <c r="AB1903" s="3">
        <f t="shared" si="1169"/>
        <v>30163.29</v>
      </c>
      <c r="AC1903" s="3" cm="1">
        <f t="array" ref="AC1903">100000000/LvacE(AA1903)</f>
        <v>30163.293339345055</v>
      </c>
      <c r="AD1903" s="10">
        <f t="shared" si="1170"/>
        <v>9.5504305449217036E-3</v>
      </c>
      <c r="AE1903" s="10" t="b">
        <f t="shared" si="1171"/>
        <v>1</v>
      </c>
      <c r="AP1903"/>
      <c r="AQ1903"/>
      <c r="AU1903" s="16" cm="1">
        <f t="array" ref="AU1903">$C1903*EXP(poly_from_str(100000000/$E1903,AU$4342))</f>
        <v>2.4217439831257659</v>
      </c>
    </row>
    <row r="1904" spans="1:48" x14ac:dyDescent="0.25">
      <c r="A1904" t="s">
        <v>2778</v>
      </c>
      <c r="B1904" s="2" t="str">
        <f t="shared" si="1167"/>
        <v/>
      </c>
      <c r="C1904">
        <v>1</v>
      </c>
      <c r="E1904" t="s">
        <v>2779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1199">$G1904&amp;""</f>
        <v>o</v>
      </c>
      <c r="N1904" t="str">
        <f t="shared" ref="N1904:N1905" si="1200">$H1904&amp;""</f>
        <v>7/2</v>
      </c>
      <c r="O1904">
        <v>41023.980000000003</v>
      </c>
      <c r="P1904" t="str">
        <f t="shared" ref="P1904:P1905" si="1201">$J1904&amp;""</f>
        <v>e</v>
      </c>
      <c r="Q1904" t="str">
        <f t="shared" ref="Q1904:Q1905" si="1202">$K1904&amp;""</f>
        <v>7/2</v>
      </c>
      <c r="R1904">
        <v>18</v>
      </c>
      <c r="S1904" t="s">
        <v>6</v>
      </c>
      <c r="AA1904" s="10">
        <f t="shared" si="1168"/>
        <v>3314.154</v>
      </c>
      <c r="AB1904" s="3">
        <f t="shared" si="1169"/>
        <v>30164.93</v>
      </c>
      <c r="AC1904" s="3" cm="1">
        <f t="array" ref="AC1904">100000000/LvacE(AA1904)</f>
        <v>30164.931528888239</v>
      </c>
      <c r="AD1904" s="10">
        <f t="shared" si="1170"/>
        <v>9.5509248406815492E-3</v>
      </c>
      <c r="AE1904" s="10" t="b">
        <f t="shared" si="1171"/>
        <v>1</v>
      </c>
      <c r="AJ1904" t="s">
        <v>4817</v>
      </c>
      <c r="AK1904" t="s">
        <v>4711</v>
      </c>
      <c r="AL1904">
        <v>10859.06</v>
      </c>
      <c r="AM1904">
        <v>41023.980000000003</v>
      </c>
      <c r="AN1904" s="10" cm="1">
        <f t="array" ref="AN1904">Lair(100000000/($AM1904-$AL1904))</f>
        <v>3314.1552610667227</v>
      </c>
      <c r="AO1904" s="10">
        <f t="shared" ref="AO1904:AO1905" si="1203">100000000/($AM1904-$AL1904)</f>
        <v>3315.1090737187428</v>
      </c>
      <c r="AU1904" s="16" cm="1">
        <f t="array" ref="AU1904">$C1904*EXP(poly_from_str(100000000/$E1904,AU$4342))</f>
        <v>1.2115544859071035</v>
      </c>
    </row>
    <row r="1905" spans="1:48" x14ac:dyDescent="0.25">
      <c r="A1905" t="s">
        <v>2780</v>
      </c>
      <c r="B1905" s="2" t="str">
        <f t="shared" si="1167"/>
        <v/>
      </c>
      <c r="C1905">
        <v>4</v>
      </c>
      <c r="E1905" t="s">
        <v>2781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1199"/>
        <v>e</v>
      </c>
      <c r="N1905" t="str">
        <f t="shared" si="1200"/>
        <v>5/2</v>
      </c>
      <c r="O1905">
        <v>66852.87</v>
      </c>
      <c r="P1905" t="str">
        <f t="shared" si="1201"/>
        <v>o</v>
      </c>
      <c r="Q1905" t="str">
        <f t="shared" si="1202"/>
        <v>7/2</v>
      </c>
      <c r="R1905">
        <v>18</v>
      </c>
      <c r="AA1905" s="10">
        <f t="shared" si="1168"/>
        <v>3310.2429999999999</v>
      </c>
      <c r="AB1905" s="3">
        <f t="shared" si="1169"/>
        <v>30200.57</v>
      </c>
      <c r="AC1905" s="3" cm="1">
        <f t="array" ref="AC1905">100000000/LvacE(AA1905)</f>
        <v>30200.569734261469</v>
      </c>
      <c r="AD1905" s="10">
        <f t="shared" si="1170"/>
        <v>9.5616847062680102E-3</v>
      </c>
      <c r="AE1905" s="10" t="b">
        <f t="shared" si="1171"/>
        <v>1</v>
      </c>
      <c r="AJ1905" t="s">
        <v>4771</v>
      </c>
      <c r="AK1905" t="s">
        <v>4830</v>
      </c>
      <c r="AL1905">
        <v>36652.29</v>
      </c>
      <c r="AM1905">
        <v>66852.87</v>
      </c>
      <c r="AN1905" s="10" cm="1">
        <f t="array" ref="AN1905">Lair(100000000/($AM1905-$AL1905))</f>
        <v>3310.241869122015</v>
      </c>
      <c r="AO1905" s="10">
        <f t="shared" si="1203"/>
        <v>3311.1946856649779</v>
      </c>
      <c r="AP1905" s="12">
        <v>23700000</v>
      </c>
      <c r="AQ1905" s="3">
        <v>0.245</v>
      </c>
      <c r="AR1905" s="3">
        <f>LN(AU1905*100000000/($AM1905-$AL1905)/AP1905)</f>
        <v>-7.28556201761082</v>
      </c>
      <c r="AS1905" s="13">
        <f>EXP(AR$4341*$AM1905+AR$4342)*$AP1905/(100000000/($AM1905-$AL1905))</f>
        <v>4.19144465286473</v>
      </c>
      <c r="AT1905" s="3">
        <f>LN(AS1905/$C1905)</f>
        <v>4.6751099275731234E-2</v>
      </c>
      <c r="AU1905" s="16" cm="1">
        <f t="array" ref="AU1905">$C1905*EXP(poly_from_str(100000000/$E1905,AU$4342))</f>
        <v>4.9055109314157255</v>
      </c>
      <c r="AV1905" s="13">
        <f>LN(AS1905/AU1905)</f>
        <v>-0.15731379262310702</v>
      </c>
    </row>
    <row r="1906" spans="1:48" x14ac:dyDescent="0.25">
      <c r="A1906" t="s">
        <v>2782</v>
      </c>
      <c r="B1906" s="2" t="str">
        <f t="shared" si="1167"/>
        <v/>
      </c>
      <c r="C1906">
        <v>0</v>
      </c>
      <c r="E1906" t="s">
        <v>2783</v>
      </c>
      <c r="R1906">
        <v>18</v>
      </c>
      <c r="S1906" t="s">
        <v>22</v>
      </c>
      <c r="AA1906" s="10">
        <f t="shared" si="1168"/>
        <v>3306.259</v>
      </c>
      <c r="AB1906" s="3">
        <f t="shared" si="1169"/>
        <v>30236.959999999999</v>
      </c>
      <c r="AC1906" s="3" cm="1">
        <f t="array" ref="AC1906">100000000/LvacE(AA1906)</f>
        <v>30236.959821352921</v>
      </c>
      <c r="AD1906" s="10">
        <f t="shared" si="1170"/>
        <v>9.5726846900610202E-3</v>
      </c>
      <c r="AE1906" s="10" t="b">
        <f t="shared" si="1171"/>
        <v>1</v>
      </c>
      <c r="AP1906"/>
      <c r="AQ1906"/>
      <c r="AU1906" s="16" cm="1">
        <f t="array" ref="AU1906">$C1906*EXP(poly_from_str(100000000/$E1906,AU$4342))</f>
        <v>0</v>
      </c>
    </row>
    <row r="1907" spans="1:48" x14ac:dyDescent="0.25">
      <c r="A1907" t="s">
        <v>2784</v>
      </c>
      <c r="B1907" s="2" t="str">
        <f t="shared" si="1167"/>
        <v/>
      </c>
      <c r="C1907">
        <v>0</v>
      </c>
      <c r="E1907" t="s">
        <v>2785</v>
      </c>
      <c r="R1907">
        <v>18</v>
      </c>
      <c r="S1907" t="s">
        <v>22</v>
      </c>
      <c r="AA1907" s="10">
        <f t="shared" si="1168"/>
        <v>3306.2020000000002</v>
      </c>
      <c r="AB1907" s="3">
        <f t="shared" si="1169"/>
        <v>30237.48</v>
      </c>
      <c r="AC1907" s="3" cm="1">
        <f t="array" ref="AC1907">100000000/LvacE(AA1907)</f>
        <v>30237.481098976124</v>
      </c>
      <c r="AD1907" s="10">
        <f t="shared" si="1170"/>
        <v>9.5728423579345898E-3</v>
      </c>
      <c r="AE1907" s="10" t="b">
        <f t="shared" si="1171"/>
        <v>1</v>
      </c>
      <c r="AP1907"/>
      <c r="AQ1907"/>
      <c r="AU1907" s="16" cm="1">
        <f t="array" ref="AU1907">$C1907*EXP(poly_from_str(100000000/$E1907,AU$4342))</f>
        <v>0</v>
      </c>
    </row>
    <row r="1908" spans="1:48" x14ac:dyDescent="0.25">
      <c r="A1908" t="s">
        <v>2786</v>
      </c>
      <c r="B1908" s="2" t="str">
        <f t="shared" si="1167"/>
        <v/>
      </c>
      <c r="C1908">
        <v>100</v>
      </c>
      <c r="D1908" t="s">
        <v>170</v>
      </c>
      <c r="E1908" t="s">
        <v>2787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1204">$G1908&amp;""</f>
        <v>e</v>
      </c>
      <c r="N1908" t="str">
        <f t="shared" ref="N1908:N1910" si="1205">$H1908&amp;""</f>
        <v>3/2</v>
      </c>
      <c r="O1908">
        <v>63576.27</v>
      </c>
      <c r="P1908" t="str">
        <f t="shared" ref="P1908:P1910" si="1206">$J1908&amp;""</f>
        <v>o</v>
      </c>
      <c r="Q1908" t="str">
        <f t="shared" ref="Q1908:Q1910" si="1207">$K1908&amp;""</f>
        <v>5/2</v>
      </c>
      <c r="R1908">
        <v>18</v>
      </c>
      <c r="AA1908" s="10">
        <f t="shared" si="1168"/>
        <v>3306.1350000000002</v>
      </c>
      <c r="AB1908" s="3">
        <f t="shared" si="1169"/>
        <v>30238.09</v>
      </c>
      <c r="AC1908" s="3" cm="1">
        <f t="array" ref="AC1908">100000000/LvacE(AA1908)</f>
        <v>30238.093851793688</v>
      </c>
      <c r="AD1908" s="10">
        <f t="shared" si="1170"/>
        <v>9.573027697264886E-3</v>
      </c>
      <c r="AE1908" s="10" t="b">
        <f t="shared" si="1171"/>
        <v>1</v>
      </c>
      <c r="AJ1908" t="s">
        <v>4974</v>
      </c>
      <c r="AK1908" t="s">
        <v>4843</v>
      </c>
      <c r="AL1908">
        <v>33338.370000000003</v>
      </c>
      <c r="AM1908">
        <v>63576.27</v>
      </c>
      <c r="AN1908" s="10" cm="1">
        <f t="array" ref="AN1908">Lair(100000000/($AM1908-$AL1908))</f>
        <v>3306.156190344589</v>
      </c>
      <c r="AO1908" s="10">
        <f t="shared" ref="AO1908:AO1910" si="1208">100000000/($AM1908-$AL1908)</f>
        <v>3307.1079671538041</v>
      </c>
      <c r="AP1908" s="12">
        <v>546000000</v>
      </c>
      <c r="AQ1908" s="3">
        <v>0.64800000000000002</v>
      </c>
      <c r="AR1908" s="3">
        <f>LN(AU1908*100000000/($AM1908-$AL1908)/AP1908)</f>
        <v>-7.1924383006758887</v>
      </c>
      <c r="AS1908" s="13">
        <f t="shared" ref="AS1908:AS1910" si="1209">EXP(AR$4341*$AM1908+AR$4342)*$AP1908/(100000000/($AM1908-$AL1908))</f>
        <v>123.63362765127995</v>
      </c>
      <c r="AT1908" s="3">
        <f t="shared" ref="AT1908" si="1210">LN(AS1908/$C1908)</f>
        <v>0.21215239040766129</v>
      </c>
      <c r="AU1908" s="16" cm="1">
        <f t="array" ref="AU1908">$C1908*EXP(poly_from_str(100000000/$E1908,AU$4342))</f>
        <v>124.19611297581031</v>
      </c>
      <c r="AV1908" s="13">
        <f>LN(AS1908/AU1908)</f>
        <v>-4.5392961228199391E-3</v>
      </c>
    </row>
    <row r="1909" spans="1:48" x14ac:dyDescent="0.25">
      <c r="A1909" t="s">
        <v>2788</v>
      </c>
      <c r="B1909" s="2" t="str">
        <f t="shared" si="1167"/>
        <v/>
      </c>
      <c r="C1909">
        <v>1</v>
      </c>
      <c r="D1909" t="s">
        <v>1156</v>
      </c>
      <c r="E1909" t="s">
        <v>2789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1204"/>
        <v>e</v>
      </c>
      <c r="N1909" t="str">
        <f t="shared" si="1205"/>
        <v>7/2</v>
      </c>
      <c r="O1909">
        <v>68978.55</v>
      </c>
      <c r="P1909" t="str">
        <f t="shared" si="1206"/>
        <v>o</v>
      </c>
      <c r="Q1909" t="str">
        <f t="shared" si="1207"/>
        <v>5/2</v>
      </c>
      <c r="R1909">
        <v>18</v>
      </c>
      <c r="AA1909" s="10">
        <f t="shared" si="1168"/>
        <v>3304.6590000000001</v>
      </c>
      <c r="AB1909" s="3">
        <f t="shared" si="1169"/>
        <v>30251.599999999999</v>
      </c>
      <c r="AC1909" s="3" cm="1">
        <f t="array" ref="AC1909">100000000/LvacE(AA1909)</f>
        <v>30251.599007389323</v>
      </c>
      <c r="AD1909" s="10">
        <f t="shared" si="1170"/>
        <v>9.5771135550429438E-3</v>
      </c>
      <c r="AE1909" s="10" t="b">
        <f t="shared" si="1171"/>
        <v>1</v>
      </c>
      <c r="AJ1909" t="s">
        <v>4750</v>
      </c>
      <c r="AK1909" t="s">
        <v>4918</v>
      </c>
      <c r="AL1909">
        <v>38726.5</v>
      </c>
      <c r="AM1909">
        <v>68978.55</v>
      </c>
      <c r="AN1909" s="10" cm="1">
        <f t="array" ref="AN1909">Lair(100000000/($AM1909-$AL1909))</f>
        <v>3304.6097274119247</v>
      </c>
      <c r="AO1909" s="10">
        <f t="shared" si="1208"/>
        <v>3305.561110734644</v>
      </c>
      <c r="AP1909" s="12">
        <v>28800000</v>
      </c>
      <c r="AQ1909" s="3">
        <v>3.6999999999999998E-2</v>
      </c>
      <c r="AR1909" s="3"/>
      <c r="AS1909" s="13">
        <f t="shared" si="1209"/>
        <v>4.3497711047914187</v>
      </c>
      <c r="AT1909" s="3"/>
      <c r="AU1909" s="16" cm="1">
        <f t="array" ref="AU1909">$C1909*EXP(poly_from_str(100000000/$E1909,AU$4342))</f>
        <v>1.2475656261383881</v>
      </c>
    </row>
    <row r="1910" spans="1:48" x14ac:dyDescent="0.25">
      <c r="A1910" t="s">
        <v>2790</v>
      </c>
      <c r="B1910" s="2" t="str">
        <f t="shared" si="1167"/>
        <v/>
      </c>
      <c r="C1910">
        <v>1</v>
      </c>
      <c r="D1910" t="s">
        <v>1156</v>
      </c>
      <c r="E1910" t="s">
        <v>2791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1204"/>
        <v>e</v>
      </c>
      <c r="N1910" t="str">
        <f t="shared" si="1205"/>
        <v>7/2</v>
      </c>
      <c r="O1910">
        <v>68987.070000000007</v>
      </c>
      <c r="P1910" t="str">
        <f t="shared" si="1206"/>
        <v>o</v>
      </c>
      <c r="Q1910" t="str">
        <f t="shared" si="1207"/>
        <v>7/2</v>
      </c>
      <c r="R1910">
        <v>18</v>
      </c>
      <c r="AA1910" s="10">
        <f t="shared" si="1168"/>
        <v>3303.7359999999999</v>
      </c>
      <c r="AB1910" s="3">
        <f t="shared" si="1169"/>
        <v>30260.05</v>
      </c>
      <c r="AC1910" s="3" cm="1">
        <f t="array" ref="AC1910">100000000/LvacE(AA1910)</f>
        <v>30260.050436737907</v>
      </c>
      <c r="AD1910" s="10">
        <f t="shared" si="1170"/>
        <v>9.5796713836604833E-3</v>
      </c>
      <c r="AE1910" s="10" t="b">
        <f t="shared" si="1171"/>
        <v>1</v>
      </c>
      <c r="AJ1910" t="s">
        <v>4750</v>
      </c>
      <c r="AK1910" t="s">
        <v>4920</v>
      </c>
      <c r="AL1910">
        <v>38726.5</v>
      </c>
      <c r="AM1910">
        <v>68987.070000000007</v>
      </c>
      <c r="AN1910" s="10" cm="1">
        <f t="array" ref="AN1910">Lair(100000000/($AM1910-$AL1910))</f>
        <v>3303.6792685010023</v>
      </c>
      <c r="AO1910" s="10">
        <f t="shared" si="1208"/>
        <v>3304.6304150913211</v>
      </c>
      <c r="AP1910" s="12">
        <v>3330000</v>
      </c>
      <c r="AQ1910" s="3">
        <v>5.0000000000000001E-3</v>
      </c>
      <c r="AR1910" s="3"/>
      <c r="AS1910" s="13">
        <f t="shared" si="1209"/>
        <v>0.5027623613008283</v>
      </c>
      <c r="AT1910" s="3"/>
      <c r="AU1910" s="16" cm="1">
        <f t="array" ref="AU1910">$C1910*EXP(poly_from_str(100000000/$E1910,AU$4342))</f>
        <v>1.2510690015060495</v>
      </c>
    </row>
    <row r="1911" spans="1:48" x14ac:dyDescent="0.25">
      <c r="A1911" t="s">
        <v>2792</v>
      </c>
      <c r="B1911" s="2" t="str">
        <f t="shared" si="1167"/>
        <v/>
      </c>
      <c r="C1911">
        <v>5</v>
      </c>
      <c r="E1911" t="s">
        <v>2793</v>
      </c>
      <c r="R1911">
        <v>18</v>
      </c>
      <c r="S1911" t="s">
        <v>22</v>
      </c>
      <c r="AA1911" s="10">
        <f t="shared" si="1168"/>
        <v>3303.1729999999998</v>
      </c>
      <c r="AB1911" s="3">
        <f t="shared" si="1169"/>
        <v>30265.21</v>
      </c>
      <c r="AC1911" s="3" cm="1">
        <f t="array" ref="AC1911">100000000/LvacE(AA1911)</f>
        <v>30265.207852940432</v>
      </c>
      <c r="AD1911" s="10">
        <f t="shared" si="1170"/>
        <v>9.5812326288905302E-3</v>
      </c>
      <c r="AE1911" s="10" t="b">
        <f t="shared" si="1171"/>
        <v>1</v>
      </c>
      <c r="AP1911"/>
      <c r="AQ1911"/>
      <c r="AU1911" s="16" cm="1">
        <f t="array" ref="AU1911">$C1911*EXP(poly_from_str(100000000/$E1911,AU$4342))</f>
        <v>6.2660376702557938</v>
      </c>
    </row>
    <row r="1912" spans="1:48" x14ac:dyDescent="0.25">
      <c r="A1912" t="s">
        <v>2794</v>
      </c>
      <c r="B1912" s="2" t="str">
        <f t="shared" si="1167"/>
        <v/>
      </c>
      <c r="C1912">
        <v>30</v>
      </c>
      <c r="D1912" t="s">
        <v>14</v>
      </c>
      <c r="E1912" t="s">
        <v>2795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1211">$G1912&amp;""</f>
        <v>e</v>
      </c>
      <c r="N1912" t="str">
        <f t="shared" ref="N1912:N1914" si="1212">$H1912&amp;""</f>
        <v>7/2</v>
      </c>
      <c r="O1912">
        <v>65295.9</v>
      </c>
      <c r="P1912" t="str">
        <f t="shared" ref="P1912:P1914" si="1213">$J1912&amp;""</f>
        <v>o</v>
      </c>
      <c r="Q1912" t="str">
        <f t="shared" ref="Q1912:Q1914" si="1214">$K1912&amp;""</f>
        <v>7/2</v>
      </c>
      <c r="R1912">
        <v>18</v>
      </c>
      <c r="AA1912" s="10">
        <f t="shared" si="1168"/>
        <v>3302.4929999999999</v>
      </c>
      <c r="AB1912" s="3">
        <f t="shared" si="1169"/>
        <v>30271.439999999999</v>
      </c>
      <c r="AC1912" s="3" cm="1">
        <f t="array" ref="AC1912">100000000/LvacE(AA1912)</f>
        <v>30271.439403440741</v>
      </c>
      <c r="AD1912" s="10">
        <f t="shared" si="1170"/>
        <v>9.5831193894189547E-3</v>
      </c>
      <c r="AE1912" s="10" t="b">
        <f t="shared" si="1171"/>
        <v>1</v>
      </c>
      <c r="AJ1912" t="s">
        <v>4770</v>
      </c>
      <c r="AK1912" t="s">
        <v>4825</v>
      </c>
      <c r="AL1912">
        <v>35024.49</v>
      </c>
      <c r="AM1912">
        <v>65295.9</v>
      </c>
      <c r="AN1912" s="10" cm="1">
        <f t="array" ref="AN1912">Lair(100000000/($AM1912-$AL1912))</f>
        <v>3302.4962022852037</v>
      </c>
      <c r="AO1912" s="10">
        <f t="shared" ref="AO1912:AO1914" si="1215">100000000/($AM1912-$AL1912)</f>
        <v>3303.4470478910625</v>
      </c>
      <c r="AP1912" s="12">
        <v>118000000</v>
      </c>
      <c r="AQ1912" s="3">
        <v>0.33900000000000002</v>
      </c>
      <c r="AR1912" s="3">
        <f t="shared" ref="AR1912:AR1914" si="1216">LN(AU1912*100000000/($AM1912-$AL1912)/AP1912)</f>
        <v>-6.8545122348780225</v>
      </c>
      <c r="AS1912" s="13">
        <f t="shared" ref="AS1912:AS1914" si="1217">EXP(AR$4341*$AM1912+AR$4342)*$AP1912/(100000000/($AM1912-$AL1912))</f>
        <v>23.510406753129246</v>
      </c>
      <c r="AT1912" s="3">
        <f t="shared" ref="AT1912:AT1914" si="1218">LN(AS1912/$C1912)</f>
        <v>-0.24375421797829239</v>
      </c>
      <c r="AU1912" s="16" cm="1">
        <f t="array" ref="AU1912">$C1912*EXP(poly_from_str(100000000/$E1912,AU$4342))</f>
        <v>37.673660330617913</v>
      </c>
      <c r="AV1912" s="13">
        <f t="shared" ref="AV1912:AV1914" si="1219">LN(AS1912/AU1912)</f>
        <v>-0.47151802161964457</v>
      </c>
    </row>
    <row r="1913" spans="1:48" x14ac:dyDescent="0.25">
      <c r="A1913" t="s">
        <v>2796</v>
      </c>
      <c r="B1913" s="2" t="str">
        <f t="shared" si="1167"/>
        <v/>
      </c>
      <c r="C1913">
        <v>5</v>
      </c>
      <c r="E1913" t="s">
        <v>2797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1211"/>
        <v>e</v>
      </c>
      <c r="N1913" t="str">
        <f t="shared" si="1212"/>
        <v>5/2</v>
      </c>
      <c r="O1913">
        <v>64817.53</v>
      </c>
      <c r="P1913" t="str">
        <f t="shared" si="1213"/>
        <v>o</v>
      </c>
      <c r="Q1913" t="str">
        <f t="shared" si="1214"/>
        <v>5/2</v>
      </c>
      <c r="R1913">
        <v>18</v>
      </c>
      <c r="AA1913" s="10">
        <f t="shared" si="1168"/>
        <v>3299.6770000000001</v>
      </c>
      <c r="AB1913" s="3">
        <f t="shared" si="1169"/>
        <v>30297.27</v>
      </c>
      <c r="AC1913" s="3" cm="1">
        <f t="array" ref="AC1913">100000000/LvacE(AA1913)</f>
        <v>30297.272693534444</v>
      </c>
      <c r="AD1913" s="10">
        <f t="shared" si="1170"/>
        <v>9.5909452188099702E-3</v>
      </c>
      <c r="AE1913" s="10" t="b">
        <f t="shared" si="1171"/>
        <v>1</v>
      </c>
      <c r="AJ1913" t="s">
        <v>4722</v>
      </c>
      <c r="AK1913" t="s">
        <v>4882</v>
      </c>
      <c r="AL1913">
        <v>34520.269999999997</v>
      </c>
      <c r="AM1913">
        <v>64817.53</v>
      </c>
      <c r="AN1913" s="10" cm="1">
        <f t="array" ref="AN1913">Lair(100000000/($AM1913-$AL1913))</f>
        <v>3299.6783768787577</v>
      </c>
      <c r="AO1913" s="10">
        <f t="shared" si="1215"/>
        <v>3300.6285056800511</v>
      </c>
      <c r="AP1913" s="12">
        <v>15000000</v>
      </c>
      <c r="AQ1913" s="3">
        <v>7.6999999999999999E-2</v>
      </c>
      <c r="AR1913" s="3">
        <f t="shared" si="1216"/>
        <v>-6.5760134360867619</v>
      </c>
      <c r="AS1913" s="13">
        <f t="shared" si="1217"/>
        <v>3.1004970442943494</v>
      </c>
      <c r="AT1913" s="3">
        <f t="shared" si="1218"/>
        <v>-0.47787547692643695</v>
      </c>
      <c r="AU1913" s="16" cm="1">
        <f t="array" ref="AU1913">$C1913*EXP(poly_from_str(100000000/$E1913,AU$4342))</f>
        <v>6.3323988992736737</v>
      </c>
      <c r="AV1913" s="13">
        <f t="shared" si="1219"/>
        <v>-0.71411670188529697</v>
      </c>
    </row>
    <row r="1914" spans="1:48" x14ac:dyDescent="0.25">
      <c r="A1914" t="s">
        <v>2798</v>
      </c>
      <c r="B1914" s="2" t="str">
        <f t="shared" si="1167"/>
        <v/>
      </c>
      <c r="C1914">
        <v>90</v>
      </c>
      <c r="D1914" t="s">
        <v>134</v>
      </c>
      <c r="E1914" t="s">
        <v>2799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1211"/>
        <v>e</v>
      </c>
      <c r="N1914" t="str">
        <f t="shared" si="1212"/>
        <v>13/2</v>
      </c>
      <c r="O1914">
        <v>80988.759999999995</v>
      </c>
      <c r="P1914" t="str">
        <f t="shared" si="1213"/>
        <v>o</v>
      </c>
      <c r="Q1914" t="str">
        <f t="shared" si="1214"/>
        <v>13/2</v>
      </c>
      <c r="R1914">
        <v>18</v>
      </c>
      <c r="AA1914" s="10">
        <f t="shared" si="1168"/>
        <v>3296.0949999999998</v>
      </c>
      <c r="AB1914" s="3">
        <f t="shared" si="1169"/>
        <v>30330.2</v>
      </c>
      <c r="AC1914" s="3" cm="1">
        <f t="array" ref="AC1914">100000000/LvacE(AA1914)</f>
        <v>30330.196860028667</v>
      </c>
      <c r="AD1914" s="10">
        <f t="shared" si="1170"/>
        <v>9.6009288051510447E-3</v>
      </c>
      <c r="AE1914" s="10" t="b">
        <f t="shared" si="1171"/>
        <v>1</v>
      </c>
      <c r="AJ1914" t="s">
        <v>4921</v>
      </c>
      <c r="AK1914" t="s">
        <v>4844</v>
      </c>
      <c r="AL1914">
        <v>50658.720000000001</v>
      </c>
      <c r="AM1914">
        <v>80988.759999999995</v>
      </c>
      <c r="AN1914" s="10" cm="1">
        <f t="array" ref="AN1914">Lair(100000000/($AM1914-$AL1914))</f>
        <v>3296.1120416039503</v>
      </c>
      <c r="AO1914" s="10">
        <f t="shared" si="1215"/>
        <v>3297.0612633547476</v>
      </c>
      <c r="AP1914" s="12">
        <v>1630000000</v>
      </c>
      <c r="AQ1914" s="3">
        <v>0.877</v>
      </c>
      <c r="AR1914" s="3">
        <f t="shared" si="1216"/>
        <v>-8.3643248689568122</v>
      </c>
      <c r="AS1914" s="13">
        <f t="shared" si="1217"/>
        <v>100.21626236295228</v>
      </c>
      <c r="AT1914" s="3">
        <f t="shared" si="1218"/>
        <v>0.10752080418289633</v>
      </c>
      <c r="AU1914" s="16" cm="1">
        <f t="array" ref="AU1914">$C1914*EXP(poly_from_str(100000000/$E1914,AU$4342))</f>
        <v>115.20742028273179</v>
      </c>
      <c r="AV1914" s="13">
        <f t="shared" si="1219"/>
        <v>-0.13940368385074553</v>
      </c>
    </row>
    <row r="1915" spans="1:48" x14ac:dyDescent="0.25">
      <c r="A1915" t="s">
        <v>2800</v>
      </c>
      <c r="B1915" s="2" t="str">
        <f t="shared" si="1167"/>
        <v/>
      </c>
      <c r="C1915">
        <v>0</v>
      </c>
      <c r="E1915" t="s">
        <v>2801</v>
      </c>
      <c r="R1915">
        <v>18</v>
      </c>
      <c r="S1915" t="s">
        <v>22</v>
      </c>
      <c r="AA1915" s="10">
        <f t="shared" si="1168"/>
        <v>3296.0590000000002</v>
      </c>
      <c r="AB1915" s="3">
        <f t="shared" si="1169"/>
        <v>30330.53</v>
      </c>
      <c r="AC1915" s="3" cm="1">
        <f t="array" ref="AC1915">100000000/LvacE(AA1915)</f>
        <v>30330.52811936985</v>
      </c>
      <c r="AD1915" s="10">
        <f t="shared" si="1170"/>
        <v>9.6010293079356046E-3</v>
      </c>
      <c r="AE1915" s="10" t="b">
        <f t="shared" si="1171"/>
        <v>1</v>
      </c>
      <c r="AP1915"/>
      <c r="AQ1915"/>
      <c r="AU1915" s="16" cm="1">
        <f t="array" ref="AU1915">$C1915*EXP(poly_from_str(100000000/$E1915,AU$4342))</f>
        <v>0</v>
      </c>
    </row>
    <row r="1916" spans="1:48" x14ac:dyDescent="0.25">
      <c r="A1916" t="s">
        <v>2802</v>
      </c>
      <c r="B1916" s="2" t="str">
        <f t="shared" si="1167"/>
        <v/>
      </c>
      <c r="C1916">
        <v>0</v>
      </c>
      <c r="E1916" t="s">
        <v>2803</v>
      </c>
      <c r="R1916">
        <v>18</v>
      </c>
      <c r="S1916" t="s">
        <v>22</v>
      </c>
      <c r="AA1916" s="10">
        <f t="shared" si="1168"/>
        <v>3296.0279999999998</v>
      </c>
      <c r="AB1916" s="3">
        <f t="shared" si="1169"/>
        <v>30330.81</v>
      </c>
      <c r="AC1916" s="3" cm="1">
        <f t="array" ref="AC1916">100000000/LvacE(AA1916)</f>
        <v>30330.813376267317</v>
      </c>
      <c r="AD1916" s="10">
        <f t="shared" si="1170"/>
        <v>9.6011158546388739E-3</v>
      </c>
      <c r="AE1916" s="10" t="b">
        <f t="shared" si="1171"/>
        <v>1</v>
      </c>
      <c r="AP1916"/>
      <c r="AQ1916"/>
      <c r="AU1916" s="16" cm="1">
        <f t="array" ref="AU1916">$C1916*EXP(poly_from_str(100000000/$E1916,AU$4342))</f>
        <v>0</v>
      </c>
    </row>
    <row r="1917" spans="1:48" x14ac:dyDescent="0.25">
      <c r="A1917" t="s">
        <v>2804</v>
      </c>
      <c r="B1917" s="2" t="str">
        <f t="shared" si="1167"/>
        <v/>
      </c>
      <c r="C1917">
        <v>0</v>
      </c>
      <c r="E1917" t="s">
        <v>2805</v>
      </c>
      <c r="R1917">
        <v>18</v>
      </c>
      <c r="S1917" t="s">
        <v>22</v>
      </c>
      <c r="AA1917" s="10">
        <f t="shared" si="1168"/>
        <v>3295.9949999999999</v>
      </c>
      <c r="AB1917" s="3">
        <f t="shared" si="1169"/>
        <v>30331.119999999999</v>
      </c>
      <c r="AC1917" s="3" cm="1">
        <f t="array" ref="AC1917">100000000/LvacE(AA1917)</f>
        <v>30331.117042731577</v>
      </c>
      <c r="AD1917" s="10">
        <f t="shared" si="1170"/>
        <v>9.6012079876837755E-3</v>
      </c>
      <c r="AE1917" s="10" t="b">
        <f t="shared" si="1171"/>
        <v>1</v>
      </c>
      <c r="AP1917"/>
      <c r="AQ1917"/>
      <c r="AU1917" s="16" cm="1">
        <f t="array" ref="AU1917">$C1917*EXP(poly_from_str(100000000/$E1917,AU$4342))</f>
        <v>0</v>
      </c>
    </row>
    <row r="1918" spans="1:48" x14ac:dyDescent="0.25">
      <c r="A1918" t="s">
        <v>2806</v>
      </c>
      <c r="B1918" s="2" t="str">
        <f t="shared" si="1167"/>
        <v/>
      </c>
      <c r="C1918">
        <v>0</v>
      </c>
      <c r="E1918" t="s">
        <v>2807</v>
      </c>
      <c r="R1918">
        <v>18</v>
      </c>
      <c r="S1918" t="s">
        <v>22</v>
      </c>
      <c r="AA1918" s="10">
        <f t="shared" si="1168"/>
        <v>3295.9679999999998</v>
      </c>
      <c r="AB1918" s="3">
        <f t="shared" si="1169"/>
        <v>30331.37</v>
      </c>
      <c r="AC1918" s="3" cm="1">
        <f t="array" ref="AC1918">100000000/LvacE(AA1918)</f>
        <v>30331.365501634049</v>
      </c>
      <c r="AD1918" s="10">
        <f t="shared" si="1170"/>
        <v>9.6012833713243033E-3</v>
      </c>
      <c r="AE1918" s="10" t="b">
        <f t="shared" si="1171"/>
        <v>1</v>
      </c>
      <c r="AP1918"/>
      <c r="AQ1918"/>
      <c r="AU1918" s="16" cm="1">
        <f t="array" ref="AU1918">$C1918*EXP(poly_from_str(100000000/$E1918,AU$4342))</f>
        <v>0</v>
      </c>
    </row>
    <row r="1919" spans="1:48" x14ac:dyDescent="0.25">
      <c r="A1919" t="s">
        <v>2808</v>
      </c>
      <c r="B1919" s="2" t="str">
        <f t="shared" si="1167"/>
        <v/>
      </c>
      <c r="C1919">
        <v>0</v>
      </c>
      <c r="E1919" t="s">
        <v>2809</v>
      </c>
      <c r="R1919">
        <v>18</v>
      </c>
      <c r="S1919" t="s">
        <v>22</v>
      </c>
      <c r="AA1919" s="10">
        <f t="shared" si="1168"/>
        <v>3295.0210000000002</v>
      </c>
      <c r="AB1919" s="3">
        <f t="shared" si="1169"/>
        <v>30340.080000000002</v>
      </c>
      <c r="AC1919" s="3" cm="1">
        <f t="array" ref="AC1919">100000000/LvacE(AA1919)</f>
        <v>30340.082543410732</v>
      </c>
      <c r="AD1919" s="10">
        <f t="shared" si="1170"/>
        <v>9.6039285551458905E-3</v>
      </c>
      <c r="AE1919" s="10" t="b">
        <f t="shared" si="1171"/>
        <v>1</v>
      </c>
      <c r="AP1919"/>
      <c r="AQ1919"/>
      <c r="AU1919" s="16" cm="1">
        <f t="array" ref="AU1919">$C1919*EXP(poly_from_str(100000000/$E1919,AU$4342))</f>
        <v>0</v>
      </c>
    </row>
    <row r="1920" spans="1:48" x14ac:dyDescent="0.25">
      <c r="A1920" t="s">
        <v>2810</v>
      </c>
      <c r="B1920" s="2" t="str">
        <f t="shared" si="1167"/>
        <v/>
      </c>
      <c r="C1920">
        <v>0</v>
      </c>
      <c r="E1920" t="s">
        <v>2811</v>
      </c>
      <c r="R1920">
        <v>18</v>
      </c>
      <c r="S1920" t="s">
        <v>22</v>
      </c>
      <c r="AA1920" s="10">
        <f t="shared" si="1168"/>
        <v>3294.9879999999998</v>
      </c>
      <c r="AB1920" s="3">
        <f t="shared" si="1169"/>
        <v>30340.39</v>
      </c>
      <c r="AC1920" s="3" cm="1">
        <f t="array" ref="AC1920">100000000/LvacE(AA1920)</f>
        <v>30340.386395502275</v>
      </c>
      <c r="AD1920" s="10">
        <f t="shared" si="1170"/>
        <v>9.6040207726860137E-3</v>
      </c>
      <c r="AE1920" s="10" t="b">
        <f t="shared" si="1171"/>
        <v>1</v>
      </c>
      <c r="AP1920"/>
      <c r="AQ1920"/>
      <c r="AU1920" s="16" cm="1">
        <f t="array" ref="AU1920">$C1920*EXP(poly_from_str(100000000/$E1920,AU$4342))</f>
        <v>0</v>
      </c>
    </row>
    <row r="1921" spans="1:48" x14ac:dyDescent="0.25">
      <c r="A1921" t="s">
        <v>2812</v>
      </c>
      <c r="B1921" s="2" t="str">
        <f t="shared" si="1167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1168"/>
        <v>3294.9520000000002</v>
      </c>
      <c r="AB1921" s="3">
        <f t="shared" si="1169"/>
        <v>30340.720000000001</v>
      </c>
      <c r="AC1921" s="3" cm="1">
        <f t="array" ref="AC1921">100000000/LvacE(AA1921)</f>
        <v>30340.717877452284</v>
      </c>
      <c r="AD1921" s="10">
        <f t="shared" si="1170"/>
        <v>9.6041213767988562E-3</v>
      </c>
      <c r="AE1921" s="10" t="b">
        <f t="shared" si="1171"/>
        <v>1</v>
      </c>
      <c r="AP1921"/>
      <c r="AQ1921"/>
      <c r="AU1921" s="16" cm="1">
        <f t="array" ref="AU1921">$C1921*EXP(poly_from_str(100000000/$E1921,AU$4342))</f>
        <v>0</v>
      </c>
    </row>
    <row r="1922" spans="1:48" x14ac:dyDescent="0.25">
      <c r="A1922" t="s">
        <v>2813</v>
      </c>
      <c r="B1922" s="2" t="str">
        <f t="shared" ref="B1922:B1985" si="1220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1168"/>
        <v>3294.913</v>
      </c>
      <c r="AB1922" s="3">
        <f t="shared" si="1169"/>
        <v>30341.08</v>
      </c>
      <c r="AC1922" s="3" cm="1">
        <f t="array" ref="AC1922">100000000/LvacE(AA1922)</f>
        <v>30341.076991071757</v>
      </c>
      <c r="AD1922" s="10">
        <f t="shared" si="1170"/>
        <v>9.6042303683089286E-3</v>
      </c>
      <c r="AE1922" s="10" t="b">
        <f t="shared" si="1171"/>
        <v>1</v>
      </c>
      <c r="AP1922"/>
      <c r="AQ1922"/>
      <c r="AU1922" s="16" cm="1">
        <f t="array" ref="AU1922">$C1922*EXP(poly_from_str(100000000/$E1922,AU$4342))</f>
        <v>0</v>
      </c>
    </row>
    <row r="1923" spans="1:48" x14ac:dyDescent="0.25">
      <c r="A1923" t="s">
        <v>2814</v>
      </c>
      <c r="B1923" s="2" t="str">
        <f t="shared" si="1220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1221">ROUND($A1923,3)+0</f>
        <v>3294.8710000000001</v>
      </c>
      <c r="AB1923" s="3">
        <f t="shared" ref="AB1923:AB1986" si="1222">ROUND($E1923,2)+0</f>
        <v>30341.46</v>
      </c>
      <c r="AC1923" s="3" cm="1">
        <f t="array" ref="AC1923">100000000/LvacE(AA1923)</f>
        <v>30341.463738322687</v>
      </c>
      <c r="AD1923" s="10">
        <f t="shared" ref="AD1923:AD1986" si="1223">0.0005/$AA1923*AC1923+0.005</f>
        <v>9.6043477481095145E-3</v>
      </c>
      <c r="AE1923" s="10" t="b">
        <f t="shared" ref="AE1923:AE1986" si="1224">ABS(AB1923-AC1923)&lt;AD1923</f>
        <v>1</v>
      </c>
      <c r="AJ1923" t="s">
        <v>4937</v>
      </c>
      <c r="AK1923" t="s">
        <v>4844</v>
      </c>
      <c r="AL1923">
        <v>50647.35</v>
      </c>
      <c r="AM1923">
        <v>80988.759999999995</v>
      </c>
      <c r="AN1923" s="10" cm="1">
        <f t="array" ref="AN1923">Lair(100000000/($AM1923-$AL1923))</f>
        <v>3294.8768301950167</v>
      </c>
      <c r="AO1923" s="10">
        <f>100000000/($AM1923-$AL1923)</f>
        <v>3295.8257378282688</v>
      </c>
      <c r="AP1923" s="12">
        <v>665000000</v>
      </c>
      <c r="AQ1923" s="3">
        <v>0.48899999999999999</v>
      </c>
      <c r="AR1923" s="3">
        <f>LN(AU1923*100000000/($AM1923-$AL1923)/AP1923)</f>
        <v>-10.354902201967608</v>
      </c>
      <c r="AS1923" s="13">
        <f>EXP(AR$4341*$AM1923+AR$4342)*$AP1923/(100000000/($AM1923-$AL1923))</f>
        <v>40.901102839879151</v>
      </c>
      <c r="AT1923" s="3">
        <f>LN(AS1923/$C1923)</f>
        <v>2.1017191145513494</v>
      </c>
      <c r="AU1923" s="16" cm="1">
        <f t="array" ref="AU1923">$C1923*EXP(poly_from_str(100000000/$E1923,AU$4342))</f>
        <v>6.4236299958423455</v>
      </c>
      <c r="AV1923" s="13">
        <f>LN(AS1923/AU1923)</f>
        <v>1.8511736491600517</v>
      </c>
    </row>
    <row r="1924" spans="1:48" x14ac:dyDescent="0.25">
      <c r="A1924" t="s">
        <v>2815</v>
      </c>
      <c r="B1924" s="2" t="str">
        <f t="shared" si="1220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1221"/>
        <v>3294.02</v>
      </c>
      <c r="AB1924" s="3">
        <f t="shared" si="1222"/>
        <v>30349.3</v>
      </c>
      <c r="AC1924" s="3" cm="1">
        <f t="array" ref="AC1924">100000000/LvacE(AA1924)</f>
        <v>30349.302098548906</v>
      </c>
      <c r="AD1924" s="10">
        <f t="shared" si="1223"/>
        <v>9.6067270536531208E-3</v>
      </c>
      <c r="AE1924" s="10" t="b">
        <f t="shared" si="1224"/>
        <v>1</v>
      </c>
      <c r="AP1924"/>
      <c r="AQ1924"/>
      <c r="AU1924" s="16" cm="1">
        <f t="array" ref="AU1924">$C1924*EXP(poly_from_str(100000000/$E1924,AU$4342))</f>
        <v>0</v>
      </c>
    </row>
    <row r="1925" spans="1:48" x14ac:dyDescent="0.25">
      <c r="A1925" t="s">
        <v>2816</v>
      </c>
      <c r="B1925" s="2" t="str">
        <f t="shared" si="1220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1221"/>
        <v>3293.998</v>
      </c>
      <c r="AB1925" s="3">
        <f t="shared" si="1222"/>
        <v>30349.5</v>
      </c>
      <c r="AC1925" s="3" cm="1">
        <f t="array" ref="AC1925">100000000/LvacE(AA1925)</f>
        <v>30349.504789059767</v>
      </c>
      <c r="AD1925" s="10">
        <f t="shared" si="1223"/>
        <v>9.6067885877677769E-3</v>
      </c>
      <c r="AE1925" s="10" t="b">
        <f t="shared" si="1224"/>
        <v>1</v>
      </c>
      <c r="AP1925"/>
      <c r="AQ1925"/>
      <c r="AU1925" s="16" cm="1">
        <f t="array" ref="AU1925">$C1925*EXP(poly_from_str(100000000/$E1925,AU$4342))</f>
        <v>0</v>
      </c>
    </row>
    <row r="1926" spans="1:48" x14ac:dyDescent="0.25">
      <c r="A1926" t="s">
        <v>2817</v>
      </c>
      <c r="B1926" s="2" t="str">
        <f t="shared" si="1220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1221"/>
        <v>3293.9670000000001</v>
      </c>
      <c r="AB1926" s="3">
        <f t="shared" si="1222"/>
        <v>30349.79</v>
      </c>
      <c r="AC1926" s="3" cm="1">
        <f t="array" ref="AC1926">100000000/LvacE(AA1926)</f>
        <v>30349.790403011168</v>
      </c>
      <c r="AD1926" s="10">
        <f t="shared" si="1223"/>
        <v>9.6068752970219738E-3</v>
      </c>
      <c r="AE1926" s="10" t="b">
        <f t="shared" si="1224"/>
        <v>1</v>
      </c>
      <c r="AP1926"/>
      <c r="AQ1926"/>
      <c r="AU1926" s="16" cm="1">
        <f t="array" ref="AU1926">$C1926*EXP(poly_from_str(100000000/$E1926,AU$4342))</f>
        <v>0</v>
      </c>
    </row>
    <row r="1927" spans="1:48" x14ac:dyDescent="0.25">
      <c r="A1927" t="s">
        <v>2818</v>
      </c>
      <c r="B1927" s="2" t="str">
        <f t="shared" si="1220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1221"/>
        <v>3293.9259999999999</v>
      </c>
      <c r="AB1927" s="3">
        <f t="shared" si="1222"/>
        <v>30350.17</v>
      </c>
      <c r="AC1927" s="3" cm="1">
        <f t="array" ref="AC1927">100000000/LvacE(AA1927)</f>
        <v>30350.168158751774</v>
      </c>
      <c r="AD1927" s="10">
        <f t="shared" si="1223"/>
        <v>9.6069899807633471E-3</v>
      </c>
      <c r="AE1927" s="10" t="b">
        <f t="shared" si="1224"/>
        <v>1</v>
      </c>
      <c r="AP1927"/>
      <c r="AQ1927"/>
      <c r="AU1927" s="16" cm="1">
        <f t="array" ref="AU1927">$C1927*EXP(poly_from_str(100000000/$E1927,AU$4342))</f>
        <v>0</v>
      </c>
    </row>
    <row r="1928" spans="1:48" x14ac:dyDescent="0.25">
      <c r="A1928" t="s">
        <v>2819</v>
      </c>
      <c r="B1928" s="2" t="str">
        <f t="shared" si="1220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1225">$G1928&amp;""</f>
        <v>e</v>
      </c>
      <c r="N1928" t="str">
        <f t="shared" ref="N1928:N1929" si="1226">$H1928&amp;""</f>
        <v>11/2</v>
      </c>
      <c r="O1928">
        <v>63816.91</v>
      </c>
      <c r="P1928" t="str">
        <f t="shared" ref="P1928:P1929" si="1227">$J1928&amp;""</f>
        <v>o</v>
      </c>
      <c r="Q1928" t="str">
        <f t="shared" ref="Q1928:Q1929" si="1228">$K1928&amp;""</f>
        <v>11/2</v>
      </c>
      <c r="R1928">
        <v>19</v>
      </c>
      <c r="AA1928" s="10">
        <f t="shared" si="1221"/>
        <v>3293.884</v>
      </c>
      <c r="AB1928" s="3">
        <f t="shared" si="1222"/>
        <v>30350.55</v>
      </c>
      <c r="AC1928" s="3" cm="1">
        <f t="array" ref="AC1928">100000000/LvacE(AA1928)</f>
        <v>30350.555137797404</v>
      </c>
      <c r="AD1928" s="10">
        <f t="shared" si="1223"/>
        <v>9.6071074661095244E-3</v>
      </c>
      <c r="AE1928" s="10" t="b">
        <f t="shared" si="1224"/>
        <v>1</v>
      </c>
      <c r="AJ1928" t="s">
        <v>4774</v>
      </c>
      <c r="AK1928" t="s">
        <v>4928</v>
      </c>
      <c r="AL1928">
        <v>33466.410000000003</v>
      </c>
      <c r="AM1928">
        <v>63816.91</v>
      </c>
      <c r="AN1928" s="10" cm="1">
        <f t="array" ref="AN1928">Lair(100000000/($AM1928-$AL1928))</f>
        <v>3293.8899785879175</v>
      </c>
      <c r="AO1928" s="10">
        <f t="shared" ref="AO1928:AO1929" si="1229">100000000/($AM1928-$AL1928)</f>
        <v>3294.8386352778371</v>
      </c>
      <c r="AP1928" s="12">
        <v>52200000</v>
      </c>
      <c r="AQ1928" s="3">
        <v>9.4E-2</v>
      </c>
      <c r="AR1928" s="3">
        <f t="shared" ref="AR1928:AR1929" si="1230">LN(AU1928*100000000/($AM1928-$AL1928)/AP1928)</f>
        <v>-8.0307295220586834</v>
      </c>
      <c r="AS1928" s="13">
        <f t="shared" ref="AS1928:AS1929" si="1231">EXP(AR$4341*$AM1928+AR$4342)*$AP1928/(100000000/($AM1928-$AL1928))</f>
        <v>11.651602574800219</v>
      </c>
      <c r="AT1928" s="3">
        <f t="shared" ref="AT1928:AT1929" si="1232">LN(AS1928/$C1928)</f>
        <v>1.0691493694999885</v>
      </c>
      <c r="AU1928" s="16" cm="1">
        <f t="array" ref="AU1928">$C1928*EXP(poly_from_str(100000000/$E1928,AU$4342))</f>
        <v>5.1538863319902282</v>
      </c>
      <c r="AV1928" s="13">
        <f t="shared" ref="AV1928:AV1929" si="1233">LN(AS1928/AU1928)</f>
        <v>0.81569267296153858</v>
      </c>
    </row>
    <row r="1929" spans="1:48" x14ac:dyDescent="0.25">
      <c r="A1929" t="s">
        <v>2820</v>
      </c>
      <c r="B1929" s="2" t="str">
        <f t="shared" si="1220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1225"/>
        <v>e</v>
      </c>
      <c r="N1929" t="str">
        <f t="shared" si="1226"/>
        <v>9/2</v>
      </c>
      <c r="O1929">
        <v>68801.67</v>
      </c>
      <c r="P1929" t="str">
        <f t="shared" si="1227"/>
        <v>o</v>
      </c>
      <c r="Q1929" t="str">
        <f t="shared" si="1228"/>
        <v>7/2</v>
      </c>
      <c r="R1929">
        <v>19</v>
      </c>
      <c r="AA1929" s="10">
        <f t="shared" si="1221"/>
        <v>3293.5839999999998</v>
      </c>
      <c r="AB1929" s="3">
        <f t="shared" si="1222"/>
        <v>30353.32</v>
      </c>
      <c r="AC1929" s="3" cm="1">
        <f t="array" ref="AC1929">100000000/LvacE(AA1929)</f>
        <v>30353.319560844237</v>
      </c>
      <c r="AD1929" s="10">
        <f t="shared" si="1223"/>
        <v>9.6079467778633007E-3</v>
      </c>
      <c r="AE1929" s="10" t="b">
        <f t="shared" si="1224"/>
        <v>1</v>
      </c>
      <c r="AJ1929" t="s">
        <v>4816</v>
      </c>
      <c r="AK1929" t="s">
        <v>4857</v>
      </c>
      <c r="AL1929">
        <v>38448.379999999997</v>
      </c>
      <c r="AM1929">
        <v>68801.67</v>
      </c>
      <c r="AN1929" s="10" cm="1">
        <f t="array" ref="AN1929">Lair(100000000/($AM1929-$AL1929))</f>
        <v>3293.587202087755</v>
      </c>
      <c r="AO1929" s="10">
        <f t="shared" si="1229"/>
        <v>3294.5357817883992</v>
      </c>
      <c r="AP1929" s="12">
        <v>49200000</v>
      </c>
      <c r="AQ1929" s="3">
        <v>0.126</v>
      </c>
      <c r="AR1929" s="3">
        <f t="shared" si="1230"/>
        <v>-7.7476039982287439</v>
      </c>
      <c r="AS1929" s="13">
        <f t="shared" si="1231"/>
        <v>7.5553558373924643</v>
      </c>
      <c r="AT1929" s="3">
        <f t="shared" si="1232"/>
        <v>0.41281878177013004</v>
      </c>
      <c r="AU1929" s="16" cm="1">
        <f t="array" ref="AU1929">$C1929*EXP(poly_from_str(100000000/$E1929,AU$4342))</f>
        <v>6.4480620730450831</v>
      </c>
      <c r="AV1929" s="13">
        <f t="shared" si="1233"/>
        <v>0.15847706233329256</v>
      </c>
    </row>
    <row r="1930" spans="1:48" x14ac:dyDescent="0.25">
      <c r="A1930" t="s">
        <v>2821</v>
      </c>
      <c r="B1930" s="2" t="str">
        <f t="shared" si="1220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1221"/>
        <v>3293.5320000000002</v>
      </c>
      <c r="AB1930" s="3">
        <f t="shared" si="1222"/>
        <v>30353.8</v>
      </c>
      <c r="AC1930" s="3" cm="1">
        <f t="array" ref="AC1930">100000000/LvacE(AA1930)</f>
        <v>30353.798778714234</v>
      </c>
      <c r="AD1930" s="10">
        <f t="shared" si="1223"/>
        <v>9.6080922818898122E-3</v>
      </c>
      <c r="AE1930" s="10" t="b">
        <f t="shared" si="1224"/>
        <v>1</v>
      </c>
      <c r="AP1930"/>
      <c r="AQ1930"/>
      <c r="AU1930" s="16" cm="1">
        <f t="array" ref="AU1930">$C1930*EXP(poly_from_str(100000000/$E1930,AU$4342))</f>
        <v>0</v>
      </c>
    </row>
    <row r="1931" spans="1:48" x14ac:dyDescent="0.25">
      <c r="A1931" t="s">
        <v>2822</v>
      </c>
      <c r="B1931" s="2" t="str">
        <f t="shared" si="1220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1221"/>
        <v>3293.4870000000001</v>
      </c>
      <c r="AB1931" s="3">
        <f t="shared" si="1222"/>
        <v>30354.21</v>
      </c>
      <c r="AC1931" s="3" cm="1">
        <f t="array" ref="AC1931">100000000/LvacE(AA1931)</f>
        <v>30354.213498699657</v>
      </c>
      <c r="AD1931" s="10">
        <f t="shared" si="1223"/>
        <v>9.6082182043985085E-3</v>
      </c>
      <c r="AE1931" s="10" t="b">
        <f t="shared" si="1224"/>
        <v>1</v>
      </c>
      <c r="AP1931"/>
      <c r="AQ1931"/>
      <c r="AU1931" s="16" cm="1">
        <f t="array" ref="AU1931">$C1931*EXP(poly_from_str(100000000/$E1931,AU$4342))</f>
        <v>0</v>
      </c>
    </row>
    <row r="1932" spans="1:48" x14ac:dyDescent="0.25">
      <c r="A1932" t="s">
        <v>2823</v>
      </c>
      <c r="B1932" s="2" t="str">
        <f t="shared" si="1220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1221"/>
        <v>3293.4490000000001</v>
      </c>
      <c r="AB1932" s="3">
        <f t="shared" si="1222"/>
        <v>30354.560000000001</v>
      </c>
      <c r="AC1932" s="3" cm="1">
        <f t="array" ref="AC1932">100000000/LvacE(AA1932)</f>
        <v>30354.563715512617</v>
      </c>
      <c r="AD1932" s="10">
        <f t="shared" si="1223"/>
        <v>9.6083245429810227E-3</v>
      </c>
      <c r="AE1932" s="10" t="b">
        <f t="shared" si="1224"/>
        <v>1</v>
      </c>
      <c r="AP1932"/>
      <c r="AQ1932"/>
      <c r="AU1932" s="16" cm="1">
        <f t="array" ref="AU1932">$C1932*EXP(poly_from_str(100000000/$E1932,AU$4342))</f>
        <v>0</v>
      </c>
    </row>
    <row r="1933" spans="1:48" x14ac:dyDescent="0.25">
      <c r="A1933" t="s">
        <v>2824</v>
      </c>
      <c r="B1933" s="2" t="str">
        <f t="shared" si="1220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1221"/>
        <v>3293.42</v>
      </c>
      <c r="AB1933" s="3">
        <f t="shared" si="1222"/>
        <v>30354.83</v>
      </c>
      <c r="AC1933" s="3" cm="1">
        <f t="array" ref="AC1933">100000000/LvacE(AA1933)</f>
        <v>30354.830991675237</v>
      </c>
      <c r="AD1933" s="10">
        <f t="shared" si="1223"/>
        <v>9.6084056985861564E-3</v>
      </c>
      <c r="AE1933" s="10" t="b">
        <f t="shared" si="1224"/>
        <v>1</v>
      </c>
      <c r="AP1933"/>
      <c r="AQ1933"/>
      <c r="AU1933" s="16" cm="1">
        <f t="array" ref="AU1933">$C1933*EXP(poly_from_str(100000000/$E1933,AU$4342))</f>
        <v>0</v>
      </c>
    </row>
    <row r="1934" spans="1:48" x14ac:dyDescent="0.25">
      <c r="A1934" t="s">
        <v>2825</v>
      </c>
      <c r="B1934" s="2" t="str">
        <f t="shared" si="1220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1221"/>
        <v>3292.623</v>
      </c>
      <c r="AB1934" s="3">
        <f t="shared" si="1222"/>
        <v>30362.18</v>
      </c>
      <c r="AC1934" s="3" cm="1">
        <f t="array" ref="AC1934">100000000/LvacE(AA1934)</f>
        <v>30362.178320548675</v>
      </c>
      <c r="AD1934" s="10">
        <f t="shared" si="1223"/>
        <v>9.6106369178233716E-3</v>
      </c>
      <c r="AE1934" s="10" t="b">
        <f t="shared" si="1224"/>
        <v>1</v>
      </c>
      <c r="AP1934"/>
      <c r="AQ1934"/>
      <c r="AU1934" s="16" cm="1">
        <f t="array" ref="AU1934">$C1934*EXP(poly_from_str(100000000/$E1934,AU$4342))</f>
        <v>0</v>
      </c>
    </row>
    <row r="1935" spans="1:48" x14ac:dyDescent="0.25">
      <c r="A1935" t="s">
        <v>2826</v>
      </c>
      <c r="B1935" s="2" t="str">
        <f t="shared" si="1220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1221"/>
        <v>3292.5830000000001</v>
      </c>
      <c r="AB1935" s="3">
        <f t="shared" si="1222"/>
        <v>30362.55</v>
      </c>
      <c r="AC1935" s="3" cm="1">
        <f t="array" ref="AC1935">100000000/LvacE(AA1935)</f>
        <v>30362.547163535579</v>
      </c>
      <c r="AD1935" s="10">
        <f t="shared" si="1223"/>
        <v>9.6107489414140185E-3</v>
      </c>
      <c r="AE1935" s="10" t="b">
        <f t="shared" si="1224"/>
        <v>1</v>
      </c>
      <c r="AJ1935" t="s">
        <v>4788</v>
      </c>
      <c r="AK1935" t="s">
        <v>4903</v>
      </c>
      <c r="AL1935">
        <v>30994.55</v>
      </c>
      <c r="AM1935">
        <v>61357.04</v>
      </c>
      <c r="AN1935" s="10" cm="1">
        <f t="array" ref="AN1935">Lair(100000000/($AM1935-$AL1935))</f>
        <v>3292.5891935466561</v>
      </c>
      <c r="AO1935" s="10">
        <f>100000000/($AM1935-$AL1935)</f>
        <v>3293.5375194853914</v>
      </c>
      <c r="AP1935" s="12">
        <v>197000000</v>
      </c>
      <c r="AQ1935" s="3">
        <v>0.152</v>
      </c>
      <c r="AR1935" s="3">
        <f>LN(AU1935*100000000/($AM1935-$AL1935)/AP1935)</f>
        <v>-6.241903529101819</v>
      </c>
      <c r="AS1935" s="13">
        <f>EXP(AR$4341*$AM1935+AR$4342)*$AP1935/(100000000/($AM1935-$AL1935))</f>
        <v>52.908563720866262</v>
      </c>
      <c r="AT1935" s="3">
        <f>LN(AS1935/$C1935)</f>
        <v>-0.53124445948544929</v>
      </c>
      <c r="AU1935" s="16" cm="1">
        <f t="array" ref="AU1935">$C1935*EXP(poly_from_str(100000000/$E1935,AU$4342))</f>
        <v>116.40706829118888</v>
      </c>
      <c r="AV1935" s="13">
        <f>LN(AS1935/AU1935)</f>
        <v>-0.78852804675999222</v>
      </c>
    </row>
    <row r="1936" spans="1:48" x14ac:dyDescent="0.25">
      <c r="A1936" t="s">
        <v>2827</v>
      </c>
      <c r="B1936" s="2" t="str">
        <f t="shared" si="1220"/>
        <v/>
      </c>
      <c r="C1936">
        <v>1</v>
      </c>
      <c r="D1936" t="s">
        <v>1156</v>
      </c>
      <c r="E1936">
        <v>30380.61</v>
      </c>
      <c r="R1936">
        <v>19</v>
      </c>
      <c r="S1936" t="s">
        <v>22</v>
      </c>
      <c r="AA1936" s="10">
        <f t="shared" si="1221"/>
        <v>3290.625</v>
      </c>
      <c r="AB1936" s="3">
        <f t="shared" si="1222"/>
        <v>30380.61</v>
      </c>
      <c r="AC1936" s="3" cm="1">
        <f t="array" ref="AC1936">100000000/LvacE(AA1936)</f>
        <v>30380.612989658537</v>
      </c>
      <c r="AD1936" s="10">
        <f t="shared" si="1223"/>
        <v>9.6162374913061413E-3</v>
      </c>
      <c r="AE1936" s="10" t="b">
        <f t="shared" si="1224"/>
        <v>1</v>
      </c>
      <c r="AP1936"/>
      <c r="AQ1936"/>
      <c r="AU1936" s="16" cm="1">
        <f t="array" ref="AU1936">$C1936*EXP(poly_from_str(100000000/$E1936,AU$4342))</f>
        <v>1.3008371597671917</v>
      </c>
    </row>
    <row r="1937" spans="1:48" x14ac:dyDescent="0.25">
      <c r="A1937" t="s">
        <v>2828</v>
      </c>
      <c r="B1937" s="2" t="str">
        <f t="shared" si="1220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1221"/>
        <v>3287.576</v>
      </c>
      <c r="AB1937" s="3">
        <f t="shared" si="1222"/>
        <v>30408.79</v>
      </c>
      <c r="AC1937" s="3" cm="1">
        <f t="array" ref="AC1937">100000000/LvacE(AA1937)</f>
        <v>30408.787959192807</v>
      </c>
      <c r="AD1937" s="10">
        <f t="shared" si="1223"/>
        <v>9.6248038006106641E-3</v>
      </c>
      <c r="AE1937" s="10" t="b">
        <f t="shared" si="1224"/>
        <v>1</v>
      </c>
      <c r="AJ1937" t="s">
        <v>4805</v>
      </c>
      <c r="AK1937" t="s">
        <v>4862</v>
      </c>
      <c r="AL1937">
        <v>36640.379999999997</v>
      </c>
      <c r="AM1937">
        <v>67049.179999999993</v>
      </c>
      <c r="AN1937" s="10" cm="1">
        <f t="array" ref="AN1937">Lair(100000000/($AM1937-$AL1937))</f>
        <v>3287.5746925793014</v>
      </c>
      <c r="AO1937" s="10">
        <f>100000000/($AM1937-$AL1937)</f>
        <v>3288.5217437057699</v>
      </c>
      <c r="AP1937" s="12">
        <v>24100000</v>
      </c>
      <c r="AQ1937" s="3">
        <v>0.19700000000000001</v>
      </c>
      <c r="AR1937" s="3">
        <f>LN(AU1937*100000000/($AM1937-$AL1937)/AP1937)</f>
        <v>-7.5290606810355625</v>
      </c>
      <c r="AS1937" s="13">
        <f>EXP(AR$4341*$AM1937+AR$4342)*$AP1937/(100000000/($AM1937-$AL1937))</f>
        <v>4.2288104416094612</v>
      </c>
      <c r="AT1937" s="3">
        <f>LN(AS1937/$C1937)</f>
        <v>0.34330844536279587</v>
      </c>
      <c r="AU1937" s="16" cm="1">
        <f t="array" ref="AU1937">$C1937*EXP(poly_from_str(100000000/$E1937,AU$4342))</f>
        <v>3.9371940228984457</v>
      </c>
      <c r="AV1937" s="13">
        <f>LN(AS1937/AU1937)</f>
        <v>7.1452441368849873E-2</v>
      </c>
    </row>
    <row r="1938" spans="1:48" x14ac:dyDescent="0.25">
      <c r="A1938" t="s">
        <v>2829</v>
      </c>
      <c r="B1938" s="2" t="str">
        <f t="shared" si="1220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1221"/>
        <v>3287.364</v>
      </c>
      <c r="AB1938" s="3">
        <f t="shared" si="1222"/>
        <v>30410.75</v>
      </c>
      <c r="AC1938" s="3" cm="1">
        <f t="array" ref="AC1938">100000000/LvacE(AA1938)</f>
        <v>30410.748936034663</v>
      </c>
      <c r="AD1938" s="10">
        <f t="shared" si="1223"/>
        <v>9.625400311014335E-3</v>
      </c>
      <c r="AE1938" s="10" t="b">
        <f t="shared" si="1224"/>
        <v>1</v>
      </c>
      <c r="AP1938"/>
      <c r="AQ1938"/>
      <c r="AU1938" s="16" cm="1">
        <f t="array" ref="AU1938">$C1938*EXP(poly_from_str(100000000/$E1938,AU$4342))</f>
        <v>0</v>
      </c>
    </row>
    <row r="1939" spans="1:48" x14ac:dyDescent="0.25">
      <c r="A1939" t="s">
        <v>2830</v>
      </c>
      <c r="B1939" s="2" t="str">
        <f t="shared" si="1220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1221"/>
        <v>3287.3389999999999</v>
      </c>
      <c r="AB1939" s="3">
        <f t="shared" si="1222"/>
        <v>30410.98</v>
      </c>
      <c r="AC1939" s="3" cm="1">
        <f t="array" ref="AC1939">100000000/LvacE(AA1939)</f>
        <v>30410.980199974514</v>
      </c>
      <c r="AD1939" s="10">
        <f t="shared" si="1223"/>
        <v>9.6254706618292968E-3</v>
      </c>
      <c r="AE1939" s="10" t="b">
        <f t="shared" si="1224"/>
        <v>1</v>
      </c>
      <c r="AP1939"/>
      <c r="AQ1939"/>
      <c r="AU1939" s="16" cm="1">
        <f t="array" ref="AU1939">$C1939*EXP(poly_from_str(100000000/$E1939,AU$4342))</f>
        <v>0</v>
      </c>
    </row>
    <row r="1940" spans="1:48" x14ac:dyDescent="0.25">
      <c r="A1940" t="s">
        <v>2831</v>
      </c>
      <c r="B1940" s="2" t="str">
        <f t="shared" si="1220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1221"/>
        <v>3287.2930000000001</v>
      </c>
      <c r="AB1940" s="3">
        <f t="shared" si="1222"/>
        <v>30411.41</v>
      </c>
      <c r="AC1940" s="3" cm="1">
        <f t="array" ref="AC1940">100000000/LvacE(AA1940)</f>
        <v>30411.405734813939</v>
      </c>
      <c r="AD1940" s="10">
        <f t="shared" si="1223"/>
        <v>9.6256001115224508E-3</v>
      </c>
      <c r="AE1940" s="10" t="b">
        <f t="shared" si="1224"/>
        <v>1</v>
      </c>
      <c r="AP1940"/>
      <c r="AQ1940"/>
      <c r="AU1940" s="16" cm="1">
        <f t="array" ref="AU1940">$C1940*EXP(poly_from_str(100000000/$E1940,AU$4342))</f>
        <v>0</v>
      </c>
    </row>
    <row r="1941" spans="1:48" x14ac:dyDescent="0.25">
      <c r="A1941" t="s">
        <v>2832</v>
      </c>
      <c r="B1941" s="2" t="str">
        <f t="shared" si="1220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1234">$G1941&amp;""</f>
        <v>e</v>
      </c>
      <c r="N1941" t="str">
        <f t="shared" ref="N1941:N1943" si="1235">$H1941&amp;""</f>
        <v>7/2</v>
      </c>
      <c r="O1941">
        <v>69138.28</v>
      </c>
      <c r="P1941" t="str">
        <f t="shared" ref="P1941:P1943" si="1236">$J1941&amp;""</f>
        <v>o</v>
      </c>
      <c r="Q1941" t="str">
        <f t="shared" ref="Q1941:Q1943" si="1237">$K1941&amp;""</f>
        <v>9/2</v>
      </c>
      <c r="R1941">
        <v>19</v>
      </c>
      <c r="AA1941" s="10">
        <f t="shared" si="1221"/>
        <v>3287.2460000000001</v>
      </c>
      <c r="AB1941" s="3">
        <f t="shared" si="1222"/>
        <v>30411.84</v>
      </c>
      <c r="AC1941" s="3" cm="1">
        <f t="array" ref="AC1941">100000000/LvacE(AA1941)</f>
        <v>30411.840532710634</v>
      </c>
      <c r="AD1941" s="10">
        <f t="shared" si="1223"/>
        <v>9.625732380952115E-3</v>
      </c>
      <c r="AE1941" s="10" t="b">
        <f t="shared" si="1224"/>
        <v>1</v>
      </c>
      <c r="AJ1941" t="s">
        <v>4750</v>
      </c>
      <c r="AK1941" t="s">
        <v>4879</v>
      </c>
      <c r="AL1941">
        <v>38726.5</v>
      </c>
      <c r="AM1941">
        <v>69138.28</v>
      </c>
      <c r="AN1941" s="10" cm="1">
        <f t="array" ref="AN1941">Lair(100000000/($AM1941-$AL1941))</f>
        <v>3287.2525376626531</v>
      </c>
      <c r="AO1941" s="10">
        <f t="shared" ref="AO1941:AO1943" si="1238">100000000/($AM1941-$AL1941)</f>
        <v>3288.199506901602</v>
      </c>
      <c r="AP1941" s="12">
        <v>66800000</v>
      </c>
      <c r="AQ1941" s="3">
        <v>9.0999999999999998E-2</v>
      </c>
      <c r="AR1941" s="3">
        <f t="shared" ref="AR1941:AR1943" si="1239">LN(AU1941*100000000/($AM1941-$AL1941)/AP1941)</f>
        <v>-8.9531635398073757</v>
      </c>
      <c r="AS1941" s="13">
        <f t="shared" ref="AS1941:AS1943" si="1240">EXP(AR$4341*$AM1941+AR$4342)*$AP1941/(100000000/($AM1941-$AL1941))</f>
        <v>10.021469896447821</v>
      </c>
      <c r="AT1941" s="3">
        <f t="shared" ref="AT1941:AT1943" si="1241">LN(AS1941/$C1941)</f>
        <v>1.6115826005902079</v>
      </c>
      <c r="AU1941" s="16" cm="1">
        <f t="array" ref="AU1941">$C1941*EXP(poly_from_str(100000000/$E1941,AU$4342))</f>
        <v>2.6272946513316464</v>
      </c>
      <c r="AV1941" s="13">
        <f t="shared" ref="AV1941:AV1943" si="1242">LN(AS1941/AU1941)</f>
        <v>1.3387751140674424</v>
      </c>
    </row>
    <row r="1942" spans="1:48" x14ac:dyDescent="0.25">
      <c r="A1942" t="s">
        <v>2833</v>
      </c>
      <c r="B1942" s="2" t="str">
        <f t="shared" si="1220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1234"/>
        <v>e</v>
      </c>
      <c r="N1942" t="str">
        <f t="shared" si="1235"/>
        <v>7/2</v>
      </c>
      <c r="O1942">
        <v>68374.539999999994</v>
      </c>
      <c r="P1942" t="str">
        <f t="shared" si="1236"/>
        <v>o</v>
      </c>
      <c r="Q1942" t="str">
        <f t="shared" si="1237"/>
        <v>9/2</v>
      </c>
      <c r="R1942">
        <v>19</v>
      </c>
      <c r="AA1942" s="10">
        <f t="shared" si="1221"/>
        <v>3282.5909999999999</v>
      </c>
      <c r="AB1942" s="3">
        <f t="shared" si="1222"/>
        <v>30454.97</v>
      </c>
      <c r="AC1942" s="3" cm="1">
        <f t="array" ref="AC1942">100000000/LvacE(AA1942)</f>
        <v>30454.965707327876</v>
      </c>
      <c r="AD1942" s="10">
        <f t="shared" si="1223"/>
        <v>9.6388608430547518E-3</v>
      </c>
      <c r="AE1942" s="10" t="b">
        <f t="shared" si="1224"/>
        <v>1</v>
      </c>
      <c r="AJ1942" t="s">
        <v>4764</v>
      </c>
      <c r="AK1942" t="s">
        <v>4739</v>
      </c>
      <c r="AL1942">
        <v>37919.58</v>
      </c>
      <c r="AM1942">
        <v>68374.539999999994</v>
      </c>
      <c r="AN1942" s="10" cm="1">
        <f t="array" ref="AN1942">Lair(100000000/($AM1942-$AL1942))</f>
        <v>3282.5916095768744</v>
      </c>
      <c r="AO1942" s="10">
        <f t="shared" si="1238"/>
        <v>3283.5373942372612</v>
      </c>
      <c r="AP1942" s="12">
        <v>45100000</v>
      </c>
      <c r="AQ1942" s="3">
        <v>0.20599999999999999</v>
      </c>
      <c r="AR1942" s="3">
        <f t="shared" si="1239"/>
        <v>-8.5484355991278527</v>
      </c>
      <c r="AS1942" s="13">
        <f t="shared" si="1240"/>
        <v>7.1752958699878997</v>
      </c>
      <c r="AT1942" s="3">
        <f t="shared" si="1241"/>
        <v>1.2774968164707967</v>
      </c>
      <c r="AU1942" s="16" cm="1">
        <f t="array" ref="AU1942">$C1942*EXP(poly_from_str(100000000/$E1942,AU$4342))</f>
        <v>2.6625401513715481</v>
      </c>
      <c r="AV1942" s="13">
        <f t="shared" si="1242"/>
        <v>0.99136338578156347</v>
      </c>
    </row>
    <row r="1943" spans="1:48" x14ac:dyDescent="0.25">
      <c r="A1943" t="s">
        <v>2834</v>
      </c>
      <c r="B1943" s="2" t="str">
        <f t="shared" si="1220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1234"/>
        <v>e</v>
      </c>
      <c r="N1943" t="str">
        <f t="shared" si="1235"/>
        <v>7/2</v>
      </c>
      <c r="O1943">
        <v>65295.9</v>
      </c>
      <c r="P1943" t="str">
        <f t="shared" si="1236"/>
        <v>o</v>
      </c>
      <c r="Q1943" t="str">
        <f t="shared" si="1237"/>
        <v>7/2</v>
      </c>
      <c r="R1943">
        <v>19</v>
      </c>
      <c r="AA1943" s="10">
        <f t="shared" si="1221"/>
        <v>3280.9160000000002</v>
      </c>
      <c r="AB1943" s="3">
        <f t="shared" si="1222"/>
        <v>30470.51</v>
      </c>
      <c r="AC1943" s="3" cm="1">
        <f t="array" ref="AC1943">100000000/LvacE(AA1943)</f>
        <v>30470.513295857669</v>
      </c>
      <c r="AD1943" s="10">
        <f t="shared" si="1223"/>
        <v>9.6435985096628013E-3</v>
      </c>
      <c r="AE1943" s="10" t="b">
        <f t="shared" si="1224"/>
        <v>1</v>
      </c>
      <c r="AJ1943" t="s">
        <v>4761</v>
      </c>
      <c r="AK1943" t="s">
        <v>4825</v>
      </c>
      <c r="AL1943">
        <v>34825.49</v>
      </c>
      <c r="AM1943">
        <v>65295.9</v>
      </c>
      <c r="AN1943" s="10" cm="1">
        <f t="array" ref="AN1943">Lair(100000000/($AM1943-$AL1943))</f>
        <v>3280.9271172020126</v>
      </c>
      <c r="AO1943" s="10">
        <f t="shared" si="1238"/>
        <v>3281.8724789065845</v>
      </c>
      <c r="AP1943" s="12">
        <v>337000000</v>
      </c>
      <c r="AQ1943" s="3">
        <v>0.44700000000000001</v>
      </c>
      <c r="AR1943" s="3">
        <f t="shared" si="1239"/>
        <v>-6.7487386464026455</v>
      </c>
      <c r="AS1943" s="13">
        <f t="shared" si="1240"/>
        <v>67.585523831620179</v>
      </c>
      <c r="AT1943" s="3">
        <f t="shared" si="1241"/>
        <v>-0.28641585471621467</v>
      </c>
      <c r="AU1943" s="16" cm="1">
        <f t="array" ref="AU1943">$C1943*EXP(poly_from_str(100000000/$E1943,AU$4342))</f>
        <v>120.38385457988829</v>
      </c>
      <c r="AV1943" s="13">
        <f t="shared" si="1242"/>
        <v>-0.57729161009502095</v>
      </c>
    </row>
    <row r="1944" spans="1:48" x14ac:dyDescent="0.25">
      <c r="A1944" t="s">
        <v>2835</v>
      </c>
      <c r="B1944" s="2" t="str">
        <f t="shared" si="1220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1221"/>
        <v>3276.4960000000001</v>
      </c>
      <c r="AB1944" s="3">
        <f t="shared" si="1222"/>
        <v>30511.62</v>
      </c>
      <c r="AC1944" s="3" cm="1">
        <f t="array" ref="AC1944">100000000/LvacE(AA1944)</f>
        <v>30511.616680198109</v>
      </c>
      <c r="AD1944" s="10">
        <f t="shared" si="1223"/>
        <v>9.6561351944574499E-3</v>
      </c>
      <c r="AE1944" s="10" t="b">
        <f t="shared" si="1224"/>
        <v>1</v>
      </c>
      <c r="AP1944"/>
      <c r="AQ1944"/>
      <c r="AU1944" s="16" cm="1">
        <f t="array" ref="AU1944">$C1944*EXP(poly_from_str(100000000/$E1944,AU$4342))</f>
        <v>1.3542801337026882</v>
      </c>
    </row>
    <row r="1945" spans="1:48" x14ac:dyDescent="0.25">
      <c r="A1945" t="s">
        <v>2836</v>
      </c>
      <c r="B1945" s="2" t="str">
        <f t="shared" si="1220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1221"/>
        <v>3276.1370000000002</v>
      </c>
      <c r="AB1945" s="3">
        <f t="shared" si="1222"/>
        <v>30514.959999999999</v>
      </c>
      <c r="AC1945" s="3" cm="1">
        <f t="array" ref="AC1945">100000000/LvacE(AA1945)</f>
        <v>30514.960037419602</v>
      </c>
      <c r="AD1945" s="10">
        <f t="shared" si="1223"/>
        <v>9.6571556741094165E-3</v>
      </c>
      <c r="AE1945" s="10" t="b">
        <f t="shared" si="1224"/>
        <v>1</v>
      </c>
      <c r="AP1945"/>
      <c r="AQ1945"/>
      <c r="AU1945" s="16" cm="1">
        <f t="array" ref="AU1945">$C1945*EXP(poly_from_str(100000000/$E1945,AU$4342))</f>
        <v>1.3556314732027195</v>
      </c>
    </row>
    <row r="1946" spans="1:48" x14ac:dyDescent="0.25">
      <c r="A1946" t="s">
        <v>2837</v>
      </c>
      <c r="B1946" s="2" t="str">
        <f t="shared" si="1220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1221"/>
        <v>3275.0949999999998</v>
      </c>
      <c r="AB1946" s="3">
        <f t="shared" si="1222"/>
        <v>30524.67</v>
      </c>
      <c r="AC1946" s="3" cm="1">
        <f t="array" ref="AC1946">100000000/LvacE(AA1946)</f>
        <v>30524.668305963824</v>
      </c>
      <c r="AD1946" s="10">
        <f t="shared" si="1223"/>
        <v>9.6601195241609525E-3</v>
      </c>
      <c r="AE1946" s="10" t="b">
        <f t="shared" si="1224"/>
        <v>1</v>
      </c>
      <c r="AP1946"/>
      <c r="AQ1946"/>
      <c r="AU1946" s="16" cm="1">
        <f t="array" ref="AU1946">$C1946*EXP(poly_from_str(100000000/$E1946,AU$4342))</f>
        <v>0</v>
      </c>
    </row>
    <row r="1947" spans="1:48" x14ac:dyDescent="0.25">
      <c r="A1947" t="s">
        <v>2838</v>
      </c>
      <c r="B1947" s="2" t="str">
        <f t="shared" si="1220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1221"/>
        <v>3275.067</v>
      </c>
      <c r="AB1947" s="3">
        <f t="shared" si="1222"/>
        <v>30524.93</v>
      </c>
      <c r="AC1947" s="3" cm="1">
        <f t="array" ref="AC1947">100000000/LvacE(AA1947)</f>
        <v>30524.929265968029</v>
      </c>
      <c r="AD1947" s="10">
        <f t="shared" si="1223"/>
        <v>9.6601992059960964E-3</v>
      </c>
      <c r="AE1947" s="10" t="b">
        <f t="shared" si="1224"/>
        <v>1</v>
      </c>
      <c r="AP1947"/>
      <c r="AQ1947"/>
      <c r="AU1947" s="16" cm="1">
        <f t="array" ref="AU1947">$C1947*EXP(poly_from_str(100000000/$E1947,AU$4342))</f>
        <v>0</v>
      </c>
    </row>
    <row r="1948" spans="1:48" x14ac:dyDescent="0.25">
      <c r="A1948" t="s">
        <v>2839</v>
      </c>
      <c r="B1948" s="2" t="str">
        <f t="shared" si="1220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1221"/>
        <v>3275.0360000000001</v>
      </c>
      <c r="AB1948" s="3">
        <f t="shared" si="1222"/>
        <v>30525.22</v>
      </c>
      <c r="AC1948" s="3" cm="1">
        <f t="array" ref="AC1948">100000000/LvacE(AA1948)</f>
        <v>30525.2181911773</v>
      </c>
      <c r="AD1948" s="10">
        <f t="shared" si="1223"/>
        <v>9.6602874275545821E-3</v>
      </c>
      <c r="AE1948" s="10" t="b">
        <f t="shared" si="1224"/>
        <v>1</v>
      </c>
      <c r="AJ1948" t="s">
        <v>4728</v>
      </c>
      <c r="AK1948" t="s">
        <v>4907</v>
      </c>
      <c r="AL1948">
        <v>35384.17</v>
      </c>
      <c r="AM1948">
        <v>65909.440000000002</v>
      </c>
      <c r="AN1948" s="10" cm="1">
        <f t="array" ref="AN1948">Lair(100000000/($AM1948-$AL1948))</f>
        <v>3275.0304356735342</v>
      </c>
      <c r="AO1948" s="10">
        <f>100000000/($AM1948-$AL1948)</f>
        <v>3275.9742993264263</v>
      </c>
      <c r="AP1948" s="12">
        <v>15300000</v>
      </c>
      <c r="AQ1948" s="3">
        <v>0.16600000000000001</v>
      </c>
      <c r="AR1948" s="3">
        <f>LN(AU1948*100000000/($AM1948-$AL1948)/AP1948)</f>
        <v>-7.4485236467718323</v>
      </c>
      <c r="AS1948" s="13">
        <f>EXP(AR$4341*$AM1948+AR$4342)*$AP1948/(100000000/($AM1948-$AL1948))</f>
        <v>2.935619020734022</v>
      </c>
      <c r="AT1948" s="3">
        <f>LN(AS1948/$C1948)</f>
        <v>0.38377116044222004</v>
      </c>
      <c r="AU1948" s="16" cm="1">
        <f t="array" ref="AU1948">$C1948*EXP(poly_from_str(100000000/$E1948,AU$4342))</f>
        <v>2.7195573818003376</v>
      </c>
      <c r="AV1948" s="13">
        <f>LN(AS1948/AU1948)</f>
        <v>7.6449201215067375E-2</v>
      </c>
    </row>
    <row r="1949" spans="1:48" x14ac:dyDescent="0.25">
      <c r="A1949" t="s">
        <v>2840</v>
      </c>
      <c r="B1949" s="2" t="str">
        <f t="shared" si="1220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1221"/>
        <v>3272.0549999999998</v>
      </c>
      <c r="AB1949" s="3">
        <f t="shared" si="1222"/>
        <v>30553.03</v>
      </c>
      <c r="AC1949" s="3" cm="1">
        <f t="array" ref="AC1949">100000000/LvacE(AA1949)</f>
        <v>30553.027185879742</v>
      </c>
      <c r="AD1949" s="10">
        <f t="shared" si="1223"/>
        <v>9.66878264361078E-3</v>
      </c>
      <c r="AE1949" s="10" t="b">
        <f t="shared" si="1224"/>
        <v>1</v>
      </c>
      <c r="AP1949"/>
      <c r="AQ1949"/>
      <c r="AU1949" s="16" cm="1">
        <f t="array" ref="AU1949">$C1949*EXP(poly_from_str(100000000/$E1949,AU$4342))</f>
        <v>1.3709892661257395</v>
      </c>
    </row>
    <row r="1950" spans="1:48" x14ac:dyDescent="0.25">
      <c r="A1950" t="s">
        <v>2841</v>
      </c>
      <c r="B1950" s="2" t="str">
        <f t="shared" si="1220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1221"/>
        <v>3270.701</v>
      </c>
      <c r="AB1950" s="3">
        <f t="shared" si="1222"/>
        <v>30565.67</v>
      </c>
      <c r="AC1950" s="3" cm="1">
        <f t="array" ref="AC1950">100000000/LvacE(AA1950)</f>
        <v>30565.675049634621</v>
      </c>
      <c r="AD1950" s="10">
        <f t="shared" si="1223"/>
        <v>9.6726489290269307E-3</v>
      </c>
      <c r="AE1950" s="10" t="b">
        <f t="shared" si="1224"/>
        <v>1</v>
      </c>
      <c r="AP1950"/>
      <c r="AQ1950"/>
      <c r="AU1950" s="16" cm="1">
        <f t="array" ref="AU1950">$C1950*EXP(poly_from_str(100000000/$E1950,AU$4342))</f>
        <v>0</v>
      </c>
    </row>
    <row r="1951" spans="1:48" x14ac:dyDescent="0.25">
      <c r="A1951" t="s">
        <v>2842</v>
      </c>
      <c r="B1951" s="2" t="str">
        <f t="shared" si="1220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1221"/>
        <v>3270.6689999999999</v>
      </c>
      <c r="AB1951" s="3">
        <f t="shared" si="1222"/>
        <v>30565.97</v>
      </c>
      <c r="AC1951" s="3" cm="1">
        <f t="array" ref="AC1951">100000000/LvacE(AA1951)</f>
        <v>30565.974091836888</v>
      </c>
      <c r="AD1951" s="10">
        <f t="shared" si="1223"/>
        <v>9.6727403616564209E-3</v>
      </c>
      <c r="AE1951" s="10" t="b">
        <f t="shared" si="1224"/>
        <v>1</v>
      </c>
      <c r="AP1951"/>
      <c r="AQ1951"/>
      <c r="AU1951" s="16" cm="1">
        <f t="array" ref="AU1951">$C1951*EXP(poly_from_str(100000000/$E1951,AU$4342))</f>
        <v>0</v>
      </c>
    </row>
    <row r="1952" spans="1:48" x14ac:dyDescent="0.25">
      <c r="A1952" t="s">
        <v>2843</v>
      </c>
      <c r="B1952" s="2" t="str">
        <f t="shared" si="1220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1221"/>
        <v>3270.6179999999999</v>
      </c>
      <c r="AB1952" s="3">
        <f t="shared" si="1222"/>
        <v>30566.45</v>
      </c>
      <c r="AC1952" s="3" cm="1">
        <f t="array" ref="AC1952">100000000/LvacE(AA1952)</f>
        <v>30566.450702440899</v>
      </c>
      <c r="AD1952" s="10">
        <f t="shared" si="1223"/>
        <v>9.6728860879566024E-3</v>
      </c>
      <c r="AE1952" s="10" t="b">
        <f t="shared" si="1224"/>
        <v>1</v>
      </c>
      <c r="AP1952"/>
      <c r="AQ1952"/>
      <c r="AU1952" s="16" cm="1">
        <f t="array" ref="AU1952">$C1952*EXP(poly_from_str(100000000/$E1952,AU$4342))</f>
        <v>4.1291473456371977</v>
      </c>
    </row>
    <row r="1953" spans="1:48" x14ac:dyDescent="0.25">
      <c r="A1953" t="s">
        <v>2844</v>
      </c>
      <c r="B1953" s="2" t="str">
        <f t="shared" si="1220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1221"/>
        <v>3265.9189999999999</v>
      </c>
      <c r="AB1953" s="3">
        <f t="shared" si="1222"/>
        <v>30610.43</v>
      </c>
      <c r="AC1953" s="3" cm="1">
        <f t="array" ref="AC1953">100000000/LvacE(AA1953)</f>
        <v>30610.428159981169</v>
      </c>
      <c r="AD1953" s="10">
        <f t="shared" si="1223"/>
        <v>9.6863422148530283E-3</v>
      </c>
      <c r="AE1953" s="10" t="b">
        <f t="shared" si="1224"/>
        <v>1</v>
      </c>
      <c r="AP1953"/>
      <c r="AQ1953"/>
      <c r="AU1953" s="16" cm="1">
        <f t="array" ref="AU1953">$C1953*EXP(poly_from_str(100000000/$E1953,AU$4342))</f>
        <v>0</v>
      </c>
    </row>
    <row r="1954" spans="1:48" x14ac:dyDescent="0.25">
      <c r="A1954" t="s">
        <v>2845</v>
      </c>
      <c r="B1954" s="2" t="str">
        <f t="shared" si="1220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1221"/>
        <v>3265.884</v>
      </c>
      <c r="AB1954" s="3">
        <f t="shared" si="1222"/>
        <v>30610.76</v>
      </c>
      <c r="AC1954" s="3" cm="1">
        <f t="array" ref="AC1954">100000000/LvacE(AA1954)</f>
        <v>30610.756196162754</v>
      </c>
      <c r="AD1954" s="10">
        <f t="shared" si="1223"/>
        <v>9.6864426593477847E-3</v>
      </c>
      <c r="AE1954" s="10" t="b">
        <f t="shared" si="1224"/>
        <v>1</v>
      </c>
      <c r="AP1954"/>
      <c r="AQ1954"/>
      <c r="AU1954" s="16" cm="1">
        <f t="array" ref="AU1954">$C1954*EXP(poly_from_str(100000000/$E1954,AU$4342))</f>
        <v>0</v>
      </c>
    </row>
    <row r="1955" spans="1:48" x14ac:dyDescent="0.25">
      <c r="A1955" t="s">
        <v>2846</v>
      </c>
      <c r="B1955" s="2" t="str">
        <f t="shared" si="1220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1243">$G1955&amp;""</f>
        <v>e</v>
      </c>
      <c r="N1955" t="str">
        <f t="shared" ref="N1955:N1956" si="1244">$H1955&amp;""</f>
        <v>9/2</v>
      </c>
      <c r="O1955">
        <v>61605.66</v>
      </c>
      <c r="P1955" t="str">
        <f t="shared" ref="P1955:P1956" si="1245">$J1955&amp;""</f>
        <v>o</v>
      </c>
      <c r="Q1955" t="str">
        <f t="shared" ref="Q1955:Q1956" si="1246">$K1955&amp;""</f>
        <v>7/2</v>
      </c>
      <c r="R1955">
        <v>19</v>
      </c>
      <c r="AA1955" s="10">
        <f t="shared" si="1221"/>
        <v>3265.8470000000002</v>
      </c>
      <c r="AB1955" s="3">
        <f t="shared" si="1222"/>
        <v>30611.1</v>
      </c>
      <c r="AC1955" s="3" cm="1">
        <f t="array" ref="AC1955">100000000/LvacE(AA1955)</f>
        <v>30611.10298491381</v>
      </c>
      <c r="AD1955" s="10">
        <f t="shared" si="1223"/>
        <v>9.6865488470393446E-3</v>
      </c>
      <c r="AE1955" s="10" t="b">
        <f t="shared" si="1224"/>
        <v>1</v>
      </c>
      <c r="AJ1955" t="s">
        <v>4788</v>
      </c>
      <c r="AK1955" t="s">
        <v>4822</v>
      </c>
      <c r="AL1955">
        <v>30994.55</v>
      </c>
      <c r="AM1955">
        <v>61605.66</v>
      </c>
      <c r="AN1955" s="10" cm="1">
        <f t="array" ref="AN1955">Lair(100000000/($AM1955-$AL1955))</f>
        <v>3265.8462459537686</v>
      </c>
      <c r="AO1955" s="10">
        <f t="shared" ref="AO1955:AO1956" si="1247">100000000/($AM1955-$AL1955)</f>
        <v>3266.7877773788664</v>
      </c>
      <c r="AP1955" s="12">
        <v>26400000</v>
      </c>
      <c r="AQ1955" s="3">
        <v>0.02</v>
      </c>
      <c r="AR1955" s="3"/>
      <c r="AS1955" s="13">
        <f t="shared" ref="AS1955:AS1956" si="1248">EXP(AR$4341*$AM1955+AR$4342)*$AP1955/(100000000/($AM1955-$AL1955))</f>
        <v>7.016204601690923</v>
      </c>
      <c r="AT1955" s="3"/>
      <c r="AU1955" s="16" cm="1">
        <f t="array" ref="AU1955">$C1955*EXP(poly_from_str(100000000/$E1955,AU$4342))</f>
        <v>4.1827308236080372</v>
      </c>
    </row>
    <row r="1956" spans="1:48" x14ac:dyDescent="0.25">
      <c r="A1956" t="s">
        <v>2847</v>
      </c>
      <c r="B1956" s="2" t="str">
        <f t="shared" si="1220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1243"/>
        <v>e</v>
      </c>
      <c r="N1956" t="str">
        <f t="shared" si="1244"/>
        <v>11/2</v>
      </c>
      <c r="O1956">
        <v>61357.04</v>
      </c>
      <c r="P1956" t="str">
        <f t="shared" si="1245"/>
        <v>o</v>
      </c>
      <c r="Q1956" t="str">
        <f t="shared" si="1246"/>
        <v>9/2</v>
      </c>
      <c r="R1956">
        <v>19</v>
      </c>
      <c r="AA1956" s="10">
        <f t="shared" si="1221"/>
        <v>3264.52</v>
      </c>
      <c r="AB1956" s="3">
        <f t="shared" si="1222"/>
        <v>30623.55</v>
      </c>
      <c r="AC1956" s="3" cm="1">
        <f t="array" ref="AC1956">100000000/LvacE(AA1956)</f>
        <v>30623.545713021449</v>
      </c>
      <c r="AD1956" s="10">
        <f t="shared" si="1223"/>
        <v>9.6903596413900756E-3</v>
      </c>
      <c r="AE1956" s="10" t="b">
        <f t="shared" si="1224"/>
        <v>1</v>
      </c>
      <c r="AJ1956" t="s">
        <v>4828</v>
      </c>
      <c r="AK1956" t="s">
        <v>4903</v>
      </c>
      <c r="AL1956">
        <v>30733.53</v>
      </c>
      <c r="AM1956">
        <v>61357.04</v>
      </c>
      <c r="AN1956" s="10" cm="1">
        <f t="array" ref="AN1956">Lair(100000000/($AM1956-$AL1956))</f>
        <v>3264.5238016105245</v>
      </c>
      <c r="AO1956" s="10">
        <f t="shared" si="1247"/>
        <v>3265.4649973174205</v>
      </c>
      <c r="AP1956" s="12">
        <v>150000000</v>
      </c>
      <c r="AQ1956" s="3">
        <v>0.22500000000000001</v>
      </c>
      <c r="AR1956" s="3">
        <f>LN(AU1956*100000000/($AM1956-$AL1956)/AP1956)</f>
        <v>-7.4033553541414188</v>
      </c>
      <c r="AS1956" s="13">
        <f t="shared" si="1248"/>
        <v>40.632036257965687</v>
      </c>
      <c r="AT1956" s="3">
        <f t="shared" ref="AT1956" si="1249">LN(AS1956/$C1956)</f>
        <v>0.70882455229456676</v>
      </c>
      <c r="AU1956" s="16" cm="1">
        <f t="array" ref="AU1956">$C1956*EXP(poly_from_str(100000000/$E1956,AU$4342))</f>
        <v>27.984003618127264</v>
      </c>
      <c r="AV1956" s="13">
        <f>LN(AS1956/AU1956)</f>
        <v>0.37292377827960743</v>
      </c>
    </row>
    <row r="1957" spans="1:48" x14ac:dyDescent="0.25">
      <c r="A1957" t="s">
        <v>2848</v>
      </c>
      <c r="B1957" s="2" t="str">
        <f t="shared" si="1220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1221"/>
        <v>3264.4789999999998</v>
      </c>
      <c r="AB1957" s="3">
        <f t="shared" si="1222"/>
        <v>30623.93</v>
      </c>
      <c r="AC1957" s="3" cm="1">
        <f t="array" ref="AC1957">100000000/LvacE(AA1957)</f>
        <v>30623.930314093148</v>
      </c>
      <c r="AD1957" s="10">
        <f t="shared" si="1223"/>
        <v>9.6904774566007549E-3</v>
      </c>
      <c r="AE1957" s="10" t="b">
        <f t="shared" si="1224"/>
        <v>1</v>
      </c>
      <c r="AP1957"/>
      <c r="AQ1957"/>
      <c r="AU1957" s="16" cm="1">
        <f t="array" ref="AU1957">$C1957*EXP(poly_from_str(100000000/$E1957,AU$4342))</f>
        <v>0</v>
      </c>
    </row>
    <row r="1958" spans="1:48" x14ac:dyDescent="0.25">
      <c r="A1958" t="s">
        <v>2849</v>
      </c>
      <c r="B1958" s="2" t="str">
        <f t="shared" si="1220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1221"/>
        <v>3264.442</v>
      </c>
      <c r="AB1958" s="3">
        <f t="shared" si="1222"/>
        <v>30624.28</v>
      </c>
      <c r="AC1958" s="3" cm="1">
        <f t="array" ref="AC1958">100000000/LvacE(AA1958)</f>
        <v>30624.277401401625</v>
      </c>
      <c r="AD1958" s="10">
        <f t="shared" si="1223"/>
        <v>9.6905837814550873E-3</v>
      </c>
      <c r="AE1958" s="10" t="b">
        <f t="shared" si="1224"/>
        <v>1</v>
      </c>
      <c r="AP1958"/>
      <c r="AQ1958"/>
      <c r="AU1958" s="16" cm="1">
        <f t="array" ref="AU1958">$C1958*EXP(poly_from_str(100000000/$E1958,AU$4342))</f>
        <v>0</v>
      </c>
    </row>
    <row r="1959" spans="1:48" x14ac:dyDescent="0.25">
      <c r="A1959" t="s">
        <v>2850</v>
      </c>
      <c r="B1959" s="2" t="str">
        <f t="shared" si="1220"/>
        <v/>
      </c>
      <c r="C1959" s="4">
        <v>2</v>
      </c>
      <c r="D1959" s="4" t="s">
        <v>4664</v>
      </c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1250">$G1959&amp;""</f>
        <v>e</v>
      </c>
      <c r="N1959" s="4" t="str">
        <f t="shared" ref="N1959" si="1251">$H1959&amp;""</f>
        <v>7/2</v>
      </c>
      <c r="O1959" s="4">
        <v>68544.19</v>
      </c>
      <c r="P1959" s="4" t="str">
        <f t="shared" ref="P1959" si="1252">$J1959&amp;""</f>
        <v>o</v>
      </c>
      <c r="Q1959" s="4" t="str">
        <f t="shared" ref="Q1959" si="1253">$K1959&amp;""</f>
        <v>9/2</v>
      </c>
      <c r="R1959">
        <v>19</v>
      </c>
      <c r="S1959" s="4" t="s">
        <v>2719</v>
      </c>
      <c r="T1959">
        <v>1</v>
      </c>
      <c r="U1959" s="4" t="s">
        <v>4663</v>
      </c>
      <c r="V1959">
        <f>$O1959-$L1959</f>
        <v>30624.61</v>
      </c>
      <c r="W1959">
        <f>$E1959-V1959</f>
        <v>-4.0000000000873115E-2</v>
      </c>
      <c r="AA1959" s="10">
        <f t="shared" si="1221"/>
        <v>3264.4110000000001</v>
      </c>
      <c r="AB1959" s="3">
        <f t="shared" si="1222"/>
        <v>30624.57</v>
      </c>
      <c r="AC1959" s="3" cm="1">
        <f t="array" ref="AC1959">100000000/LvacE(AA1959)</f>
        <v>30624.568210338981</v>
      </c>
      <c r="AD1959" s="10">
        <f t="shared" si="1223"/>
        <v>9.6906728672245899E-3</v>
      </c>
      <c r="AE1959" s="10" t="b">
        <f t="shared" si="1224"/>
        <v>1</v>
      </c>
      <c r="AJ1959" t="s">
        <v>4764</v>
      </c>
      <c r="AK1959" t="s">
        <v>4901</v>
      </c>
      <c r="AL1959">
        <v>37919.58</v>
      </c>
      <c r="AM1959">
        <v>68544.19</v>
      </c>
      <c r="AN1959" s="10" cm="1">
        <f t="array" ref="AN1959">Lair(100000000/($AM1959-$AL1959))</f>
        <v>3264.4065397125923</v>
      </c>
      <c r="AO1959" s="10">
        <f>100000000/($AM1959-$AL1959)</f>
        <v>3265.3477056524148</v>
      </c>
      <c r="AP1959" s="12">
        <v>32600000</v>
      </c>
      <c r="AQ1959" s="3">
        <v>0.21</v>
      </c>
      <c r="AR1959" s="3">
        <f>LN(AU1959*100000000/($AM1959-$AL1959)/AP1959)</f>
        <v>-8.1793635200057224</v>
      </c>
      <c r="AS1959" s="13">
        <f>EXP(AR$4341*$AM1959+AR$4342)*$AP1959/(100000000/($AM1959-$AL1959))</f>
        <v>5.1494886541826954</v>
      </c>
      <c r="AT1959" s="3">
        <f>LN(AS1959/$C1959)</f>
        <v>0.94575023873611441</v>
      </c>
      <c r="AU1959" s="16" cm="1">
        <f t="array" ref="AU1959">$C1959*EXP(poly_from_str(100000000/$E1959,AU$4342))</f>
        <v>2.7992115701800069</v>
      </c>
      <c r="AV1959" s="13">
        <f>LN(AS1959/AU1959)</f>
        <v>0.6095596238451475</v>
      </c>
    </row>
    <row r="1960" spans="1:48" x14ac:dyDescent="0.25">
      <c r="A1960" t="s">
        <v>2851</v>
      </c>
      <c r="B1960" s="2" t="str">
        <f t="shared" si="1220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1221"/>
        <v>3264.386</v>
      </c>
      <c r="AB1960" s="3">
        <f t="shared" si="1222"/>
        <v>30624.799999999999</v>
      </c>
      <c r="AC1960" s="3" cm="1">
        <f t="array" ref="AC1960">100000000/LvacE(AA1960)</f>
        <v>30624.802737698526</v>
      </c>
      <c r="AD1960" s="10">
        <f t="shared" si="1223"/>
        <v>9.6907447124357435E-3</v>
      </c>
      <c r="AE1960" s="10" t="b">
        <f t="shared" si="1224"/>
        <v>1</v>
      </c>
      <c r="AP1960"/>
      <c r="AQ1960"/>
      <c r="AU1960" s="16" cm="1">
        <f t="array" ref="AU1960">$C1960*EXP(poly_from_str(100000000/$E1960,AU$4342))</f>
        <v>0</v>
      </c>
    </row>
    <row r="1961" spans="1:48" x14ac:dyDescent="0.25">
      <c r="A1961" t="s">
        <v>2852</v>
      </c>
      <c r="B1961" s="2" t="str">
        <f t="shared" si="1220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1221"/>
        <v>3264.1170000000002</v>
      </c>
      <c r="AB1961" s="3">
        <f t="shared" si="1222"/>
        <v>30627.33</v>
      </c>
      <c r="AC1961" s="3" cm="1">
        <f t="array" ref="AC1961">100000000/LvacE(AA1961)</f>
        <v>30627.326479367621</v>
      </c>
      <c r="AD1961" s="10">
        <f t="shared" si="1223"/>
        <v>9.6915178713519803E-3</v>
      </c>
      <c r="AE1961" s="10" t="b">
        <f t="shared" si="1224"/>
        <v>1</v>
      </c>
      <c r="AP1961"/>
      <c r="AQ1961"/>
      <c r="AU1961" s="16" cm="1">
        <f t="array" ref="AU1961">$C1961*EXP(poly_from_str(100000000/$E1961,AU$4342))</f>
        <v>2.8014058735229792</v>
      </c>
    </row>
    <row r="1962" spans="1:48" x14ac:dyDescent="0.25">
      <c r="A1962" t="s">
        <v>2853</v>
      </c>
      <c r="B1962" s="2" t="str">
        <f t="shared" si="1220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1221"/>
        <v>3263.6750000000002</v>
      </c>
      <c r="AB1962" s="3">
        <f t="shared" si="1222"/>
        <v>30631.47</v>
      </c>
      <c r="AC1962" s="3" cm="1">
        <f t="array" ref="AC1962">100000000/LvacE(AA1962)</f>
        <v>30631.474199875698</v>
      </c>
      <c r="AD1962" s="10">
        <f t="shared" si="1223"/>
        <v>9.6927886814519981E-3</v>
      </c>
      <c r="AE1962" s="10" t="b">
        <f t="shared" si="1224"/>
        <v>1</v>
      </c>
      <c r="AJ1962" t="s">
        <v>4807</v>
      </c>
      <c r="AK1962" t="s">
        <v>4833</v>
      </c>
      <c r="AL1962">
        <v>35291</v>
      </c>
      <c r="AM1962">
        <v>65922.42</v>
      </c>
      <c r="AN1962" s="10" cm="1">
        <f t="array" ref="AN1962">Lair(100000000/($AM1962-$AL1962))</f>
        <v>3263.6807694233476</v>
      </c>
      <c r="AO1962" s="10">
        <f>100000000/($AM1962-$AL1962)</f>
        <v>3264.6217511300488</v>
      </c>
      <c r="AP1962" s="12">
        <v>134000000</v>
      </c>
      <c r="AQ1962" s="3">
        <v>0.55300000000000005</v>
      </c>
      <c r="AR1962" s="3">
        <f>LN(AU1962*100000000/($AM1962-$AL1962)/AP1962)</f>
        <v>-8.4925439721767582</v>
      </c>
      <c r="AS1962" s="13">
        <f>EXP(AR$4341*$AM1962+AR$4342)*$AP1962/(100000000/($AM1962-$AL1962))</f>
        <v>25.774937884643936</v>
      </c>
      <c r="AT1962" s="3">
        <f>LN(AS1962/$C1962)</f>
        <v>1.457643150764943</v>
      </c>
      <c r="AU1962" s="16" cm="1">
        <f t="array" ref="AU1962">$C1962*EXP(poly_from_str(100000000/$E1962,AU$4342))</f>
        <v>8.4140859506939982</v>
      </c>
      <c r="AV1962" s="13">
        <f>LN(AS1962/AU1962)</f>
        <v>1.1194954196767013</v>
      </c>
    </row>
    <row r="1963" spans="1:48" x14ac:dyDescent="0.25">
      <c r="A1963" t="s">
        <v>2854</v>
      </c>
      <c r="B1963" s="2" t="str">
        <f t="shared" si="1220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1221"/>
        <v>3263.6280000000002</v>
      </c>
      <c r="AB1963" s="3">
        <f t="shared" si="1222"/>
        <v>30631.919999999998</v>
      </c>
      <c r="AC1963" s="3" cm="1">
        <f t="array" ref="AC1963">100000000/LvacE(AA1963)</f>
        <v>30631.915313158705</v>
      </c>
      <c r="AD1963" s="10">
        <f t="shared" si="1223"/>
        <v>9.6929238432135502E-3</v>
      </c>
      <c r="AE1963" s="10" t="b">
        <f t="shared" si="1224"/>
        <v>1</v>
      </c>
      <c r="AP1963"/>
      <c r="AQ1963"/>
      <c r="AU1963" s="16" cm="1">
        <f t="array" ref="AU1963">$C1963*EXP(poly_from_str(100000000/$E1963,AU$4342))</f>
        <v>0</v>
      </c>
    </row>
    <row r="1964" spans="1:48" x14ac:dyDescent="0.25">
      <c r="A1964" t="s">
        <v>2855</v>
      </c>
      <c r="B1964" s="2" t="str">
        <f t="shared" si="1220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1221"/>
        <v>3263.585</v>
      </c>
      <c r="AB1964" s="3">
        <f t="shared" si="1222"/>
        <v>30632.32</v>
      </c>
      <c r="AC1964" s="3" cm="1">
        <f t="array" ref="AC1964">100000000/LvacE(AA1964)</f>
        <v>30632.318896014363</v>
      </c>
      <c r="AD1964" s="10">
        <f t="shared" si="1223"/>
        <v>9.6930475069615732E-3</v>
      </c>
      <c r="AE1964" s="10" t="b">
        <f t="shared" si="1224"/>
        <v>1</v>
      </c>
      <c r="AP1964"/>
      <c r="AQ1964"/>
      <c r="AU1964" s="16" cm="1">
        <f t="array" ref="AU1964">$C1964*EXP(poly_from_str(100000000/$E1964,AU$4342))</f>
        <v>0</v>
      </c>
    </row>
    <row r="1965" spans="1:48" x14ac:dyDescent="0.25">
      <c r="A1965" t="s">
        <v>2856</v>
      </c>
      <c r="B1965" s="2" t="str">
        <f t="shared" si="1220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1221"/>
        <v>3263.549</v>
      </c>
      <c r="AB1965" s="3">
        <f t="shared" si="1222"/>
        <v>30632.66</v>
      </c>
      <c r="AC1965" s="3" cm="1">
        <f t="array" ref="AC1965">100000000/LvacE(AA1965)</f>
        <v>30632.656787513974</v>
      </c>
      <c r="AD1965" s="10">
        <f t="shared" si="1223"/>
        <v>9.6931510431609857E-3</v>
      </c>
      <c r="AE1965" s="10" t="b">
        <f t="shared" si="1224"/>
        <v>1</v>
      </c>
      <c r="AP1965"/>
      <c r="AQ1965"/>
      <c r="AU1965" s="16" cm="1">
        <f t="array" ref="AU1965">$C1965*EXP(poly_from_str(100000000/$E1965,AU$4342))</f>
        <v>0</v>
      </c>
    </row>
    <row r="1966" spans="1:48" x14ac:dyDescent="0.25">
      <c r="A1966" t="s">
        <v>2857</v>
      </c>
      <c r="B1966" s="2" t="str">
        <f t="shared" si="1220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1221"/>
        <v>3263.5230000000001</v>
      </c>
      <c r="AB1966" s="3">
        <f t="shared" si="1222"/>
        <v>30632.9</v>
      </c>
      <c r="AC1966" s="3" cm="1">
        <f t="array" ref="AC1966">100000000/LvacE(AA1966)</f>
        <v>30632.900824899516</v>
      </c>
      <c r="AD1966" s="10">
        <f t="shared" si="1223"/>
        <v>9.693225821435841E-3</v>
      </c>
      <c r="AE1966" s="10" t="b">
        <f t="shared" si="1224"/>
        <v>1</v>
      </c>
      <c r="AP1966"/>
      <c r="AQ1966"/>
      <c r="AU1966" s="16" cm="1">
        <f t="array" ref="AU1966">$C1966*EXP(poly_from_str(100000000/$E1966,AU$4342))</f>
        <v>0</v>
      </c>
    </row>
    <row r="1967" spans="1:48" x14ac:dyDescent="0.25">
      <c r="A1967" t="s">
        <v>2858</v>
      </c>
      <c r="B1967" s="2" t="str">
        <f t="shared" si="1220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1221"/>
        <v>3262.32</v>
      </c>
      <c r="AB1967" s="3">
        <f t="shared" si="1222"/>
        <v>30644.2</v>
      </c>
      <c r="AC1967" s="3" cm="1">
        <f t="array" ref="AC1967">100000000/LvacE(AA1967)</f>
        <v>30644.196500527371</v>
      </c>
      <c r="AD1967" s="10">
        <f t="shared" si="1223"/>
        <v>9.6966877100540978E-3</v>
      </c>
      <c r="AE1967" s="10" t="b">
        <f t="shared" si="1224"/>
        <v>1</v>
      </c>
      <c r="AJ1967" t="s">
        <v>4807</v>
      </c>
      <c r="AK1967" t="s">
        <v>4858</v>
      </c>
      <c r="AL1967">
        <v>35291</v>
      </c>
      <c r="AM1967">
        <v>65935.25</v>
      </c>
      <c r="AN1967" s="10" cm="1">
        <f t="array" ref="AN1967">Lair(100000000/($AM1967-$AL1967))</f>
        <v>3262.3142987772867</v>
      </c>
      <c r="AO1967" s="10">
        <f>100000000/($AM1967-$AL1967)</f>
        <v>3263.2549336335528</v>
      </c>
      <c r="AP1967" s="12">
        <v>184000000</v>
      </c>
      <c r="AQ1967" s="3">
        <v>0.371</v>
      </c>
      <c r="AR1967" s="3">
        <f>LN(AU1967*100000000/($AM1967-$AL1967)/AP1967)</f>
        <v>-8.8064642943342566</v>
      </c>
      <c r="AS1967" s="13">
        <f>EXP(AR$4341*$AM1967+AR$4342)*$AP1967/(100000000/($AM1967-$AL1967))</f>
        <v>35.373200697640165</v>
      </c>
      <c r="AT1967" s="3">
        <f>LN(AS1967/$C1967)</f>
        <v>1.7741950217707969</v>
      </c>
      <c r="AU1967" s="16" cm="1">
        <f t="array" ref="AU1967">$C1967*EXP(poly_from_str(100000000/$E1967,AU$4342))</f>
        <v>8.4443839498758635</v>
      </c>
      <c r="AV1967" s="13">
        <f>LN(AS1967/AU1967)</f>
        <v>1.4324528919048904</v>
      </c>
    </row>
    <row r="1968" spans="1:48" x14ac:dyDescent="0.25">
      <c r="A1968" t="s">
        <v>2859</v>
      </c>
      <c r="B1968" s="2" t="str">
        <f t="shared" si="1220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1221"/>
        <v>3262.2629999999999</v>
      </c>
      <c r="AB1968" s="3">
        <f t="shared" si="1222"/>
        <v>30644.73</v>
      </c>
      <c r="AC1968" s="3" cm="1">
        <f t="array" ref="AC1968">100000000/LvacE(AA1968)</f>
        <v>30644.731913806594</v>
      </c>
      <c r="AD1968" s="10">
        <f t="shared" si="1223"/>
        <v>9.6968518347243307E-3</v>
      </c>
      <c r="AE1968" s="10" t="b">
        <f t="shared" si="1224"/>
        <v>1</v>
      </c>
      <c r="AP1968"/>
      <c r="AQ1968"/>
      <c r="AU1968" s="16" cm="1">
        <f t="array" ref="AU1968">$C1968*EXP(poly_from_str(100000000/$E1968,AU$4342))</f>
        <v>0</v>
      </c>
    </row>
    <row r="1969" spans="1:48" x14ac:dyDescent="0.25">
      <c r="A1969" t="s">
        <v>2860</v>
      </c>
      <c r="B1969" s="2" t="str">
        <f t="shared" si="1220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1221"/>
        <v>3262.2139999999999</v>
      </c>
      <c r="AB1969" s="3">
        <f t="shared" si="1222"/>
        <v>30645.19</v>
      </c>
      <c r="AC1969" s="3" cm="1">
        <f t="array" ref="AC1969">100000000/LvacE(AA1969)</f>
        <v>30645.192196317133</v>
      </c>
      <c r="AD1969" s="10">
        <f t="shared" si="1223"/>
        <v>9.6969929312297025E-3</v>
      </c>
      <c r="AE1969" s="10" t="b">
        <f t="shared" si="1224"/>
        <v>1</v>
      </c>
      <c r="AP1969"/>
      <c r="AQ1969"/>
      <c r="AU1969" s="16" cm="1">
        <f t="array" ref="AU1969">$C1969*EXP(poly_from_str(100000000/$E1969,AU$4342))</f>
        <v>0</v>
      </c>
    </row>
    <row r="1970" spans="1:48" x14ac:dyDescent="0.25">
      <c r="A1970" t="s">
        <v>2861</v>
      </c>
      <c r="B1970" s="2" t="str">
        <f t="shared" si="1220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1221"/>
        <v>3262.172</v>
      </c>
      <c r="AB1970" s="3">
        <f t="shared" si="1222"/>
        <v>30645.59</v>
      </c>
      <c r="AC1970" s="3" cm="1">
        <f t="array" ref="AC1970">100000000/LvacE(AA1970)</f>
        <v>30645.586735188226</v>
      </c>
      <c r="AD1970" s="10">
        <f t="shared" si="1223"/>
        <v>9.6971138761518735E-3</v>
      </c>
      <c r="AE1970" s="10" t="b">
        <f t="shared" si="1224"/>
        <v>1</v>
      </c>
      <c r="AP1970"/>
      <c r="AQ1970"/>
      <c r="AU1970" s="16" cm="1">
        <f t="array" ref="AU1970">$C1970*EXP(poly_from_str(100000000/$E1970,AU$4342))</f>
        <v>0</v>
      </c>
    </row>
    <row r="1971" spans="1:48" x14ac:dyDescent="0.25">
      <c r="A1971" t="s">
        <v>2862</v>
      </c>
      <c r="B1971" s="2" t="str">
        <f t="shared" si="1220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1221"/>
        <v>3262.14</v>
      </c>
      <c r="AB1971" s="3">
        <f t="shared" si="1222"/>
        <v>30645.89</v>
      </c>
      <c r="AC1971" s="3" cm="1">
        <f t="array" ref="AC1971">100000000/LvacE(AA1971)</f>
        <v>30645.887343051454</v>
      </c>
      <c r="AD1971" s="10">
        <f t="shared" si="1223"/>
        <v>9.6972060277994605E-3</v>
      </c>
      <c r="AE1971" s="10" t="b">
        <f t="shared" si="1224"/>
        <v>1</v>
      </c>
      <c r="AP1971"/>
      <c r="AQ1971"/>
      <c r="AU1971" s="16" cm="1">
        <f t="array" ref="AU1971">$C1971*EXP(poly_from_str(100000000/$E1971,AU$4342))</f>
        <v>0</v>
      </c>
    </row>
    <row r="1972" spans="1:48" x14ac:dyDescent="0.25">
      <c r="A1972" t="s">
        <v>2863</v>
      </c>
      <c r="B1972" s="2" t="str">
        <f t="shared" si="1220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1221"/>
        <v>3261.395</v>
      </c>
      <c r="AB1972" s="3">
        <f t="shared" si="1222"/>
        <v>30652.89</v>
      </c>
      <c r="AC1972" s="3" cm="1">
        <f t="array" ref="AC1972">100000000/LvacE(AA1972)</f>
        <v>30652.887537109375</v>
      </c>
      <c r="AD1972" s="10">
        <f t="shared" si="1223"/>
        <v>9.6993522000722657E-3</v>
      </c>
      <c r="AE1972" s="10" t="b">
        <f t="shared" si="1224"/>
        <v>1</v>
      </c>
      <c r="AP1972"/>
      <c r="AQ1972"/>
      <c r="AU1972" s="16" cm="1">
        <f t="array" ref="AU1972">$C1972*EXP(poly_from_str(100000000/$E1972,AU$4342))</f>
        <v>4.2325130640062305</v>
      </c>
    </row>
    <row r="1973" spans="1:48" x14ac:dyDescent="0.25">
      <c r="A1973" t="s">
        <v>2864</v>
      </c>
      <c r="B1973" s="2" t="str">
        <f t="shared" si="1220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1221"/>
        <v>3260.4290000000001</v>
      </c>
      <c r="AB1973" s="3">
        <f t="shared" si="1222"/>
        <v>30661.97</v>
      </c>
      <c r="AC1973" s="3" cm="1">
        <f t="array" ref="AC1973">100000000/LvacE(AA1973)</f>
        <v>30661.969061801199</v>
      </c>
      <c r="AD1973" s="10">
        <f t="shared" si="1223"/>
        <v>9.7021372128945609E-3</v>
      </c>
      <c r="AE1973" s="10" t="b">
        <f t="shared" si="1224"/>
        <v>1</v>
      </c>
      <c r="AJ1973" t="s">
        <v>4702</v>
      </c>
      <c r="AK1973" t="s">
        <v>4838</v>
      </c>
      <c r="AL1973">
        <v>39024.269999999997</v>
      </c>
      <c r="AM1973">
        <v>69686.259999999995</v>
      </c>
      <c r="AN1973" s="10" cm="1">
        <f t="array" ref="AN1973">Lair(100000000/($AM1973-$AL1973))</f>
        <v>3260.4267678821416</v>
      </c>
      <c r="AO1973" s="10">
        <f>100000000/($AM1973-$AL1973)</f>
        <v>3261.3669236732517</v>
      </c>
      <c r="AP1973" s="12">
        <v>24300000</v>
      </c>
      <c r="AQ1973" s="3">
        <v>0.108</v>
      </c>
      <c r="AR1973" s="3">
        <f>LN(AU1973*100000000/($AM1973-$AL1973)/AP1973)</f>
        <v>-8.5693610696724392</v>
      </c>
      <c r="AS1973" s="13">
        <f>EXP(AR$4341*$AM1973+AR$4342)*$AP1973/(100000000/($AM1973-$AL1973))</f>
        <v>3.5274409717543711</v>
      </c>
      <c r="AT1973" s="3">
        <f>LN(AS1973/$C1973)</f>
        <v>1.2605726708711209</v>
      </c>
      <c r="AU1973" s="16" cm="1">
        <f t="array" ref="AU1973">$C1973*EXP(poly_from_str(100000000/$E1973,AU$4342))</f>
        <v>1.4144265025944478</v>
      </c>
      <c r="AV1973" s="13">
        <f>LN(AS1973/AU1973)</f>
        <v>0.91384852045138909</v>
      </c>
    </row>
    <row r="1974" spans="1:48" x14ac:dyDescent="0.25">
      <c r="A1974" t="s">
        <v>2865</v>
      </c>
      <c r="B1974" s="2" t="str">
        <f t="shared" si="1220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1221"/>
        <v>3258.1039999999998</v>
      </c>
      <c r="AB1974" s="3">
        <f t="shared" si="1222"/>
        <v>30683.85</v>
      </c>
      <c r="AC1974" s="3" cm="1">
        <f t="array" ref="AC1974">100000000/LvacE(AA1974)</f>
        <v>30683.848845841654</v>
      </c>
      <c r="AD1974" s="10">
        <f t="shared" si="1223"/>
        <v>9.7088504304714725E-3</v>
      </c>
      <c r="AE1974" s="10" t="b">
        <f t="shared" si="1224"/>
        <v>1</v>
      </c>
      <c r="AP1974"/>
      <c r="AQ1974"/>
      <c r="AU1974" s="16" cm="1">
        <f t="array" ref="AU1974">$C1974*EXP(poly_from_str(100000000/$E1974,AU$4342))</f>
        <v>0</v>
      </c>
    </row>
    <row r="1975" spans="1:48" x14ac:dyDescent="0.25">
      <c r="A1975" t="s">
        <v>2866</v>
      </c>
      <c r="B1975" s="2" t="str">
        <f t="shared" si="1220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1221"/>
        <v>3258.0680000000002</v>
      </c>
      <c r="AB1975" s="3">
        <f t="shared" si="1222"/>
        <v>30684.19</v>
      </c>
      <c r="AC1975" s="3" cm="1">
        <f t="array" ref="AC1975">100000000/LvacE(AA1975)</f>
        <v>30684.187875083968</v>
      </c>
      <c r="AD1975" s="10">
        <f t="shared" si="1223"/>
        <v>9.7089544900665001E-3</v>
      </c>
      <c r="AE1975" s="10" t="b">
        <f t="shared" si="1224"/>
        <v>1</v>
      </c>
      <c r="AP1975"/>
      <c r="AQ1975"/>
      <c r="AU1975" s="16" cm="1">
        <f t="array" ref="AU1975">$C1975*EXP(poly_from_str(100000000/$E1975,AU$4342))</f>
        <v>0</v>
      </c>
    </row>
    <row r="1976" spans="1:48" x14ac:dyDescent="0.25">
      <c r="A1976" t="s">
        <v>2867</v>
      </c>
      <c r="B1976" s="2" t="str">
        <f t="shared" si="1220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1254">$G1976&amp;""</f>
        <v>e</v>
      </c>
      <c r="N1976" t="str">
        <f t="shared" ref="N1976:N1977" si="1255">$H1976&amp;""</f>
        <v>11/2</v>
      </c>
      <c r="O1976">
        <v>64150.94</v>
      </c>
      <c r="P1976" t="str">
        <f t="shared" ref="P1976:P1977" si="1256">$J1976&amp;""</f>
        <v>o</v>
      </c>
      <c r="Q1976" t="str">
        <f t="shared" ref="Q1976:Q1977" si="1257">$K1976&amp;""</f>
        <v>11/2</v>
      </c>
      <c r="R1976">
        <v>19</v>
      </c>
      <c r="AA1976" s="10">
        <f t="shared" si="1221"/>
        <v>3258.0259999999998</v>
      </c>
      <c r="AB1976" s="3">
        <f t="shared" si="1222"/>
        <v>30684.58</v>
      </c>
      <c r="AC1976" s="3" cm="1">
        <f t="array" ref="AC1976">100000000/LvacE(AA1976)</f>
        <v>30684.583418668888</v>
      </c>
      <c r="AD1976" s="10">
        <f t="shared" si="1223"/>
        <v>9.7090758972870218E-3</v>
      </c>
      <c r="AE1976" s="10" t="b">
        <f t="shared" si="1224"/>
        <v>1</v>
      </c>
      <c r="AJ1976" t="s">
        <v>4774</v>
      </c>
      <c r="AK1976" t="s">
        <v>4931</v>
      </c>
      <c r="AL1976">
        <v>33466.410000000003</v>
      </c>
      <c r="AM1976">
        <v>64150.94</v>
      </c>
      <c r="AN1976" s="10" cm="1">
        <f t="array" ref="AN1976">Lair(100000000/($AM1976-$AL1976))</f>
        <v>3258.0316665065347</v>
      </c>
      <c r="AO1976" s="10">
        <f t="shared" ref="AO1976:AO1977" si="1258">100000000/($AM1976-$AL1976)</f>
        <v>3258.9712144849541</v>
      </c>
      <c r="AP1976" s="12">
        <v>14800000</v>
      </c>
      <c r="AQ1976" s="3">
        <v>0.06</v>
      </c>
      <c r="AR1976" s="3">
        <f t="shared" ref="AR1976:AR1977" si="1259">LN(AU1976*100000000/($AM1976-$AL1976)/AP1976)</f>
        <v>-7.3748203601417828</v>
      </c>
      <c r="AS1976" s="13">
        <f t="shared" ref="AS1976:AS1977" si="1260">EXP(AR$4341*$AM1976+AR$4342)*$AP1976/(100000000/($AM1976-$AL1976))</f>
        <v>3.2571942792081519</v>
      </c>
      <c r="AT1976" s="3">
        <f t="shared" ref="AT1976:AT1977" si="1261">LN(AS1976/$C1976)</f>
        <v>0.48771899369670257</v>
      </c>
      <c r="AU1976" s="16" cm="1">
        <f t="array" ref="AU1976">$C1976*EXP(poly_from_str(100000000/$E1976,AU$4342))</f>
        <v>2.8466718284853916</v>
      </c>
      <c r="AV1976" s="13">
        <f t="shared" ref="AV1976:AV1977" si="1262">LN(AS1976/AU1976)</f>
        <v>0.13471564184065679</v>
      </c>
    </row>
    <row r="1977" spans="1:48" x14ac:dyDescent="0.25">
      <c r="A1977" t="s">
        <v>2868</v>
      </c>
      <c r="B1977" s="2" t="str">
        <f t="shared" si="1220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1254"/>
        <v>e</v>
      </c>
      <c r="N1977" t="str">
        <f t="shared" si="1255"/>
        <v>9/2</v>
      </c>
      <c r="O1977">
        <v>69138.28</v>
      </c>
      <c r="P1977" t="str">
        <f t="shared" si="1256"/>
        <v>o</v>
      </c>
      <c r="Q1977" t="str">
        <f t="shared" si="1257"/>
        <v>9/2</v>
      </c>
      <c r="R1977">
        <v>19</v>
      </c>
      <c r="AA1977" s="10">
        <f t="shared" si="1221"/>
        <v>3257.4549999999999</v>
      </c>
      <c r="AB1977" s="3">
        <f t="shared" si="1222"/>
        <v>30689.96</v>
      </c>
      <c r="AC1977" s="3" cm="1">
        <f t="array" ref="AC1977">100000000/LvacE(AA1977)</f>
        <v>30689.961939782821</v>
      </c>
      <c r="AD1977" s="10">
        <f t="shared" si="1223"/>
        <v>9.7107269232856348E-3</v>
      </c>
      <c r="AE1977" s="10" t="b">
        <f t="shared" si="1224"/>
        <v>1</v>
      </c>
      <c r="AJ1977" t="s">
        <v>4816</v>
      </c>
      <c r="AK1977" t="s">
        <v>4879</v>
      </c>
      <c r="AL1977">
        <v>38448.379999999997</v>
      </c>
      <c r="AM1977">
        <v>69138.28</v>
      </c>
      <c r="AN1977" s="10" cm="1">
        <f t="array" ref="AN1977">Lair(100000000/($AM1977-$AL1977))</f>
        <v>3257.4615689913048</v>
      </c>
      <c r="AO1977" s="10">
        <f t="shared" si="1258"/>
        <v>3258.4009723068498</v>
      </c>
      <c r="AP1977" s="12">
        <v>168000000</v>
      </c>
      <c r="AQ1977" s="3">
        <v>0.126</v>
      </c>
      <c r="AR1977" s="3">
        <f t="shared" si="1259"/>
        <v>-8.8865571599616295</v>
      </c>
      <c r="AS1977" s="13">
        <f t="shared" si="1260"/>
        <v>25.434188092623383</v>
      </c>
      <c r="AT1977" s="3">
        <f t="shared" si="1261"/>
        <v>1.6266563444592523</v>
      </c>
      <c r="AU1977" s="16" cm="1">
        <f t="array" ref="AU1977">$C1977*EXP(poly_from_str(100000000/$E1977,AU$4342))</f>
        <v>7.1272504054996153</v>
      </c>
      <c r="AV1977" s="13">
        <f t="shared" si="1262"/>
        <v>1.272168734221697</v>
      </c>
    </row>
    <row r="1978" spans="1:48" x14ac:dyDescent="0.25">
      <c r="A1978" t="s">
        <v>2869</v>
      </c>
      <c r="B1978" s="2" t="str">
        <f t="shared" si="1220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1221"/>
        <v>3257.4050000000002</v>
      </c>
      <c r="AB1978" s="3">
        <f t="shared" si="1222"/>
        <v>30690.43</v>
      </c>
      <c r="AC1978" s="3" cm="1">
        <f t="array" ref="AC1978">100000000/LvacE(AA1978)</f>
        <v>30690.433003393013</v>
      </c>
      <c r="AD1978" s="10">
        <f t="shared" si="1223"/>
        <v>9.7108715378334924E-3</v>
      </c>
      <c r="AE1978" s="10" t="b">
        <f t="shared" si="1224"/>
        <v>1</v>
      </c>
      <c r="AP1978"/>
      <c r="AQ1978"/>
      <c r="AU1978" s="16" cm="1">
        <f t="array" ref="AU1978">$C1978*EXP(poly_from_str(100000000/$E1978,AU$4342))</f>
        <v>0</v>
      </c>
    </row>
    <row r="1979" spans="1:48" x14ac:dyDescent="0.25">
      <c r="A1979" t="s">
        <v>2870</v>
      </c>
      <c r="B1979" s="2" t="str">
        <f t="shared" si="1220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1221"/>
        <v>3257.3620000000001</v>
      </c>
      <c r="AB1979" s="3">
        <f t="shared" si="1222"/>
        <v>30690.84</v>
      </c>
      <c r="AC1979" s="3" cm="1">
        <f t="array" ref="AC1979">100000000/LvacE(AA1979)</f>
        <v>30690.838129663407</v>
      </c>
      <c r="AD1979" s="10">
        <f t="shared" si="1223"/>
        <v>9.7109959116707632E-3</v>
      </c>
      <c r="AE1979" s="10" t="b">
        <f t="shared" si="1224"/>
        <v>1</v>
      </c>
      <c r="AP1979"/>
      <c r="AQ1979"/>
      <c r="AU1979" s="16" cm="1">
        <f t="array" ref="AU1979">$C1979*EXP(poly_from_str(100000000/$E1979,AU$4342))</f>
        <v>0</v>
      </c>
    </row>
    <row r="1980" spans="1:48" x14ac:dyDescent="0.25">
      <c r="A1980" t="s">
        <v>2871</v>
      </c>
      <c r="B1980" s="2" t="str">
        <f t="shared" si="1220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1221"/>
        <v>3257.3290000000002</v>
      </c>
      <c r="AB1980" s="3">
        <f t="shared" si="1222"/>
        <v>30691.15</v>
      </c>
      <c r="AC1980" s="3" cm="1">
        <f t="array" ref="AC1980">100000000/LvacE(AA1980)</f>
        <v>30691.149047775831</v>
      </c>
      <c r="AD1980" s="10">
        <f t="shared" si="1223"/>
        <v>9.7110913647003166E-3</v>
      </c>
      <c r="AE1980" s="10" t="b">
        <f t="shared" si="1224"/>
        <v>1</v>
      </c>
      <c r="AP1980"/>
      <c r="AQ1980"/>
      <c r="AU1980" s="16" cm="1">
        <f t="array" ref="AU1980">$C1980*EXP(poly_from_str(100000000/$E1980,AU$4342))</f>
        <v>0</v>
      </c>
    </row>
    <row r="1981" spans="1:48" x14ac:dyDescent="0.25">
      <c r="A1981" t="s">
        <v>2872</v>
      </c>
      <c r="B1981" s="2" t="str">
        <f t="shared" si="1220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1221"/>
        <v>3255.9879999999998</v>
      </c>
      <c r="AB1981" s="3">
        <f t="shared" si="1222"/>
        <v>30703.79</v>
      </c>
      <c r="AC1981" s="3" cm="1">
        <f t="array" ref="AC1981">100000000/LvacE(AA1981)</f>
        <v>30703.7889606272</v>
      </c>
      <c r="AD1981" s="10">
        <f t="shared" si="1223"/>
        <v>9.7149726842708263E-3</v>
      </c>
      <c r="AE1981" s="10" t="b">
        <f t="shared" si="1224"/>
        <v>1</v>
      </c>
      <c r="AP1981"/>
      <c r="AQ1981"/>
      <c r="AU1981" s="16" cm="1">
        <f t="array" ref="AU1981">$C1981*EXP(poly_from_str(100000000/$E1981,AU$4342))</f>
        <v>0</v>
      </c>
    </row>
    <row r="1982" spans="1:48" x14ac:dyDescent="0.25">
      <c r="A1982" t="s">
        <v>2873</v>
      </c>
      <c r="B1982" s="2" t="str">
        <f t="shared" si="1220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1221"/>
        <v>3255.9580000000001</v>
      </c>
      <c r="AB1982" s="3">
        <f t="shared" si="1222"/>
        <v>30704.07</v>
      </c>
      <c r="AC1982" s="3" cm="1">
        <f t="array" ref="AC1982">100000000/LvacE(AA1982)</f>
        <v>30704.07185178779</v>
      </c>
      <c r="AD1982" s="10">
        <f t="shared" si="1223"/>
        <v>9.715059569531885E-3</v>
      </c>
      <c r="AE1982" s="10" t="b">
        <f t="shared" si="1224"/>
        <v>1</v>
      </c>
      <c r="AP1982"/>
      <c r="AQ1982"/>
      <c r="AU1982" s="16" cm="1">
        <f t="array" ref="AU1982">$C1982*EXP(poly_from_str(100000000/$E1982,AU$4342))</f>
        <v>0</v>
      </c>
    </row>
    <row r="1983" spans="1:48" x14ac:dyDescent="0.25">
      <c r="A1983" t="s">
        <v>2874</v>
      </c>
      <c r="B1983" s="2" t="str">
        <f t="shared" si="1220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1263">$G1983&amp;""</f>
        <v>e</v>
      </c>
      <c r="N1983" t="str">
        <f t="shared" ref="N1983:N1985" si="1264">$H1983&amp;""</f>
        <v>7/2</v>
      </c>
      <c r="O1983">
        <v>69431</v>
      </c>
      <c r="P1983" t="str">
        <f t="shared" ref="P1983:P1985" si="1265">$J1983&amp;""</f>
        <v>o</v>
      </c>
      <c r="Q1983" t="str">
        <f t="shared" ref="Q1983:Q1985" si="1266">$K1983&amp;""</f>
        <v>7/2</v>
      </c>
      <c r="R1983">
        <v>19</v>
      </c>
      <c r="AA1983" s="10">
        <f t="shared" si="1221"/>
        <v>3255.92</v>
      </c>
      <c r="AB1983" s="3">
        <f t="shared" si="1222"/>
        <v>30704.43</v>
      </c>
      <c r="AC1983" s="3" cm="1">
        <f t="array" ref="AC1983">100000000/LvacE(AA1983)</f>
        <v>30704.430188074475</v>
      </c>
      <c r="AD1983" s="10">
        <f t="shared" si="1223"/>
        <v>9.7151696276435648E-3</v>
      </c>
      <c r="AE1983" s="10" t="b">
        <f t="shared" si="1224"/>
        <v>1</v>
      </c>
      <c r="AJ1983" t="s">
        <v>4750</v>
      </c>
      <c r="AK1983" t="s">
        <v>4864</v>
      </c>
      <c r="AL1983">
        <v>38726.5</v>
      </c>
      <c r="AM1983">
        <v>69431</v>
      </c>
      <c r="AN1983" s="10" cm="1">
        <f t="array" ref="AN1983">Lair(100000000/($AM1983-$AL1983))</f>
        <v>3255.9125912714626</v>
      </c>
      <c r="AO1983" s="10">
        <f t="shared" ref="AO1983:AO1985" si="1267">100000000/($AM1983-$AL1983)</f>
        <v>3256.8516015567752</v>
      </c>
      <c r="AP1983" s="12">
        <v>74400000</v>
      </c>
      <c r="AQ1983" s="3">
        <v>0.26900000000000002</v>
      </c>
      <c r="AR1983" s="3">
        <f t="shared" ref="AR1983:AR1985" si="1268">LN(AU1983*100000000/($AM1983-$AL1983)/AP1983)</f>
        <v>-8.2916950636945721</v>
      </c>
      <c r="AS1983" s="13">
        <f t="shared" ref="AS1983:AS1985" si="1269">EXP(AR$4341*$AM1983+AR$4342)*$AP1983/(100000000/($AM1983-$AL1983))</f>
        <v>11.024214208594088</v>
      </c>
      <c r="AT1983" s="3">
        <f t="shared" ref="AT1983:AT1985" si="1270">LN(AS1983/$C1983)</f>
        <v>1.0137997840760276</v>
      </c>
      <c r="AU1983" s="16" cm="1">
        <f t="array" ref="AU1983">$C1983*EXP(poly_from_str(100000000/$E1983,AU$4342))</f>
        <v>5.7244999164951791</v>
      </c>
      <c r="AV1983" s="13">
        <f t="shared" ref="AV1983:AV1985" si="1271">LN(AS1983/AU1983)</f>
        <v>0.65533895040145718</v>
      </c>
    </row>
    <row r="1984" spans="1:48" x14ac:dyDescent="0.25">
      <c r="A1984" t="s">
        <v>2875</v>
      </c>
      <c r="B1984" s="2" t="str">
        <f t="shared" si="1220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1263"/>
        <v>e</v>
      </c>
      <c r="N1984" t="str">
        <f t="shared" si="1264"/>
        <v>5/2</v>
      </c>
      <c r="O1984">
        <v>65295.9</v>
      </c>
      <c r="P1984" t="str">
        <f t="shared" si="1265"/>
        <v>o</v>
      </c>
      <c r="Q1984" t="str">
        <f t="shared" si="1266"/>
        <v>7/2</v>
      </c>
      <c r="R1984">
        <v>19</v>
      </c>
      <c r="AA1984" s="10">
        <f t="shared" si="1221"/>
        <v>3248.386</v>
      </c>
      <c r="AB1984" s="3">
        <f t="shared" si="1222"/>
        <v>30775.64</v>
      </c>
      <c r="AC1984" s="3" cm="1">
        <f t="array" ref="AC1984">100000000/LvacE(AA1984)</f>
        <v>30775.640667929652</v>
      </c>
      <c r="AD1984" s="10">
        <f t="shared" si="1223"/>
        <v>9.7370664489887671E-3</v>
      </c>
      <c r="AE1984" s="10" t="b">
        <f t="shared" si="1224"/>
        <v>1</v>
      </c>
      <c r="AJ1984" t="s">
        <v>4722</v>
      </c>
      <c r="AK1984" t="s">
        <v>4825</v>
      </c>
      <c r="AL1984">
        <v>34520.269999999997</v>
      </c>
      <c r="AM1984">
        <v>65295.9</v>
      </c>
      <c r="AN1984" s="10" cm="1">
        <f t="array" ref="AN1984">Lair(100000000/($AM1984-$AL1984))</f>
        <v>3248.3871204734151</v>
      </c>
      <c r="AO1984" s="10">
        <f t="shared" si="1267"/>
        <v>3249.3242217949719</v>
      </c>
      <c r="AP1984" s="12">
        <v>61400000</v>
      </c>
      <c r="AQ1984" s="3">
        <v>0.31900000000000001</v>
      </c>
      <c r="AR1984" s="3">
        <f t="shared" si="1268"/>
        <v>-5.557081459631096</v>
      </c>
      <c r="AS1984" s="13">
        <f t="shared" si="1269"/>
        <v>12.437148175307081</v>
      </c>
      <c r="AT1984" s="3">
        <f t="shared" si="1270"/>
        <v>-1.3913351907560272</v>
      </c>
      <c r="AU1984" s="16" cm="1">
        <f t="array" ref="AU1984">$C1984*EXP(poly_from_str(100000000/$E1984,AU$4342))</f>
        <v>72.939958143987852</v>
      </c>
      <c r="AV1984" s="13">
        <f t="shared" si="1271"/>
        <v>-1.7689487968665705</v>
      </c>
    </row>
    <row r="1985" spans="1:48" x14ac:dyDescent="0.25">
      <c r="A1985" t="s">
        <v>2876</v>
      </c>
      <c r="B1985" s="2" t="str">
        <f t="shared" si="1220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1263"/>
        <v>e</v>
      </c>
      <c r="N1985" t="str">
        <f t="shared" si="1264"/>
        <v>11/2</v>
      </c>
      <c r="O1985">
        <v>58174.15</v>
      </c>
      <c r="P1985" t="str">
        <f t="shared" si="1265"/>
        <v>o</v>
      </c>
      <c r="Q1985" t="str">
        <f t="shared" si="1266"/>
        <v>9/2</v>
      </c>
      <c r="R1985">
        <v>19</v>
      </c>
      <c r="AA1985" s="10">
        <f t="shared" si="1221"/>
        <v>3246.47</v>
      </c>
      <c r="AB1985" s="3">
        <f t="shared" si="1222"/>
        <v>30793.8</v>
      </c>
      <c r="AC1985" s="3" cm="1">
        <f t="array" ref="AC1985">100000000/LvacE(AA1985)</f>
        <v>30793.803185929013</v>
      </c>
      <c r="AD1985" s="10">
        <f t="shared" si="1223"/>
        <v>9.7426594402426347E-3</v>
      </c>
      <c r="AE1985" s="10" t="b">
        <f t="shared" si="1224"/>
        <v>1</v>
      </c>
      <c r="AJ1985" t="s">
        <v>4712</v>
      </c>
      <c r="AK1985" t="s">
        <v>4698</v>
      </c>
      <c r="AL1985">
        <v>27380.31</v>
      </c>
      <c r="AM1985">
        <v>58174.15</v>
      </c>
      <c r="AN1985" s="10" cm="1">
        <f t="array" ref="AN1985">Lair(100000000/($AM1985-$AL1985))</f>
        <v>3246.4661131362977</v>
      </c>
      <c r="AO1985" s="10">
        <f t="shared" si="1267"/>
        <v>3247.4027272987064</v>
      </c>
      <c r="AP1985" s="12">
        <v>13100000</v>
      </c>
      <c r="AQ1985" s="3">
        <v>6.2E-2</v>
      </c>
      <c r="AR1985" s="3">
        <f t="shared" si="1268"/>
        <v>-6.5338262966638343</v>
      </c>
      <c r="AS1985" s="13">
        <f t="shared" si="1269"/>
        <v>4.5310151027439849</v>
      </c>
      <c r="AT1985" s="3">
        <f t="shared" si="1270"/>
        <v>0.12465163776281847</v>
      </c>
      <c r="AU1985" s="16" cm="1">
        <f t="array" ref="AU1985">$C1985*EXP(poly_from_str(100000000/$E1985,AU$4342))</f>
        <v>5.8631423467616868</v>
      </c>
      <c r="AV1985" s="13">
        <f t="shared" si="1271"/>
        <v>-0.25773969763147003</v>
      </c>
    </row>
    <row r="1986" spans="1:48" x14ac:dyDescent="0.25">
      <c r="A1986" t="s">
        <v>2877</v>
      </c>
      <c r="B1986" s="2" t="str">
        <f t="shared" ref="B1986:B2049" si="127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1221"/>
        <v>3245.4189999999999</v>
      </c>
      <c r="AB1986" s="3">
        <f t="shared" si="1222"/>
        <v>30803.77</v>
      </c>
      <c r="AC1986" s="3" cm="1">
        <f t="array" ref="AC1986">100000000/LvacE(AA1986)</f>
        <v>30803.775136131357</v>
      </c>
      <c r="AD1986" s="10">
        <f t="shared" si="1223"/>
        <v>9.7457316198819553E-3</v>
      </c>
      <c r="AE1986" s="10" t="b">
        <f t="shared" si="1224"/>
        <v>1</v>
      </c>
      <c r="AP1986"/>
      <c r="AQ1986"/>
      <c r="AU1986" s="16" cm="1">
        <f t="array" ref="AU1986">$C1986*EXP(poly_from_str(100000000/$E1986,AU$4342))</f>
        <v>2.9392166094482302</v>
      </c>
    </row>
    <row r="1987" spans="1:48" x14ac:dyDescent="0.25">
      <c r="A1987" t="s">
        <v>2878</v>
      </c>
      <c r="B1987" s="2" t="str">
        <f t="shared" si="127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1273">ROUND($A1987,3)+0</f>
        <v>3237.4960000000001</v>
      </c>
      <c r="AB1987" s="3">
        <f t="shared" ref="AB1987:AB2050" si="1274">ROUND($E1987,2)+0</f>
        <v>30879.16</v>
      </c>
      <c r="AC1987" s="3" cm="1">
        <f t="array" ref="AC1987">100000000/LvacE(AA1987)</f>
        <v>30879.157390739063</v>
      </c>
      <c r="AD1987" s="10">
        <f t="shared" ref="AD1987:AD2050" si="1275">0.0005/$AA1987*AC1987+0.005</f>
        <v>9.7689877285931891E-3</v>
      </c>
      <c r="AE1987" s="10" t="b">
        <f t="shared" ref="AE1987:AE2050" si="1276">ABS(AB1987-AC1987)&lt;AD1987</f>
        <v>1</v>
      </c>
      <c r="AP1987"/>
      <c r="AQ1987"/>
      <c r="AU1987" s="16" cm="1">
        <f t="array" ref="AU1987">$C1987*EXP(poly_from_str(100000000/$E1987,AU$4342))</f>
        <v>0</v>
      </c>
    </row>
    <row r="1988" spans="1:48" x14ac:dyDescent="0.25">
      <c r="A1988" t="s">
        <v>2879</v>
      </c>
      <c r="B1988" s="2" t="str">
        <f t="shared" si="127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1273"/>
        <v>3237.4549999999999</v>
      </c>
      <c r="AB1988" s="3">
        <f t="shared" si="1274"/>
        <v>30879.55</v>
      </c>
      <c r="AC1988" s="3" cm="1">
        <f t="array" ref="AC1988">100000000/LvacE(AA1988)</f>
        <v>30879.548438941063</v>
      </c>
      <c r="AD1988" s="10">
        <f t="shared" si="1275"/>
        <v>9.7691085187193438E-3</v>
      </c>
      <c r="AE1988" s="10" t="b">
        <f t="shared" si="1276"/>
        <v>1</v>
      </c>
      <c r="AP1988"/>
      <c r="AQ1988"/>
      <c r="AU1988" s="16" cm="1">
        <f t="array" ref="AU1988">$C1988*EXP(poly_from_str(100000000/$E1988,AU$4342))</f>
        <v>0</v>
      </c>
    </row>
    <row r="1989" spans="1:48" x14ac:dyDescent="0.25">
      <c r="A1989" t="s">
        <v>2880</v>
      </c>
      <c r="B1989" s="2" t="str">
        <f t="shared" si="127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1273"/>
        <v>3237.41</v>
      </c>
      <c r="AB1989" s="3">
        <f t="shared" si="1274"/>
        <v>30879.98</v>
      </c>
      <c r="AC1989" s="3" cm="1">
        <f t="array" ref="AC1989">100000000/LvacE(AA1989)</f>
        <v>30879.977649587916</v>
      </c>
      <c r="AD1989" s="10">
        <f t="shared" si="1275"/>
        <v>9.7692410985306018E-3</v>
      </c>
      <c r="AE1989" s="10" t="b">
        <f t="shared" si="1276"/>
        <v>1</v>
      </c>
      <c r="AJ1989" t="s">
        <v>4810</v>
      </c>
      <c r="AK1989" t="s">
        <v>4851</v>
      </c>
      <c r="AL1989">
        <v>35801.120000000003</v>
      </c>
      <c r="AM1989">
        <v>66681.14</v>
      </c>
      <c r="AN1989" s="10" cm="1">
        <f t="array" ref="AN1989">Lair(100000000/($AM1989-$AL1989))</f>
        <v>3237.4055543401837</v>
      </c>
      <c r="AO1989" s="10">
        <f>100000000/($AM1989-$AL1989)</f>
        <v>3238.3398715415342</v>
      </c>
      <c r="AP1989" s="12">
        <v>19000000</v>
      </c>
      <c r="AQ1989" s="3">
        <v>0.115</v>
      </c>
      <c r="AR1989" s="3">
        <f>LN(AU1989*100000000/($AM1989-$AL1989)/AP1989)</f>
        <v>-7.1740485188760621</v>
      </c>
      <c r="AS1989" s="13">
        <f>EXP(AR$4341*$AM1989+AR$4342)*$AP1989/(100000000/($AM1989-$AL1989))</f>
        <v>3.4803936834849525</v>
      </c>
      <c r="AT1989" s="3">
        <f>LN(AS1989/$C1989)</f>
        <v>0.148533126158052</v>
      </c>
      <c r="AU1989" s="16" cm="1">
        <f t="array" ref="AU1989">$C1989*EXP(poly_from_str(100000000/$E1989,AU$4342))</f>
        <v>4.4955360975106462</v>
      </c>
      <c r="AV1989" s="13">
        <f>LN(AS1989/AU1989)</f>
        <v>-0.25593951128302228</v>
      </c>
    </row>
    <row r="1990" spans="1:48" x14ac:dyDescent="0.25">
      <c r="A1990" t="s">
        <v>2881</v>
      </c>
      <c r="B1990" s="2" t="str">
        <f t="shared" si="127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1273"/>
        <v>3229.114</v>
      </c>
      <c r="AB1990" s="3">
        <f t="shared" si="1274"/>
        <v>30959.31</v>
      </c>
      <c r="AC1990" s="3" cm="1">
        <f t="array" ref="AC1990">100000000/LvacE(AA1990)</f>
        <v>30959.309395376724</v>
      </c>
      <c r="AD1990" s="10">
        <f t="shared" si="1275"/>
        <v>9.793777704252115E-3</v>
      </c>
      <c r="AE1990" s="10" t="b">
        <f t="shared" si="1276"/>
        <v>1</v>
      </c>
      <c r="AP1990"/>
      <c r="AQ1990"/>
      <c r="AU1990" s="16" cm="1">
        <f t="array" ref="AU1990">$C1990*EXP(poly_from_str(100000000/$E1990,AU$4342))</f>
        <v>0</v>
      </c>
    </row>
    <row r="1991" spans="1:48" x14ac:dyDescent="0.25">
      <c r="A1991" t="s">
        <v>2882</v>
      </c>
      <c r="B1991" s="2" t="str">
        <f t="shared" si="127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1277">$G1991&amp;""</f>
        <v>e</v>
      </c>
      <c r="N1991" t="str">
        <f t="shared" ref="N1991:N1992" si="1278">$H1991&amp;""</f>
        <v>7/2</v>
      </c>
      <c r="O1991">
        <v>69686.259999999995</v>
      </c>
      <c r="P1991" t="str">
        <f t="shared" ref="P1991:P1992" si="1279">$J1991&amp;""</f>
        <v>o</v>
      </c>
      <c r="Q1991" t="str">
        <f t="shared" ref="Q1991:Q1992" si="1280">$K1991&amp;""</f>
        <v>9/2</v>
      </c>
      <c r="R1991">
        <v>19</v>
      </c>
      <c r="AA1991" s="10">
        <f t="shared" si="1273"/>
        <v>3229.076</v>
      </c>
      <c r="AB1991" s="3">
        <f t="shared" si="1274"/>
        <v>30959.67</v>
      </c>
      <c r="AC1991" s="3" cm="1">
        <f t="array" ref="AC1991">100000000/LvacE(AA1991)</f>
        <v>30959.673713884495</v>
      </c>
      <c r="AD1991" s="10">
        <f t="shared" si="1275"/>
        <v>9.7938905299665441E-3</v>
      </c>
      <c r="AE1991" s="10" t="b">
        <f t="shared" si="1276"/>
        <v>1</v>
      </c>
      <c r="AJ1991" t="s">
        <v>4750</v>
      </c>
      <c r="AK1991" t="s">
        <v>4838</v>
      </c>
      <c r="AL1991">
        <v>38726.5</v>
      </c>
      <c r="AM1991">
        <v>69686.259999999995</v>
      </c>
      <c r="AN1991" s="10" cm="1">
        <f t="array" ref="AN1991">Lair(100000000/($AM1991-$AL1991))</f>
        <v>3229.066994570815</v>
      </c>
      <c r="AO1991" s="10">
        <f t="shared" ref="AO1991:AO1992" si="1281">100000000/($AM1991-$AL1991)</f>
        <v>3229.999198960199</v>
      </c>
      <c r="AP1991" s="12">
        <v>185000000</v>
      </c>
      <c r="AQ1991" s="3">
        <v>0.45400000000000001</v>
      </c>
      <c r="AR1991" s="3">
        <f t="shared" ref="AR1991:AR1992" si="1282">LN(AU1991*100000000/($AM1991-$AL1991)/AP1991)</f>
        <v>-7.5358775290572275</v>
      </c>
      <c r="AS1991" s="13">
        <f t="shared" ref="AS1991:AS1992" si="1283">EXP(AR$4341*$AM1991+AR$4342)*$AP1991/(100000000/($AM1991-$AL1991))</f>
        <v>27.115802217596087</v>
      </c>
      <c r="AT1991" s="3">
        <f t="shared" ref="AT1991:AT1992" si="1284">LN(AS1991/$C1991)</f>
        <v>0.30438439205082407</v>
      </c>
      <c r="AU1991" s="16" cm="1">
        <f t="array" ref="AU1991">$C1991*EXP(poly_from_str(100000000/$E1991,AU$4342))</f>
        <v>30.561825142632504</v>
      </c>
      <c r="AV1991" s="13">
        <f t="shared" ref="AV1991:AV1992" si="1285">LN(AS1991/AU1991)</f>
        <v>-0.11963502016382349</v>
      </c>
    </row>
    <row r="1992" spans="1:48" x14ac:dyDescent="0.25">
      <c r="A1992" t="s">
        <v>2883</v>
      </c>
      <c r="B1992" s="2" t="str">
        <f t="shared" si="127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1277"/>
        <v>e</v>
      </c>
      <c r="N1992" t="str">
        <f t="shared" si="1278"/>
        <v>9/2</v>
      </c>
      <c r="O1992">
        <v>69431</v>
      </c>
      <c r="P1992" t="str">
        <f t="shared" si="1279"/>
        <v>o</v>
      </c>
      <c r="Q1992" t="str">
        <f t="shared" si="1280"/>
        <v>7/2</v>
      </c>
      <c r="R1992">
        <v>19</v>
      </c>
      <c r="AA1992" s="10">
        <f t="shared" si="1273"/>
        <v>3226.6909999999998</v>
      </c>
      <c r="AB1992" s="3">
        <f t="shared" si="1274"/>
        <v>30982.560000000001</v>
      </c>
      <c r="AC1992" s="3" cm="1">
        <f t="array" ref="AC1992">100000000/LvacE(AA1992)</f>
        <v>30982.556663337826</v>
      </c>
      <c r="AD1992" s="10">
        <f t="shared" si="1275"/>
        <v>9.80097980614472E-3</v>
      </c>
      <c r="AE1992" s="10" t="b">
        <f t="shared" si="1276"/>
        <v>1</v>
      </c>
      <c r="AJ1992" t="s">
        <v>4816</v>
      </c>
      <c r="AK1992" t="s">
        <v>4864</v>
      </c>
      <c r="AL1992">
        <v>38448.379999999997</v>
      </c>
      <c r="AM1992">
        <v>69431</v>
      </c>
      <c r="AN1992" s="10" cm="1">
        <f t="array" ref="AN1992">Lair(100000000/($AM1992-$AL1992))</f>
        <v>3226.6843980168692</v>
      </c>
      <c r="AO1992" s="10">
        <f t="shared" si="1281"/>
        <v>3227.6159989051926</v>
      </c>
      <c r="AP1992" s="12">
        <v>34000000</v>
      </c>
      <c r="AQ1992" s="3">
        <v>0.26</v>
      </c>
      <c r="AR1992" s="3">
        <f t="shared" si="1282"/>
        <v>-8.8328931352061684</v>
      </c>
      <c r="AS1992" s="13">
        <f t="shared" si="1283"/>
        <v>5.0835808572059813</v>
      </c>
      <c r="AT1992" s="3">
        <f t="shared" si="1284"/>
        <v>1.6260159064206834</v>
      </c>
      <c r="AU1992" s="16" cm="1">
        <f t="array" ref="AU1992">$C1992*EXP(poly_from_str(100000000/$E1992,AU$4342))</f>
        <v>1.5364566435306162</v>
      </c>
      <c r="AV1992" s="13">
        <f t="shared" si="1285"/>
        <v>1.1965370219130522</v>
      </c>
    </row>
    <row r="1993" spans="1:48" x14ac:dyDescent="0.25">
      <c r="A1993" t="s">
        <v>2884</v>
      </c>
      <c r="B1993" s="2" t="str">
        <f t="shared" si="127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1273"/>
        <v>3226.63</v>
      </c>
      <c r="AB1993" s="3">
        <f t="shared" si="1274"/>
        <v>30983.14</v>
      </c>
      <c r="AC1993" s="3" cm="1">
        <f t="array" ref="AC1993">100000000/LvacE(AA1993)</f>
        <v>30983.142373194085</v>
      </c>
      <c r="AD1993" s="10">
        <f t="shared" si="1275"/>
        <v>9.8011613313571874E-3</v>
      </c>
      <c r="AE1993" s="10" t="b">
        <f t="shared" si="1276"/>
        <v>1</v>
      </c>
      <c r="AP1993"/>
      <c r="AQ1993"/>
      <c r="AU1993" s="16" cm="1">
        <f t="array" ref="AU1993">$C1993*EXP(poly_from_str(100000000/$E1993,AU$4342))</f>
        <v>0</v>
      </c>
    </row>
    <row r="1994" spans="1:48" x14ac:dyDescent="0.25">
      <c r="A1994" t="s">
        <v>2885</v>
      </c>
      <c r="B1994" s="2" t="str">
        <f t="shared" si="127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1273"/>
        <v>3226.5819999999999</v>
      </c>
      <c r="AB1994" s="3">
        <f t="shared" si="1274"/>
        <v>30983.599999999999</v>
      </c>
      <c r="AC1994" s="3" cm="1">
        <f t="array" ref="AC1994">100000000/LvacE(AA1994)</f>
        <v>30983.603275207024</v>
      </c>
      <c r="AD1994" s="10">
        <f t="shared" si="1275"/>
        <v>9.8013041781065888E-3</v>
      </c>
      <c r="AE1994" s="10" t="b">
        <f t="shared" si="1276"/>
        <v>1</v>
      </c>
      <c r="AP1994"/>
      <c r="AQ1994"/>
      <c r="AU1994" s="16" cm="1">
        <f t="array" ref="AU1994">$C1994*EXP(poly_from_str(100000000/$E1994,AU$4342))</f>
        <v>0</v>
      </c>
    </row>
    <row r="1995" spans="1:48" x14ac:dyDescent="0.25">
      <c r="A1995" t="s">
        <v>2886</v>
      </c>
      <c r="B1995" s="2" t="str">
        <f t="shared" si="127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1286">$G1995&amp;""</f>
        <v>o</v>
      </c>
      <c r="N1995" t="str">
        <f t="shared" ref="N1995:N1997" si="1287">$H1995&amp;""</f>
        <v>7/2</v>
      </c>
      <c r="O1995">
        <v>44903.42</v>
      </c>
      <c r="P1995" t="str">
        <f t="shared" ref="P1995:P1997" si="1288">$J1995&amp;""</f>
        <v>e</v>
      </c>
      <c r="Q1995" t="str">
        <f t="shared" ref="Q1995:Q1997" si="1289">$K1995&amp;""</f>
        <v>5/2</v>
      </c>
      <c r="R1995">
        <v>19</v>
      </c>
      <c r="S1995" t="s">
        <v>6</v>
      </c>
      <c r="AA1995" s="10">
        <f t="shared" si="1273"/>
        <v>3223.23</v>
      </c>
      <c r="AB1995" s="3">
        <f t="shared" si="1274"/>
        <v>31015.82</v>
      </c>
      <c r="AC1995" s="3" cm="1">
        <f t="array" ref="AC1995">100000000/LvacE(AA1995)</f>
        <v>31015.823548553162</v>
      </c>
      <c r="AD1995" s="10">
        <f t="shared" si="1275"/>
        <v>9.8112954316870293E-3</v>
      </c>
      <c r="AE1995" s="10" t="b">
        <f t="shared" si="1276"/>
        <v>1</v>
      </c>
      <c r="AJ1995" t="s">
        <v>4818</v>
      </c>
      <c r="AK1995" t="s">
        <v>4765</v>
      </c>
      <c r="AL1995">
        <v>13887.6</v>
      </c>
      <c r="AM1995">
        <v>44903.42</v>
      </c>
      <c r="AN1995" s="10" cm="1">
        <f t="array" ref="AN1995">Lair(100000000/($AM1995-$AL1995))</f>
        <v>3223.23036325158</v>
      </c>
      <c r="AO1995" s="10">
        <f t="shared" ref="AO1995:AO1997" si="1290">100000000/($AM1995-$AL1995)</f>
        <v>3224.1610894053424</v>
      </c>
      <c r="AP1995" s="12">
        <v>869000</v>
      </c>
      <c r="AQ1995" s="3">
        <v>4.0000000000000001E-3</v>
      </c>
      <c r="AR1995" s="3"/>
      <c r="AS1995" s="13">
        <f t="shared" ref="AS1995:AS1997" si="1291">EXP(AR$4341*$AM1995+AR$4342)*$AP1995/(100000000/($AM1995-$AL1995))</f>
        <v>0.81957417668562904</v>
      </c>
      <c r="AT1995" s="3"/>
      <c r="AU1995" s="16" cm="1">
        <f t="array" ref="AU1995">$C1995*EXP(poly_from_str(100000000/$E1995,AU$4342))</f>
        <v>3.0970045577294778</v>
      </c>
    </row>
    <row r="1996" spans="1:48" x14ac:dyDescent="0.25">
      <c r="A1996" t="s">
        <v>2887</v>
      </c>
      <c r="B1996" s="2" t="str">
        <f t="shared" si="127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1286"/>
        <v>e</v>
      </c>
      <c r="N1996" t="str">
        <f t="shared" si="1287"/>
        <v>7/2</v>
      </c>
      <c r="O1996">
        <v>58158.080000000002</v>
      </c>
      <c r="P1996" t="str">
        <f t="shared" si="1288"/>
        <v>o</v>
      </c>
      <c r="Q1996" t="str">
        <f t="shared" si="1289"/>
        <v>7/2</v>
      </c>
      <c r="R1996">
        <v>19</v>
      </c>
      <c r="S1996" t="s">
        <v>2205</v>
      </c>
      <c r="AA1996" s="10">
        <f t="shared" si="1273"/>
        <v>3222.8470000000002</v>
      </c>
      <c r="AB1996" s="3">
        <f t="shared" si="1274"/>
        <v>31019.51</v>
      </c>
      <c r="AC1996" s="3" cm="1">
        <f t="array" ref="AC1996">100000000/LvacE(AA1996)</f>
        <v>31019.509307871482</v>
      </c>
      <c r="AD1996" s="10">
        <f t="shared" si="1275"/>
        <v>9.8124390186489583E-3</v>
      </c>
      <c r="AE1996" s="10" t="b">
        <f t="shared" si="1276"/>
        <v>1</v>
      </c>
      <c r="AJ1996" t="s">
        <v>4723</v>
      </c>
      <c r="AK1996" t="s">
        <v>4902</v>
      </c>
      <c r="AL1996">
        <v>27138.55</v>
      </c>
      <c r="AM1996">
        <v>58158.080000000002</v>
      </c>
      <c r="AN1996" s="10" cm="1">
        <f t="array" ref="AN1996">Lair(100000000/($AM1996-$AL1996))</f>
        <v>3222.8448445321947</v>
      </c>
      <c r="AO1996" s="10">
        <f t="shared" si="1290"/>
        <v>3223.7754730648721</v>
      </c>
      <c r="AP1996" s="12">
        <v>10900000</v>
      </c>
      <c r="AQ1996" s="3">
        <v>0.08</v>
      </c>
      <c r="AR1996" s="3">
        <f t="shared" ref="AR1996:AR1997" si="1292">LN(AU1996*100000000/($AM1996-$AL1996)/AP1996)</f>
        <v>-4.6920870471946285</v>
      </c>
      <c r="AS1996" s="13">
        <f t="shared" si="1291"/>
        <v>3.8022952421517555</v>
      </c>
      <c r="AT1996" s="3">
        <f t="shared" ref="AT1996:AT1997" si="1293">LN(AS1996/$C1996)</f>
        <v>-1.6601273780703634</v>
      </c>
      <c r="AU1996" s="16" cm="1">
        <f t="array" ref="AU1996">$C1996*EXP(poly_from_str(100000000/$E1996,AU$4342))</f>
        <v>30.996609922081049</v>
      </c>
      <c r="AV1996" s="13">
        <f t="shared" ref="AV1996:AV1997" si="1294">LN(AS1996/AU1996)</f>
        <v>-2.098272945669343</v>
      </c>
    </row>
    <row r="1997" spans="1:48" x14ac:dyDescent="0.25">
      <c r="A1997" t="s">
        <v>2888</v>
      </c>
      <c r="B1997" s="2" t="str">
        <f t="shared" si="127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1286"/>
        <v>e</v>
      </c>
      <c r="N1997" t="str">
        <f t="shared" si="1287"/>
        <v>13/2</v>
      </c>
      <c r="O1997">
        <v>63816.91</v>
      </c>
      <c r="P1997" t="str">
        <f t="shared" si="1288"/>
        <v>o</v>
      </c>
      <c r="Q1997" t="str">
        <f t="shared" si="1289"/>
        <v>11/2</v>
      </c>
      <c r="R1997">
        <v>19</v>
      </c>
      <c r="AA1997" s="10">
        <f t="shared" si="1273"/>
        <v>3218.9789999999998</v>
      </c>
      <c r="AB1997" s="3">
        <f t="shared" si="1274"/>
        <v>31056.78</v>
      </c>
      <c r="AC1997" s="3" cm="1">
        <f t="array" ref="AC1997">100000000/LvacE(AA1997)</f>
        <v>31056.781744231619</v>
      </c>
      <c r="AD1997" s="10">
        <f t="shared" si="1275"/>
        <v>9.824011238382049E-3</v>
      </c>
      <c r="AE1997" s="10" t="b">
        <f t="shared" si="1276"/>
        <v>1</v>
      </c>
      <c r="AJ1997" t="s">
        <v>4829</v>
      </c>
      <c r="AK1997" t="s">
        <v>4928</v>
      </c>
      <c r="AL1997">
        <v>32760.11</v>
      </c>
      <c r="AM1997">
        <v>63816.91</v>
      </c>
      <c r="AN1997" s="10" cm="1">
        <f t="array" ref="AN1997">Lair(100000000/($AM1997-$AL1997))</f>
        <v>3218.9771022289633</v>
      </c>
      <c r="AO1997" s="10">
        <f t="shared" si="1290"/>
        <v>3219.9067515004763</v>
      </c>
      <c r="AP1997" s="12">
        <v>54700000</v>
      </c>
      <c r="AQ1997" s="3">
        <v>0.20399999999999999</v>
      </c>
      <c r="AR1997" s="3">
        <f t="shared" si="1292"/>
        <v>-8.1949500644597872</v>
      </c>
      <c r="AS1997" s="13">
        <f t="shared" si="1291"/>
        <v>12.49376524326768</v>
      </c>
      <c r="AT1997" s="3">
        <f t="shared" si="1293"/>
        <v>1.4266174506691691</v>
      </c>
      <c r="AU1997" s="16" cm="1">
        <f t="array" ref="AU1997">$C1997*EXP(poly_from_str(100000000/$E1997,AU$4342))</f>
        <v>4.6894557172970668</v>
      </c>
      <c r="AV1997" s="13">
        <f t="shared" si="1294"/>
        <v>0.97991321536264242</v>
      </c>
    </row>
    <row r="1998" spans="1:48" x14ac:dyDescent="0.25">
      <c r="A1998" t="s">
        <v>2889</v>
      </c>
      <c r="B1998" s="2" t="str">
        <f t="shared" si="127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1273"/>
        <v>3218.9369999999999</v>
      </c>
      <c r="AB1998" s="3">
        <f t="shared" si="1274"/>
        <v>31057.19</v>
      </c>
      <c r="AC1998" s="3" cm="1">
        <f t="array" ref="AC1998">100000000/LvacE(AA1998)</f>
        <v>31057.186952022017</v>
      </c>
      <c r="AD1998" s="10">
        <f t="shared" si="1275"/>
        <v>9.8241371222894426E-3</v>
      </c>
      <c r="AE1998" s="10" t="b">
        <f t="shared" si="1276"/>
        <v>1</v>
      </c>
      <c r="AP1998"/>
      <c r="AQ1998"/>
      <c r="AU1998" s="16" cm="1">
        <f t="array" ref="AU1998">$C1998*EXP(poly_from_str(100000000/$E1998,AU$4342))</f>
        <v>0</v>
      </c>
    </row>
    <row r="1999" spans="1:48" x14ac:dyDescent="0.25">
      <c r="A1999" t="s">
        <v>2890</v>
      </c>
      <c r="B1999" s="2" t="str">
        <f t="shared" si="127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1273"/>
        <v>3218.9029999999998</v>
      </c>
      <c r="AB1999" s="3">
        <f t="shared" si="1274"/>
        <v>31057.51</v>
      </c>
      <c r="AC1999" s="3" cm="1">
        <f t="array" ref="AC1999">100000000/LvacE(AA1999)</f>
        <v>31057.514985120531</v>
      </c>
      <c r="AD1999" s="10">
        <f t="shared" si="1275"/>
        <v>9.8242390319187214E-3</v>
      </c>
      <c r="AE1999" s="10" t="b">
        <f t="shared" si="1276"/>
        <v>1</v>
      </c>
      <c r="AP1999"/>
      <c r="AQ1999"/>
      <c r="AU1999" s="16" cm="1">
        <f t="array" ref="AU1999">$C1999*EXP(poly_from_str(100000000/$E1999,AU$4342))</f>
        <v>0</v>
      </c>
    </row>
    <row r="2000" spans="1:48" x14ac:dyDescent="0.25">
      <c r="A2000" t="s">
        <v>2891</v>
      </c>
      <c r="B2000" s="2" t="str">
        <f t="shared" si="127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1273"/>
        <v>3218.87</v>
      </c>
      <c r="AB2000" s="3">
        <f t="shared" si="1274"/>
        <v>31057.83</v>
      </c>
      <c r="AC2000" s="3" cm="1">
        <f t="array" ref="AC2000">100000000/LvacE(AA2000)</f>
        <v>31057.83337681344</v>
      </c>
      <c r="AD2000" s="10">
        <f t="shared" si="1275"/>
        <v>9.8243379472941501E-3</v>
      </c>
      <c r="AE2000" s="10" t="b">
        <f t="shared" si="1276"/>
        <v>1</v>
      </c>
      <c r="AP2000"/>
      <c r="AQ2000"/>
      <c r="AU2000" s="16" cm="1">
        <f t="array" ref="AU2000">$C2000*EXP(poly_from_str(100000000/$E2000,AU$4342))</f>
        <v>0</v>
      </c>
    </row>
    <row r="2001" spans="1:48" x14ac:dyDescent="0.25">
      <c r="A2001" t="s">
        <v>2892</v>
      </c>
      <c r="B2001" s="2" t="str">
        <f t="shared" si="127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1273"/>
        <v>3209.5949999999998</v>
      </c>
      <c r="AB2001" s="3">
        <f t="shared" si="1274"/>
        <v>31147.58</v>
      </c>
      <c r="AC2001" s="3" cm="1">
        <f t="array" ref="AC2001">100000000/LvacE(AA2001)</f>
        <v>31147.580241308264</v>
      </c>
      <c r="AD2001" s="10">
        <f t="shared" si="1275"/>
        <v>9.852260213719842E-3</v>
      </c>
      <c r="AE2001" s="10" t="b">
        <f t="shared" si="1276"/>
        <v>1</v>
      </c>
      <c r="AP2001"/>
      <c r="AQ2001"/>
      <c r="AU2001" s="16" cm="1">
        <f t="array" ref="AU2001">$C2001*EXP(poly_from_str(100000000/$E2001,AU$4342))</f>
        <v>1.5948584956010265</v>
      </c>
    </row>
    <row r="2002" spans="1:48" x14ac:dyDescent="0.25">
      <c r="A2002" t="s">
        <v>2893</v>
      </c>
      <c r="B2002" s="2" t="str">
        <f t="shared" si="127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1273"/>
        <v>3209.3890000000001</v>
      </c>
      <c r="AB2002" s="3">
        <f t="shared" si="1274"/>
        <v>31149.58</v>
      </c>
      <c r="AC2002" s="3" cm="1">
        <f t="array" ref="AC2002">100000000/LvacE(AA2002)</f>
        <v>31149.579429074729</v>
      </c>
      <c r="AD2002" s="10">
        <f t="shared" si="1275"/>
        <v>9.8528831234036655E-3</v>
      </c>
      <c r="AE2002" s="10" t="b">
        <f t="shared" si="1276"/>
        <v>1</v>
      </c>
      <c r="AP2002"/>
      <c r="AQ2002"/>
      <c r="AU2002" s="16" cm="1">
        <f t="array" ref="AU2002">$C2002*EXP(poly_from_str(100000000/$E2002,AU$4342))</f>
        <v>1.595544432838206</v>
      </c>
    </row>
    <row r="2003" spans="1:48" x14ac:dyDescent="0.25">
      <c r="A2003" t="s">
        <v>2894</v>
      </c>
      <c r="B2003" s="2" t="str">
        <f t="shared" si="1272"/>
        <v/>
      </c>
      <c r="C2003">
        <v>4</v>
      </c>
      <c r="D2003" t="s">
        <v>1156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1295">$G2003&amp;""</f>
        <v>e</v>
      </c>
      <c r="N2003" t="str">
        <f t="shared" ref="N2003:N2004" si="1296">$H2003&amp;""</f>
        <v>13/2</v>
      </c>
      <c r="O2003">
        <v>60419.73</v>
      </c>
      <c r="P2003" t="str">
        <f t="shared" ref="P2003:P2004" si="1297">$J2003&amp;""</f>
        <v>o</v>
      </c>
      <c r="Q2003" t="str">
        <f t="shared" ref="Q2003:Q2004" si="1298">$K2003&amp;""</f>
        <v>11/2</v>
      </c>
      <c r="R2003">
        <v>19</v>
      </c>
      <c r="AA2003" s="10">
        <f t="shared" si="1273"/>
        <v>3208.663</v>
      </c>
      <c r="AB2003" s="3">
        <f t="shared" si="1274"/>
        <v>31156.63</v>
      </c>
      <c r="AC2003" s="3" cm="1">
        <f t="array" ref="AC2003">100000000/LvacE(AA2003)</f>
        <v>31156.627156620791</v>
      </c>
      <c r="AD2003" s="10">
        <f t="shared" si="1275"/>
        <v>9.8550793830048215E-3</v>
      </c>
      <c r="AE2003" s="10" t="b">
        <f t="shared" si="1276"/>
        <v>1</v>
      </c>
      <c r="AJ2003" t="s">
        <v>4699</v>
      </c>
      <c r="AK2003" t="s">
        <v>4849</v>
      </c>
      <c r="AL2003">
        <v>29263.08</v>
      </c>
      <c r="AM2003">
        <v>60419.73</v>
      </c>
      <c r="AN2003" s="10" cm="1">
        <f t="array" ref="AN2003">Lair(100000000/($AM2003-$AL2003))</f>
        <v>3208.6606418845918</v>
      </c>
      <c r="AO2003" s="10">
        <f t="shared" ref="AO2003:AO2004" si="1299">100000000/($AM2003-$AL2003)</f>
        <v>3209.5876803186479</v>
      </c>
      <c r="AP2003" s="12">
        <v>14000000</v>
      </c>
      <c r="AQ2003" s="3">
        <v>0.105</v>
      </c>
      <c r="AR2003" s="3">
        <f t="shared" ref="AR2003:AR2004" si="1300">LN(AU2003*100000000/($AM2003-$AL2003)/AP2003)</f>
        <v>-6.5256492338551304</v>
      </c>
      <c r="AS2003" s="13">
        <f t="shared" ref="AS2003:AS2004" si="1301">EXP(AR$4341*$AM2003+AR$4342)*$AP2003/(100000000/($AM2003-$AL2003))</f>
        <v>4.1395232775199453</v>
      </c>
      <c r="AT2003" s="3">
        <f t="shared" ref="AT2003:AT2004" si="1302">LN(AS2003/$C2003)</f>
        <v>3.4286269729519855E-2</v>
      </c>
      <c r="AU2003" s="16" cm="1">
        <f t="array" ref="AU2003">$C2003*EXP(poly_from_str(100000000/$E2003,AU$4342))</f>
        <v>6.3918318023927618</v>
      </c>
      <c r="AV2003" s="13">
        <f t="shared" ref="AV2003:AV2004" si="1303">LN(AS2003/AU2003)</f>
        <v>-0.43444026350000836</v>
      </c>
    </row>
    <row r="2004" spans="1:48" x14ac:dyDescent="0.25">
      <c r="A2004" t="s">
        <v>2895</v>
      </c>
      <c r="B2004" s="2" t="str">
        <f t="shared" si="127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1295"/>
        <v>e</v>
      </c>
      <c r="N2004" t="str">
        <f t="shared" si="1296"/>
        <v>5/2</v>
      </c>
      <c r="O2004">
        <v>64817.53</v>
      </c>
      <c r="P2004" t="str">
        <f t="shared" si="1297"/>
        <v>o</v>
      </c>
      <c r="Q2004" t="str">
        <f t="shared" si="1298"/>
        <v>5/2</v>
      </c>
      <c r="R2004">
        <v>19</v>
      </c>
      <c r="AA2004" s="10">
        <f t="shared" si="1273"/>
        <v>3208.567</v>
      </c>
      <c r="AB2004" s="3">
        <f t="shared" si="1274"/>
        <v>31157.56</v>
      </c>
      <c r="AC2004" s="3" cm="1">
        <f t="array" ref="AC2004">100000000/LvacE(AA2004)</f>
        <v>31157.559326271868</v>
      </c>
      <c r="AD2004" s="10">
        <f t="shared" si="1275"/>
        <v>9.8553699091014565E-3</v>
      </c>
      <c r="AE2004" s="10" t="b">
        <f t="shared" si="1276"/>
        <v>1</v>
      </c>
      <c r="AJ2004" t="s">
        <v>4895</v>
      </c>
      <c r="AK2004" t="s">
        <v>4882</v>
      </c>
      <c r="AL2004">
        <v>33659.99</v>
      </c>
      <c r="AM2004">
        <v>64817.53</v>
      </c>
      <c r="AN2004" s="10" cm="1">
        <f t="array" ref="AN2004">Lair(100000000/($AM2004-$AL2004))</f>
        <v>3208.5689847596309</v>
      </c>
      <c r="AO2004" s="10">
        <f t="shared" si="1299"/>
        <v>3209.4960000051351</v>
      </c>
      <c r="AP2004" s="12">
        <v>47300000</v>
      </c>
      <c r="AQ2004" s="3">
        <v>0.10299999999999999</v>
      </c>
      <c r="AR2004" s="3">
        <f t="shared" si="1300"/>
        <v>-7.7429318653607702</v>
      </c>
      <c r="AS2004" s="13">
        <f t="shared" si="1301"/>
        <v>10.054512322335295</v>
      </c>
      <c r="AT2004" s="3">
        <f t="shared" si="1302"/>
        <v>0.92172715991760223</v>
      </c>
      <c r="AU2004" s="16" cm="1">
        <f t="array" ref="AU2004">$C2004*EXP(poly_from_str(100000000/$E2004,AU$4342))</f>
        <v>6.3931032597016975</v>
      </c>
      <c r="AV2004" s="13">
        <f t="shared" si="1303"/>
        <v>0.45280172738871083</v>
      </c>
    </row>
    <row r="2005" spans="1:48" x14ac:dyDescent="0.25">
      <c r="A2005" t="s">
        <v>2896</v>
      </c>
      <c r="B2005" s="2" t="str">
        <f t="shared" si="127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1273"/>
        <v>3208.5149999999999</v>
      </c>
      <c r="AB2005" s="3">
        <f t="shared" si="1274"/>
        <v>31158.06</v>
      </c>
      <c r="AC2005" s="3" cm="1">
        <f t="array" ref="AC2005">100000000/LvacE(AA2005)</f>
        <v>31158.064274788918</v>
      </c>
      <c r="AD2005" s="10">
        <f t="shared" si="1275"/>
        <v>9.8555272882920788E-3</v>
      </c>
      <c r="AE2005" s="10" t="b">
        <f t="shared" si="1276"/>
        <v>1</v>
      </c>
      <c r="AP2005"/>
      <c r="AQ2005"/>
      <c r="AU2005" s="16" cm="1">
        <f t="array" ref="AU2005">$C2005*EXP(poly_from_str(100000000/$E2005,AU$4342))</f>
        <v>0</v>
      </c>
    </row>
    <row r="2006" spans="1:48" x14ac:dyDescent="0.25">
      <c r="A2006" t="s">
        <v>2897</v>
      </c>
      <c r="B2006" s="2" t="str">
        <f t="shared" si="127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1273"/>
        <v>3208.482</v>
      </c>
      <c r="AB2006" s="3">
        <f t="shared" si="1274"/>
        <v>31158.38</v>
      </c>
      <c r="AC2006" s="3" cm="1">
        <f t="array" ref="AC2006">100000000/LvacE(AA2006)</f>
        <v>31158.384731375154</v>
      </c>
      <c r="AD2006" s="10">
        <f t="shared" si="1275"/>
        <v>9.8556271675164699E-3</v>
      </c>
      <c r="AE2006" s="10" t="b">
        <f t="shared" si="1276"/>
        <v>1</v>
      </c>
      <c r="AP2006"/>
      <c r="AQ2006"/>
      <c r="AU2006" s="16" cm="1">
        <f t="array" ref="AU2006">$C2006*EXP(poly_from_str(100000000/$E2006,AU$4342))</f>
        <v>0</v>
      </c>
    </row>
    <row r="2007" spans="1:48" x14ac:dyDescent="0.25">
      <c r="A2007" t="s">
        <v>2898</v>
      </c>
      <c r="B2007" s="2" t="str">
        <f t="shared" si="1272"/>
        <v/>
      </c>
      <c r="C2007">
        <v>2</v>
      </c>
      <c r="D2007" t="s">
        <v>1156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1304">$G2007&amp;""</f>
        <v>e</v>
      </c>
      <c r="N2007" t="str">
        <f t="shared" ref="N2007:N2008" si="1305">$H2007&amp;""</f>
        <v>3/2</v>
      </c>
      <c r="O2007">
        <v>81404.52</v>
      </c>
      <c r="P2007" t="str">
        <f t="shared" ref="P2007:P2008" si="1306">$J2007&amp;""</f>
        <v>o</v>
      </c>
      <c r="Q2007" t="str">
        <f t="shared" ref="Q2007:Q2008" si="1307">$K2007&amp;""</f>
        <v>5/2</v>
      </c>
      <c r="R2007">
        <v>19</v>
      </c>
      <c r="AA2007" s="10">
        <f t="shared" si="1273"/>
        <v>3206.5279999999998</v>
      </c>
      <c r="AB2007" s="3">
        <f t="shared" si="1274"/>
        <v>31177.37</v>
      </c>
      <c r="AC2007" s="3" cm="1">
        <f t="array" ref="AC2007">100000000/LvacE(AA2007)</f>
        <v>31177.371403127625</v>
      </c>
      <c r="AD2007" s="10">
        <f t="shared" si="1275"/>
        <v>9.8615467264168005E-3</v>
      </c>
      <c r="AE2007" s="10" t="b">
        <f t="shared" si="1276"/>
        <v>1</v>
      </c>
      <c r="AJ2007" t="s">
        <v>4939</v>
      </c>
      <c r="AK2007" t="s">
        <v>4916</v>
      </c>
      <c r="AL2007">
        <v>50227.79</v>
      </c>
      <c r="AM2007">
        <v>81404.52</v>
      </c>
      <c r="AN2007" s="10" cm="1">
        <f t="array" ref="AN2007">Lair(100000000/($AM2007-$AL2007))</f>
        <v>3206.5939652069355</v>
      </c>
      <c r="AO2007" s="10">
        <f t="shared" ref="AO2007:AO2008" si="1308">100000000/($AM2007-$AL2007)</f>
        <v>3207.5204808201497</v>
      </c>
      <c r="AP2007" s="12">
        <v>87900000</v>
      </c>
      <c r="AQ2007" s="3">
        <v>7.2999999999999995E-2</v>
      </c>
      <c r="AR2007" s="3">
        <f t="shared" ref="AR2007:AR2008" si="1309">LN(AU2007*100000000/($AM2007-$AL2007)/AP2007)</f>
        <v>-9.0521747651536213</v>
      </c>
      <c r="AS2007" s="13">
        <f t="shared" ref="AS2007:AS2008" si="1310">EXP(AR$4341*$AM2007+AR$4342)*$AP2007/(100000000/($AM2007-$AL2007))</f>
        <v>5.3845130919516091</v>
      </c>
      <c r="AT2007" s="3">
        <f t="shared" ref="AT2007:AT2008" si="1311">LN(AS2007/$C2007)</f>
        <v>0.99037970663844077</v>
      </c>
      <c r="AU2007" s="16" cm="1">
        <f t="array" ref="AU2007">$C2007*EXP(poly_from_str(100000000/$E2007,AU$4342))</f>
        <v>3.2100358835055447</v>
      </c>
      <c r="AV2007" s="13">
        <f t="shared" ref="AV2007:AV2008" si="1312">LN(AS2007/AU2007)</f>
        <v>0.51724477145677894</v>
      </c>
    </row>
    <row r="2008" spans="1:48" x14ac:dyDescent="0.25">
      <c r="A2008" t="s">
        <v>2899</v>
      </c>
      <c r="B2008" s="2" t="str">
        <f t="shared" si="127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1304"/>
        <v>e</v>
      </c>
      <c r="N2008" t="str">
        <f t="shared" si="1305"/>
        <v>9/2</v>
      </c>
      <c r="O2008">
        <v>69686.259999999995</v>
      </c>
      <c r="P2008" t="str">
        <f t="shared" si="1306"/>
        <v>o</v>
      </c>
      <c r="Q2008" t="str">
        <f t="shared" si="1307"/>
        <v>9/2</v>
      </c>
      <c r="R2008">
        <v>19</v>
      </c>
      <c r="AA2008" s="10">
        <f t="shared" si="1273"/>
        <v>3200.3240000000001</v>
      </c>
      <c r="AB2008" s="3">
        <f t="shared" si="1274"/>
        <v>31237.81</v>
      </c>
      <c r="AC2008" s="3" cm="1">
        <f t="array" ref="AC2008">100000000/LvacE(AA2008)</f>
        <v>31237.808231133349</v>
      </c>
      <c r="AD2008" s="10">
        <f t="shared" si="1275"/>
        <v>9.8804133942584187E-3</v>
      </c>
      <c r="AE2008" s="10" t="b">
        <f t="shared" si="1276"/>
        <v>1</v>
      </c>
      <c r="AJ2008" t="s">
        <v>4816</v>
      </c>
      <c r="AK2008" t="s">
        <v>4838</v>
      </c>
      <c r="AL2008">
        <v>38448.379999999997</v>
      </c>
      <c r="AM2008">
        <v>69686.259999999995</v>
      </c>
      <c r="AN2008" s="10" cm="1">
        <f t="array" ref="AN2008">Lair(100000000/($AM2008-$AL2008))</f>
        <v>3200.3166415138426</v>
      </c>
      <c r="AO2008" s="10">
        <f t="shared" si="1308"/>
        <v>3201.2415695303271</v>
      </c>
      <c r="AP2008" s="12">
        <v>25900000</v>
      </c>
      <c r="AQ2008" s="3">
        <v>0.156</v>
      </c>
      <c r="AR2008" s="3">
        <f t="shared" si="1309"/>
        <v>-7.1265091174706896</v>
      </c>
      <c r="AS2008" s="13">
        <f t="shared" si="1310"/>
        <v>3.830314724945544</v>
      </c>
      <c r="AT2008" s="3">
        <f t="shared" si="1311"/>
        <v>-4.3347387688378002E-2</v>
      </c>
      <c r="AU2008" s="16" cm="1">
        <f t="array" ref="AU2008">$C2008*EXP(poly_from_str(100000000/$E2008,AU$4342))</f>
        <v>6.5009635552331382</v>
      </c>
      <c r="AV2008" s="13">
        <f t="shared" si="1312"/>
        <v>-0.52900343175036102</v>
      </c>
    </row>
    <row r="2009" spans="1:48" x14ac:dyDescent="0.25">
      <c r="A2009" t="s">
        <v>2900</v>
      </c>
      <c r="B2009" s="2" t="str">
        <f t="shared" si="127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1273"/>
        <v>3200.27</v>
      </c>
      <c r="AB2009" s="3">
        <f t="shared" si="1274"/>
        <v>31238.34</v>
      </c>
      <c r="AC2009" s="3" cm="1">
        <f t="array" ref="AC2009">100000000/LvacE(AA2009)</f>
        <v>31238.335305623135</v>
      </c>
      <c r="AD2009" s="10">
        <f t="shared" si="1275"/>
        <v>9.8805780927270423E-3</v>
      </c>
      <c r="AE2009" s="10" t="b">
        <f t="shared" si="1276"/>
        <v>1</v>
      </c>
      <c r="AP2009"/>
      <c r="AQ2009"/>
      <c r="AU2009" s="16" cm="1">
        <f t="array" ref="AU2009">$C2009*EXP(poly_from_str(100000000/$E2009,AU$4342))</f>
        <v>0</v>
      </c>
    </row>
    <row r="2010" spans="1:48" x14ac:dyDescent="0.25">
      <c r="A2010" t="s">
        <v>2901</v>
      </c>
      <c r="B2010" s="2" t="str">
        <f t="shared" si="127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1273"/>
        <v>3200.22</v>
      </c>
      <c r="AB2010" s="3">
        <f t="shared" si="1274"/>
        <v>31238.82</v>
      </c>
      <c r="AC2010" s="3" cm="1">
        <f t="array" ref="AC2010">100000000/LvacE(AA2010)</f>
        <v>31238.823353417094</v>
      </c>
      <c r="AD2010" s="10">
        <f t="shared" si="1275"/>
        <v>9.8807305987427575E-3</v>
      </c>
      <c r="AE2010" s="10" t="b">
        <f t="shared" si="1276"/>
        <v>1</v>
      </c>
      <c r="AP2010"/>
      <c r="AQ2010"/>
      <c r="AU2010" s="16" cm="1">
        <f t="array" ref="AU2010">$C2010*EXP(poly_from_str(100000000/$E2010,AU$4342))</f>
        <v>0</v>
      </c>
    </row>
    <row r="2011" spans="1:48" x14ac:dyDescent="0.25">
      <c r="A2011" t="s">
        <v>2902</v>
      </c>
      <c r="B2011" s="2" t="str">
        <f t="shared" si="127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1273"/>
        <v>3200.1849999999999</v>
      </c>
      <c r="AB2011" s="3">
        <f t="shared" si="1274"/>
        <v>31239.16</v>
      </c>
      <c r="AC2011" s="3" cm="1">
        <f t="array" ref="AC2011">100000000/LvacE(AA2011)</f>
        <v>31239.164995946416</v>
      </c>
      <c r="AD2011" s="10">
        <f t="shared" si="1275"/>
        <v>9.8808373572069133E-3</v>
      </c>
      <c r="AE2011" s="10" t="b">
        <f t="shared" si="1276"/>
        <v>1</v>
      </c>
      <c r="AP2011"/>
      <c r="AQ2011"/>
      <c r="AU2011" s="16" cm="1">
        <f t="array" ref="AU2011">$C2011*EXP(poly_from_str(100000000/$E2011,AU$4342))</f>
        <v>0</v>
      </c>
    </row>
    <row r="2012" spans="1:48" x14ac:dyDescent="0.25">
      <c r="A2012" t="s">
        <v>2903</v>
      </c>
      <c r="B2012" s="2" t="str">
        <f t="shared" si="127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1273"/>
        <v>3200.1550000000002</v>
      </c>
      <c r="AB2012" s="3">
        <f t="shared" si="1274"/>
        <v>31239.46</v>
      </c>
      <c r="AC2012" s="3" cm="1">
        <f t="array" ref="AC2012">100000000/LvacE(AA2012)</f>
        <v>31239.457838347702</v>
      </c>
      <c r="AD2012" s="10">
        <f t="shared" si="1275"/>
        <v>9.8809288672498212E-3</v>
      </c>
      <c r="AE2012" s="10" t="b">
        <f t="shared" si="1276"/>
        <v>1</v>
      </c>
      <c r="AP2012"/>
      <c r="AQ2012"/>
      <c r="AU2012" s="16" cm="1">
        <f t="array" ref="AU2012">$C2012*EXP(poly_from_str(100000000/$E2012,AU$4342))</f>
        <v>0</v>
      </c>
    </row>
    <row r="2013" spans="1:48" x14ac:dyDescent="0.25">
      <c r="A2013" t="s">
        <v>2904</v>
      </c>
      <c r="B2013" s="2" t="str">
        <f t="shared" si="127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1273"/>
        <v>3200.1329999999998</v>
      </c>
      <c r="AB2013" s="3">
        <f t="shared" si="1274"/>
        <v>31239.67</v>
      </c>
      <c r="AC2013" s="3" cm="1">
        <f t="array" ref="AC2013">100000000/LvacE(AA2013)</f>
        <v>31239.672592931329</v>
      </c>
      <c r="AD2013" s="10">
        <f t="shared" si="1275"/>
        <v>9.8809959762502578E-3</v>
      </c>
      <c r="AE2013" s="10" t="b">
        <f t="shared" si="1276"/>
        <v>1</v>
      </c>
      <c r="AP2013"/>
      <c r="AQ2013"/>
      <c r="AU2013" s="16" cm="1">
        <f t="array" ref="AU2013">$C2013*EXP(poly_from_str(100000000/$E2013,AU$4342))</f>
        <v>0</v>
      </c>
    </row>
    <row r="2014" spans="1:48" x14ac:dyDescent="0.25">
      <c r="A2014" t="s">
        <v>2905</v>
      </c>
      <c r="B2014" s="2" t="str">
        <f t="shared" si="127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1273"/>
        <v>3200.0729999999999</v>
      </c>
      <c r="AB2014" s="3">
        <f t="shared" si="1274"/>
        <v>31240.26</v>
      </c>
      <c r="AC2014" s="3" cm="1">
        <f t="array" ref="AC2014">100000000/LvacE(AA2014)</f>
        <v>31240.258302257436</v>
      </c>
      <c r="AD2014" s="10">
        <f t="shared" si="1275"/>
        <v>9.881179007831609E-3</v>
      </c>
      <c r="AE2014" s="10" t="b">
        <f t="shared" si="1276"/>
        <v>1</v>
      </c>
      <c r="AP2014"/>
      <c r="AQ2014"/>
      <c r="AU2014" s="16" cm="1">
        <f t="array" ref="AU2014">$C2014*EXP(poly_from_str(100000000/$E2014,AU$4342))</f>
        <v>3.2520987187716495</v>
      </c>
    </row>
    <row r="2015" spans="1:48" x14ac:dyDescent="0.25">
      <c r="A2015" t="s">
        <v>2906</v>
      </c>
      <c r="B2015" s="2" t="str">
        <f t="shared" si="127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1273"/>
        <v>3199.6950000000002</v>
      </c>
      <c r="AB2015" s="3">
        <f t="shared" si="1274"/>
        <v>31243.95</v>
      </c>
      <c r="AC2015" s="3" cm="1">
        <f t="array" ref="AC2015">100000000/LvacE(AA2015)</f>
        <v>31243.948776093268</v>
      </c>
      <c r="AD2015" s="10">
        <f t="shared" si="1275"/>
        <v>9.8823323435660686E-3</v>
      </c>
      <c r="AE2015" s="10" t="b">
        <f t="shared" si="1276"/>
        <v>1</v>
      </c>
      <c r="AP2015"/>
      <c r="AQ2015"/>
      <c r="AU2015" s="16" cm="1">
        <f t="array" ref="AU2015">$C2015*EXP(poly_from_str(100000000/$E2015,AU$4342))</f>
        <v>3.2545306494401616</v>
      </c>
    </row>
    <row r="2016" spans="1:48" x14ac:dyDescent="0.25">
      <c r="A2016" t="s">
        <v>2907</v>
      </c>
      <c r="B2016" s="2" t="str">
        <f t="shared" si="127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1273"/>
        <v>3199.491</v>
      </c>
      <c r="AB2016" s="3">
        <f t="shared" si="1274"/>
        <v>31245.94</v>
      </c>
      <c r="AC2016" s="3" cm="1">
        <f t="array" ref="AC2016">100000000/LvacE(AA2016)</f>
        <v>31245.940822658376</v>
      </c>
      <c r="AD2016" s="10">
        <f t="shared" si="1275"/>
        <v>9.8829549485618777E-3</v>
      </c>
      <c r="AE2016" s="10" t="b">
        <f t="shared" si="1276"/>
        <v>1</v>
      </c>
      <c r="AP2016"/>
      <c r="AQ2016"/>
      <c r="AU2016" s="16" cm="1">
        <f t="array" ref="AU2016">$C2016*EXP(poly_from_str(100000000/$E2016,AU$4342))</f>
        <v>0</v>
      </c>
    </row>
    <row r="2017" spans="1:48" x14ac:dyDescent="0.25">
      <c r="A2017" t="s">
        <v>2908</v>
      </c>
      <c r="B2017" s="2" t="str">
        <f t="shared" si="127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1273"/>
        <v>3199.4560000000001</v>
      </c>
      <c r="AB2017" s="3">
        <f t="shared" si="1274"/>
        <v>31246.28</v>
      </c>
      <c r="AC2017" s="3" cm="1">
        <f t="array" ref="AC2017">100000000/LvacE(AA2017)</f>
        <v>31246.282620882273</v>
      </c>
      <c r="AD2017" s="10">
        <f t="shared" si="1275"/>
        <v>9.883061780015457E-3</v>
      </c>
      <c r="AE2017" s="10" t="b">
        <f t="shared" si="1276"/>
        <v>1</v>
      </c>
      <c r="AJ2017" t="s">
        <v>4788</v>
      </c>
      <c r="AK2017" t="s">
        <v>4892</v>
      </c>
      <c r="AL2017">
        <v>30994.55</v>
      </c>
      <c r="AM2017">
        <v>62240.83</v>
      </c>
      <c r="AN2017" s="10" cm="1">
        <f t="array" ref="AN2017">Lair(100000000/($AM2017-$AL2017))</f>
        <v>3199.4562628834205</v>
      </c>
      <c r="AO2017" s="10">
        <f>100000000/($AM2017-$AL2017)</f>
        <v>3200.3809733510675</v>
      </c>
      <c r="AP2017" s="12">
        <v>49700000</v>
      </c>
      <c r="AQ2017" s="3">
        <v>3.4000000000000002E-2</v>
      </c>
      <c r="AR2017" s="3"/>
      <c r="AS2017" s="13">
        <f>EXP(AR$4341*$AM2017+AR$4342)*$AP2017/(100000000/($AM2017-$AL2017))</f>
        <v>12.855004662456111</v>
      </c>
      <c r="AT2017" s="3"/>
      <c r="AU2017" s="16" cm="1">
        <f t="array" ref="AU2017">$C2017*EXP(poly_from_str(100000000/$E2017,AU$4342))</f>
        <v>6.5121283220495849</v>
      </c>
    </row>
    <row r="2018" spans="1:48" x14ac:dyDescent="0.25">
      <c r="A2018" t="s">
        <v>2909</v>
      </c>
      <c r="B2018" s="2" t="str">
        <f t="shared" si="127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1273"/>
        <v>3199.3090000000002</v>
      </c>
      <c r="AB2018" s="3">
        <f t="shared" si="1274"/>
        <v>31247.72</v>
      </c>
      <c r="AC2018" s="3" cm="1">
        <f t="array" ref="AC2018">100000000/LvacE(AA2018)</f>
        <v>31247.718255082273</v>
      </c>
      <c r="AD2018" s="10">
        <f t="shared" si="1275"/>
        <v>9.8835105104074471E-3</v>
      </c>
      <c r="AE2018" s="10" t="b">
        <f t="shared" si="1276"/>
        <v>1</v>
      </c>
      <c r="AP2018"/>
      <c r="AQ2018"/>
      <c r="AU2018" s="16" cm="1">
        <f t="array" ref="AU2018">$C2018*EXP(poly_from_str(100000000/$E2018,AU$4342))</f>
        <v>0</v>
      </c>
    </row>
    <row r="2019" spans="1:48" x14ac:dyDescent="0.25">
      <c r="A2019" t="s">
        <v>2910</v>
      </c>
      <c r="B2019" s="2" t="str">
        <f t="shared" si="127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1313">$G2019&amp;""</f>
        <v>e</v>
      </c>
      <c r="N2019" t="str">
        <f t="shared" ref="N2019:N2020" si="1314">$H2019&amp;""</f>
        <v>7/2</v>
      </c>
      <c r="O2019">
        <v>67049.179999999993</v>
      </c>
      <c r="P2019" t="str">
        <f t="shared" ref="P2019:P2020" si="1315">$J2019&amp;""</f>
        <v>o</v>
      </c>
      <c r="Q2019" t="str">
        <f t="shared" ref="Q2019:Q2020" si="1316">$K2019&amp;""</f>
        <v>9/2</v>
      </c>
      <c r="R2019">
        <v>19</v>
      </c>
      <c r="AA2019" s="10">
        <f t="shared" si="1273"/>
        <v>3199.279</v>
      </c>
      <c r="AB2019" s="3">
        <f t="shared" si="1274"/>
        <v>31248.01</v>
      </c>
      <c r="AC2019" s="3" cm="1">
        <f t="array" ref="AC2019">100000000/LvacE(AA2019)</f>
        <v>31248.01125786217</v>
      </c>
      <c r="AD2019" s="10">
        <f t="shared" si="1275"/>
        <v>9.883602095638138E-3</v>
      </c>
      <c r="AE2019" s="10" t="b">
        <f t="shared" si="1276"/>
        <v>1</v>
      </c>
      <c r="AJ2019" t="s">
        <v>4810</v>
      </c>
      <c r="AK2019" t="s">
        <v>4862</v>
      </c>
      <c r="AL2019">
        <v>35801.120000000003</v>
      </c>
      <c r="AM2019">
        <v>67049.179999999993</v>
      </c>
      <c r="AN2019" s="10" cm="1">
        <f t="array" ref="AN2019">Lair(100000000/($AM2019-$AL2019))</f>
        <v>3199.2740039487685</v>
      </c>
      <c r="AO2019" s="10">
        <f t="shared" ref="AO2019:AO2020" si="1317">100000000/($AM2019-$AL2019)</f>
        <v>3200.1986683333312</v>
      </c>
      <c r="AP2019" s="12">
        <v>44500000</v>
      </c>
      <c r="AQ2019" s="3">
        <v>0.14499999999999999</v>
      </c>
      <c r="AR2019" s="3">
        <f>LN(AU2019*100000000/($AM2019-$AL2019)/AP2019)</f>
        <v>-7.4428723845588802</v>
      </c>
      <c r="AS2019" s="13">
        <f t="shared" ref="AS2019:AS2020" si="1318">EXP(AR$4341*$AM2019+AR$4342)*$AP2019/(100000000/($AM2019-$AL2019))</f>
        <v>8.0238899603829079</v>
      </c>
      <c r="AT2019" s="3">
        <f t="shared" ref="AT2019" si="1319">LN(AS2019/$C2019)</f>
        <v>0.47298542432079455</v>
      </c>
      <c r="AU2019" s="16" cm="1">
        <f t="array" ref="AU2019">$C2019*EXP(poly_from_str(100000000/$E2019,AU$4342))</f>
        <v>8.1430043107240184</v>
      </c>
      <c r="AV2019" s="13">
        <f>LN(AS2019/AU2019)</f>
        <v>-1.4735855107832157E-2</v>
      </c>
    </row>
    <row r="2020" spans="1:48" x14ac:dyDescent="0.25">
      <c r="A2020">
        <v>3195.9079999999999</v>
      </c>
      <c r="B2020" s="2" t="str">
        <f t="shared" si="127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1313"/>
        <v>e</v>
      </c>
      <c r="N2020" t="str">
        <f t="shared" si="1314"/>
        <v>7/2</v>
      </c>
      <c r="O2020">
        <v>62535.62</v>
      </c>
      <c r="P2020" t="str">
        <f t="shared" si="1315"/>
        <v>o</v>
      </c>
      <c r="Q2020" t="str">
        <f t="shared" si="1316"/>
        <v>9/2</v>
      </c>
      <c r="R2020">
        <v>20</v>
      </c>
      <c r="AA2020" s="10">
        <f t="shared" si="1273"/>
        <v>3195.9079999999999</v>
      </c>
      <c r="AB2020" s="3">
        <f t="shared" si="1274"/>
        <v>31280.97</v>
      </c>
      <c r="AC2020" s="3" cm="1">
        <f t="array" ref="AC2020">100000000/LvacE(AA2020)</f>
        <v>31280.970037958876</v>
      </c>
      <c r="AD2020" s="10">
        <f t="shared" si="1275"/>
        <v>9.8939096554029222E-3</v>
      </c>
      <c r="AE2020" s="10" t="b">
        <f t="shared" si="1276"/>
        <v>1</v>
      </c>
      <c r="AJ2020" t="s">
        <v>4735</v>
      </c>
      <c r="AK2020" t="s">
        <v>4839</v>
      </c>
      <c r="AL2020">
        <v>31254.71</v>
      </c>
      <c r="AM2020">
        <v>62535.62</v>
      </c>
      <c r="AN2020" s="10" cm="1">
        <f t="array" ref="AN2020">Lair(100000000/($AM2020-$AL2020))</f>
        <v>3195.9141286968857</v>
      </c>
      <c r="AO2020" s="10">
        <f t="shared" si="1317"/>
        <v>3196.8379436531736</v>
      </c>
      <c r="AP2020" s="12">
        <v>717000</v>
      </c>
      <c r="AQ2020" s="3">
        <v>1.2E-2</v>
      </c>
      <c r="AR2020" s="3"/>
      <c r="AS2020" s="13">
        <f t="shared" si="1318"/>
        <v>0.18159678364303417</v>
      </c>
      <c r="AT2020" s="3"/>
      <c r="AU2020" s="16" cm="1">
        <f t="array" ref="AU2020">$C2020*EXP(poly_from_str(100000000/$E2020,AU$4342))</f>
        <v>11.475455451841391</v>
      </c>
    </row>
    <row r="2021" spans="1:48" x14ac:dyDescent="0.25">
      <c r="A2021">
        <v>3195.8649999999998</v>
      </c>
      <c r="B2021" s="2" t="str">
        <f t="shared" si="127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1273"/>
        <v>3195.8649999999998</v>
      </c>
      <c r="AB2021" s="3">
        <f t="shared" si="1274"/>
        <v>31281.39</v>
      </c>
      <c r="AC2021" s="3" cm="1">
        <f t="array" ref="AC2021">100000000/LvacE(AA2021)</f>
        <v>31281.390904589265</v>
      </c>
      <c r="AD2021" s="10">
        <f t="shared" si="1275"/>
        <v>9.8940413478963082E-3</v>
      </c>
      <c r="AE2021" s="10" t="b">
        <f t="shared" si="1276"/>
        <v>1</v>
      </c>
      <c r="AP2021"/>
      <c r="AQ2021"/>
      <c r="AU2021" s="16" cm="1">
        <f t="array" ref="AU2021">$C2021*EXP(poly_from_str(100000000/$E2021,AU$4342))</f>
        <v>0</v>
      </c>
    </row>
    <row r="2022" spans="1:48" x14ac:dyDescent="0.25">
      <c r="A2022">
        <v>3195.1170000000002</v>
      </c>
      <c r="B2022" s="2" t="str">
        <f t="shared" si="1272"/>
        <v/>
      </c>
      <c r="C2022">
        <v>3</v>
      </c>
      <c r="D2022" t="s">
        <v>1156</v>
      </c>
      <c r="E2022">
        <v>31288.71</v>
      </c>
      <c r="R2022">
        <v>20</v>
      </c>
      <c r="S2022" t="s">
        <v>22</v>
      </c>
      <c r="AA2022" s="10">
        <f t="shared" si="1273"/>
        <v>3195.1170000000002</v>
      </c>
      <c r="AB2022" s="3">
        <f t="shared" si="1274"/>
        <v>31288.71</v>
      </c>
      <c r="AC2022" s="3" cm="1">
        <f t="array" ref="AC2022">100000000/LvacE(AA2022)</f>
        <v>31288.713838781572</v>
      </c>
      <c r="AD2022" s="10">
        <f t="shared" si="1275"/>
        <v>9.8963330355009808E-3</v>
      </c>
      <c r="AE2022" s="10" t="b">
        <f t="shared" si="1276"/>
        <v>1</v>
      </c>
      <c r="AP2022"/>
      <c r="AQ2022"/>
      <c r="AU2022" s="16" cm="1">
        <f t="array" ref="AU2022">$C2022*EXP(poly_from_str(100000000/$E2022,AU$4342))</f>
        <v>4.9255532337246795</v>
      </c>
    </row>
    <row r="2023" spans="1:48" x14ac:dyDescent="0.25">
      <c r="A2023">
        <v>3191.973</v>
      </c>
      <c r="B2023" s="2" t="str">
        <f t="shared" si="127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1273"/>
        <v>3191.973</v>
      </c>
      <c r="AB2023" s="3">
        <f t="shared" si="1274"/>
        <v>31319.53</v>
      </c>
      <c r="AC2023" s="3" cm="1">
        <f t="array" ref="AC2023">100000000/LvacE(AA2023)</f>
        <v>31319.531186193984</v>
      </c>
      <c r="AD2023" s="10">
        <f t="shared" si="1275"/>
        <v>9.9059830998247771E-3</v>
      </c>
      <c r="AE2023" s="10" t="b">
        <f t="shared" si="1276"/>
        <v>1</v>
      </c>
      <c r="AJ2023" t="s">
        <v>4895</v>
      </c>
      <c r="AK2023" t="s">
        <v>4912</v>
      </c>
      <c r="AL2023">
        <v>33659.99</v>
      </c>
      <c r="AM2023">
        <v>64979.55</v>
      </c>
      <c r="AN2023" s="10" cm="1">
        <f t="array" ref="AN2023">Lair(100000000/($AM2023-$AL2023))</f>
        <v>3191.9700578218708</v>
      </c>
      <c r="AO2023" s="10">
        <f>100000000/($AM2023-$AL2023)</f>
        <v>3192.8928758896991</v>
      </c>
      <c r="AP2023" s="12">
        <v>27700000</v>
      </c>
      <c r="AQ2023" s="3">
        <v>0.14699999999999999</v>
      </c>
      <c r="AR2023" s="3">
        <f>LN(AU2023*100000000/($AM2023-$AL2023)/AP2023)</f>
        <v>-8.5664465313168421</v>
      </c>
      <c r="AS2023" s="13">
        <f>EXP(AR$4341*$AM2023+AR$4342)*$AP2023/(100000000/($AM2023-$AL2023))</f>
        <v>5.8472479500870831</v>
      </c>
      <c r="AT2023" s="3">
        <f>LN(AS2023/$C2023)</f>
        <v>1.7659711146715391</v>
      </c>
      <c r="AU2023" s="16" cm="1">
        <f t="array" ref="AU2023">$C2023*EXP(poly_from_str(100000000/$E2023,AU$4342))</f>
        <v>1.6517144306656919</v>
      </c>
      <c r="AV2023" s="13">
        <f>LN(AS2023/AU2023)</f>
        <v>1.2641573173084122</v>
      </c>
    </row>
    <row r="2024" spans="1:48" x14ac:dyDescent="0.25">
      <c r="A2024">
        <v>3191.924</v>
      </c>
      <c r="B2024" s="2" t="str">
        <f t="shared" si="127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1273"/>
        <v>3191.924</v>
      </c>
      <c r="AB2024" s="3">
        <f t="shared" si="1274"/>
        <v>31320.01</v>
      </c>
      <c r="AC2024" s="3" cm="1">
        <f t="array" ref="AC2024">100000000/LvacE(AA2024)</f>
        <v>31320.011962430657</v>
      </c>
      <c r="AD2024" s="10">
        <f t="shared" si="1275"/>
        <v>9.9061337241160285E-3</v>
      </c>
      <c r="AE2024" s="10" t="b">
        <f t="shared" si="1276"/>
        <v>1</v>
      </c>
      <c r="AP2024"/>
      <c r="AQ2024"/>
      <c r="AU2024" s="16" cm="1">
        <f t="array" ref="AU2024">$C2024*EXP(poly_from_str(100000000/$E2024,AU$4342))</f>
        <v>0</v>
      </c>
    </row>
    <row r="2025" spans="1:48" x14ac:dyDescent="0.25">
      <c r="A2025">
        <v>3184.7460000000001</v>
      </c>
      <c r="B2025" s="2" t="str">
        <f t="shared" si="127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2911</v>
      </c>
      <c r="T2025">
        <v>1</v>
      </c>
      <c r="AA2025" s="10">
        <f t="shared" si="1273"/>
        <v>3184.7460000000001</v>
      </c>
      <c r="AB2025" s="3">
        <f t="shared" si="1274"/>
        <v>31390.6</v>
      </c>
      <c r="AC2025" s="3" cm="1">
        <f t="array" ref="AC2025">100000000/LvacE(AA2025)</f>
        <v>31390.600586133976</v>
      </c>
      <c r="AD2025" s="10">
        <f t="shared" si="1275"/>
        <v>9.9282738067861566E-3</v>
      </c>
      <c r="AE2025" s="10" t="b">
        <f t="shared" si="1276"/>
        <v>1</v>
      </c>
      <c r="AP2025"/>
      <c r="AQ2025"/>
      <c r="AU2025" s="16" cm="1">
        <f t="array" ref="AU2025">$C2025*EXP(poly_from_str(100000000/$E2025,AU$4342))</f>
        <v>0</v>
      </c>
    </row>
    <row r="2026" spans="1:48" x14ac:dyDescent="0.25">
      <c r="A2026">
        <v>3184.71</v>
      </c>
      <c r="B2026" s="2" t="str">
        <f t="shared" si="127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2912</v>
      </c>
      <c r="T2026">
        <v>1</v>
      </c>
      <c r="AA2026" s="10">
        <f t="shared" si="1273"/>
        <v>3184.71</v>
      </c>
      <c r="AB2026" s="3">
        <f t="shared" si="1274"/>
        <v>31390.959999999999</v>
      </c>
      <c r="AC2026" s="3" cm="1">
        <f t="array" ref="AC2026">100000000/LvacE(AA2026)</f>
        <v>31390.955412881394</v>
      </c>
      <c r="AD2026" s="10">
        <f t="shared" si="1275"/>
        <v>9.928385223910716E-3</v>
      </c>
      <c r="AE2026" s="10" t="b">
        <f t="shared" si="1276"/>
        <v>1</v>
      </c>
      <c r="AP2026"/>
      <c r="AQ2026"/>
      <c r="AU2026" s="16" cm="1">
        <f t="array" ref="AU2026">$C2026*EXP(poly_from_str(100000000/$E2026,AU$4342))</f>
        <v>0</v>
      </c>
    </row>
    <row r="2027" spans="1:48" x14ac:dyDescent="0.25">
      <c r="A2027">
        <v>3184.6669999999999</v>
      </c>
      <c r="B2027" s="2" t="str">
        <f t="shared" si="127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1320">$G2027&amp;""</f>
        <v>e</v>
      </c>
      <c r="N2027" t="str">
        <f t="shared" ref="N2027:N2032" si="1321">$H2027&amp;""</f>
        <v>11/2</v>
      </c>
      <c r="O2027" s="4">
        <v>64857.15</v>
      </c>
      <c r="P2027" t="str">
        <f t="shared" ref="P2027:P2032" si="1322">$J2027&amp;""</f>
        <v>o</v>
      </c>
      <c r="Q2027" t="str">
        <f t="shared" ref="Q2027:Q2032" si="1323">$K2027&amp;""</f>
        <v>9/2</v>
      </c>
      <c r="R2027">
        <v>20</v>
      </c>
      <c r="S2027" s="4" t="s">
        <v>2913</v>
      </c>
      <c r="T2027">
        <v>1</v>
      </c>
      <c r="V2027">
        <f t="shared" ref="V2027:V2028" si="1324">$O2027-$L2027</f>
        <v>31390.739999999998</v>
      </c>
      <c r="AA2027" s="10">
        <f t="shared" si="1273"/>
        <v>3184.6669999999999</v>
      </c>
      <c r="AB2027" s="3">
        <f t="shared" si="1274"/>
        <v>31391.38</v>
      </c>
      <c r="AC2027" s="3" cm="1">
        <f t="array" ref="AC2027">100000000/LvacE(AA2027)</f>
        <v>31391.379244231382</v>
      </c>
      <c r="AD2027" s="10">
        <f t="shared" si="1275"/>
        <v>9.9285183104279636E-3</v>
      </c>
      <c r="AE2027" s="10" t="b">
        <f t="shared" si="1276"/>
        <v>1</v>
      </c>
      <c r="AJ2027" t="s">
        <v>4774</v>
      </c>
      <c r="AK2027" t="s">
        <v>4854</v>
      </c>
      <c r="AL2027">
        <v>33466.410000000003</v>
      </c>
      <c r="AM2027">
        <v>64857.15</v>
      </c>
      <c r="AN2027" s="10" cm="1">
        <f t="array" ref="AN2027">Lair(100000000/($AM2027-$AL2027))</f>
        <v>3184.7318497960573</v>
      </c>
      <c r="AO2027" s="10">
        <f t="shared" ref="AO2027:AO2032" si="1325">100000000/($AM2027-$AL2027)</f>
        <v>3185.6528390219537</v>
      </c>
      <c r="AP2027" s="12">
        <v>289000000</v>
      </c>
      <c r="AQ2027" s="3">
        <v>0.65</v>
      </c>
      <c r="AR2027" s="3">
        <f t="shared" ref="AR2027:AR2032" si="1326">LN(AU2027*100000000/($AM2027-$AL2027)/AP2027)</f>
        <v>-8.9543282022590791</v>
      </c>
      <c r="AS2027" s="13">
        <f t="shared" ref="AS2027:AS2032" si="1327">EXP(AR$4341*$AM2027+AR$4342)*$AP2027/(100000000/($AM2027-$AL2027))</f>
        <v>61.70847227293131</v>
      </c>
      <c r="AT2027" s="3">
        <f t="shared" ref="AT2027:AT2032" si="1328">LN(AS2027/$C2027)</f>
        <v>2.176511086415247</v>
      </c>
      <c r="AU2027" s="16" cm="1">
        <f t="array" ref="AU2027">$C2027*EXP(poly_from_str(100000000/$E2027,AU$4342))</f>
        <v>11.718825007733621</v>
      </c>
      <c r="AV2027" s="13">
        <f t="shared" ref="AV2027:AV2032" si="1329">LN(AS2027/AU2027)</f>
        <v>1.6612247116604246</v>
      </c>
    </row>
    <row r="2028" spans="1:48" x14ac:dyDescent="0.25">
      <c r="A2028">
        <v>3184.6390000000001</v>
      </c>
      <c r="B2028" s="2" t="str">
        <f t="shared" si="1272"/>
        <v/>
      </c>
      <c r="C2028">
        <v>5</v>
      </c>
      <c r="D2028" t="s">
        <v>1156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1320"/>
        <v>e</v>
      </c>
      <c r="N2028" t="str">
        <f t="shared" si="1321"/>
        <v>13/2</v>
      </c>
      <c r="O2028" s="4">
        <v>64150.94</v>
      </c>
      <c r="P2028" t="str">
        <f t="shared" si="1322"/>
        <v>o</v>
      </c>
      <c r="Q2028" t="str">
        <f t="shared" si="1323"/>
        <v>11/2</v>
      </c>
      <c r="R2028">
        <v>20</v>
      </c>
      <c r="S2028" s="4" t="s">
        <v>2914</v>
      </c>
      <c r="T2028">
        <v>1</v>
      </c>
      <c r="V2028">
        <f t="shared" si="1324"/>
        <v>31390.83</v>
      </c>
      <c r="AA2028" s="10">
        <f t="shared" si="1273"/>
        <v>3184.6390000000001</v>
      </c>
      <c r="AB2028" s="3">
        <f t="shared" si="1274"/>
        <v>31391.65</v>
      </c>
      <c r="AC2028" s="3" cm="1">
        <f t="array" ref="AC2028">100000000/LvacE(AA2028)</f>
        <v>31391.65523358855</v>
      </c>
      <c r="AD2028" s="10">
        <f t="shared" si="1275"/>
        <v>9.9286049743139721E-3</v>
      </c>
      <c r="AE2028" s="10" t="b">
        <f t="shared" si="1276"/>
        <v>1</v>
      </c>
      <c r="AJ2028" t="s">
        <v>4829</v>
      </c>
      <c r="AK2028" t="s">
        <v>4931</v>
      </c>
      <c r="AL2028">
        <v>32760.11</v>
      </c>
      <c r="AM2028">
        <v>64150.94</v>
      </c>
      <c r="AN2028" s="10" cm="1">
        <f t="array" ref="AN2028">Lair(100000000/($AM2028-$AL2028))</f>
        <v>3184.7227185832294</v>
      </c>
      <c r="AO2028" s="10">
        <f t="shared" si="1325"/>
        <v>3185.6437055025303</v>
      </c>
      <c r="AP2028" s="12">
        <v>68400000</v>
      </c>
      <c r="AQ2028" s="3">
        <v>0.308</v>
      </c>
      <c r="AR2028" s="3">
        <f t="shared" si="1326"/>
        <v>-7.8497001101882864</v>
      </c>
      <c r="AS2028" s="13">
        <f t="shared" si="1327"/>
        <v>15.400023130016944</v>
      </c>
      <c r="AT2028" s="3">
        <f t="shared" si="1328"/>
        <v>1.1249310989335075</v>
      </c>
      <c r="AU2028" s="16" cm="1">
        <f t="array" ref="AU2028">$C2028*EXP(poly_from_str(100000000/$E2028,AU$4342))</f>
        <v>8.3710022417752636</v>
      </c>
      <c r="AV2028" s="13">
        <f t="shared" si="1329"/>
        <v>0.60959539188716017</v>
      </c>
    </row>
    <row r="2029" spans="1:48" x14ac:dyDescent="0.25">
      <c r="A2029">
        <v>3183.9070000000002</v>
      </c>
      <c r="B2029" s="2" t="str">
        <f t="shared" si="1272"/>
        <v/>
      </c>
      <c r="C2029">
        <v>6</v>
      </c>
      <c r="D2029" t="s">
        <v>1156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1320"/>
        <v>e</v>
      </c>
      <c r="N2029" t="str">
        <f t="shared" si="1321"/>
        <v>11/2</v>
      </c>
      <c r="O2029">
        <v>64865.15</v>
      </c>
      <c r="P2029" t="str">
        <f t="shared" si="1322"/>
        <v>o</v>
      </c>
      <c r="Q2029" t="str">
        <f t="shared" si="1323"/>
        <v>11/2</v>
      </c>
      <c r="R2029">
        <v>20</v>
      </c>
      <c r="AA2029" s="10">
        <f t="shared" si="1273"/>
        <v>3183.9070000000002</v>
      </c>
      <c r="AB2029" s="3">
        <f t="shared" si="1274"/>
        <v>31398.87</v>
      </c>
      <c r="AC2029" s="3" cm="1">
        <f t="array" ref="AC2029">100000000/LvacE(AA2029)</f>
        <v>31398.872106077386</v>
      </c>
      <c r="AD2029" s="10">
        <f t="shared" si="1275"/>
        <v>9.9308714271612499E-3</v>
      </c>
      <c r="AE2029" s="10" t="b">
        <f t="shared" si="1276"/>
        <v>1</v>
      </c>
      <c r="AJ2029" t="s">
        <v>4774</v>
      </c>
      <c r="AK2029" t="s">
        <v>4896</v>
      </c>
      <c r="AL2029">
        <v>33466.410000000003</v>
      </c>
      <c r="AM2029">
        <v>64865.15</v>
      </c>
      <c r="AN2029" s="10" cm="1">
        <f t="array" ref="AN2029">Lair(100000000/($AM2029-$AL2029))</f>
        <v>3183.9203909032526</v>
      </c>
      <c r="AO2029" s="10">
        <f t="shared" si="1325"/>
        <v>3184.8411751554363</v>
      </c>
      <c r="AP2029" s="12">
        <v>46900000</v>
      </c>
      <c r="AQ2029" s="3">
        <v>0.112</v>
      </c>
      <c r="AR2029" s="3">
        <f t="shared" si="1326"/>
        <v>-7.2889597729517446</v>
      </c>
      <c r="AS2029" s="13">
        <f t="shared" si="1327"/>
        <v>10.010821606087612</v>
      </c>
      <c r="AT2029" s="3">
        <f t="shared" si="1328"/>
        <v>0.51190719926104689</v>
      </c>
      <c r="AU2029" s="16" cm="1">
        <f t="array" ref="AU2029">$C2029*EXP(poly_from_str(100000000/$E2029,AU$4342))</f>
        <v>10.05842669420673</v>
      </c>
      <c r="AV2029" s="13">
        <f t="shared" si="1329"/>
        <v>-4.7440917259807241E-3</v>
      </c>
    </row>
    <row r="2030" spans="1:48" x14ac:dyDescent="0.25">
      <c r="A2030">
        <v>3181.9119999999998</v>
      </c>
      <c r="B2030" s="2" t="str">
        <f t="shared" si="127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1320"/>
        <v>e</v>
      </c>
      <c r="N2030" t="str">
        <f t="shared" si="1321"/>
        <v>5/2</v>
      </c>
      <c r="O2030">
        <v>80164.039999999994</v>
      </c>
      <c r="P2030" t="str">
        <f t="shared" si="1322"/>
        <v>o</v>
      </c>
      <c r="Q2030" t="str">
        <f t="shared" si="1323"/>
        <v>3/2</v>
      </c>
      <c r="R2030">
        <v>20</v>
      </c>
      <c r="AA2030" s="10">
        <f t="shared" si="1273"/>
        <v>3181.9119999999998</v>
      </c>
      <c r="AB2030" s="3">
        <f t="shared" si="1274"/>
        <v>31418.560000000001</v>
      </c>
      <c r="AC2030" s="3" cm="1">
        <f t="array" ref="AC2030">100000000/LvacE(AA2030)</f>
        <v>31418.557897188595</v>
      </c>
      <c r="AD2030" s="10">
        <f t="shared" si="1275"/>
        <v>9.9370563826385837E-3</v>
      </c>
      <c r="AE2030" s="10" t="b">
        <f t="shared" si="1276"/>
        <v>1</v>
      </c>
      <c r="AJ2030" t="s">
        <v>4762</v>
      </c>
      <c r="AK2030" t="s">
        <v>4893</v>
      </c>
      <c r="AL2030">
        <v>48745.48</v>
      </c>
      <c r="AM2030">
        <v>80164.039999999994</v>
      </c>
      <c r="AN2030" s="10" cm="1">
        <f t="array" ref="AN2030">Lair(100000000/($AM2030-$AL2030))</f>
        <v>3181.9117815768914</v>
      </c>
      <c r="AO2030" s="10">
        <f t="shared" si="1325"/>
        <v>3182.8320585030006</v>
      </c>
      <c r="AP2030" s="12">
        <v>31000000</v>
      </c>
      <c r="AQ2030" s="3">
        <v>0.13600000000000001</v>
      </c>
      <c r="AR2030" s="3">
        <f t="shared" si="1326"/>
        <v>-7.970620092744614</v>
      </c>
      <c r="AS2030" s="13">
        <f t="shared" si="1327"/>
        <v>2.1004153472536373</v>
      </c>
      <c r="AT2030" s="3">
        <f t="shared" si="1328"/>
        <v>4.8987929019168881E-2</v>
      </c>
      <c r="AU2030" s="16" cm="1">
        <f t="array" ref="AU2030">$C2030*EXP(poly_from_str(100000000/$E2030,AU$4342))</f>
        <v>3.3647410487641594</v>
      </c>
      <c r="AV2030" s="13">
        <f t="shared" si="1329"/>
        <v>-0.47121589625158644</v>
      </c>
    </row>
    <row r="2031" spans="1:48" x14ac:dyDescent="0.25">
      <c r="A2031">
        <v>3179.1819999999998</v>
      </c>
      <c r="B2031" s="2" t="str">
        <f t="shared" si="127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1320"/>
        <v>e</v>
      </c>
      <c r="N2031" t="str">
        <f t="shared" si="1321"/>
        <v>9/2</v>
      </c>
      <c r="O2031">
        <v>60166.2</v>
      </c>
      <c r="P2031" t="str">
        <f t="shared" si="1322"/>
        <v>o</v>
      </c>
      <c r="Q2031" t="str">
        <f t="shared" si="1323"/>
        <v>9/2</v>
      </c>
      <c r="R2031">
        <v>20</v>
      </c>
      <c r="AA2031" s="10">
        <f t="shared" si="1273"/>
        <v>3179.1819999999998</v>
      </c>
      <c r="AB2031" s="3">
        <f t="shared" si="1274"/>
        <v>31445.54</v>
      </c>
      <c r="AC2031" s="3" cm="1">
        <f t="array" ref="AC2031">100000000/LvacE(AA2031)</f>
        <v>31445.536382431546</v>
      </c>
      <c r="AD2031" s="10">
        <f t="shared" si="1275"/>
        <v>9.9455388811385374E-3</v>
      </c>
      <c r="AE2031" s="10" t="b">
        <f t="shared" si="1276"/>
        <v>1</v>
      </c>
      <c r="AJ2031" t="s">
        <v>4708</v>
      </c>
      <c r="AK2031" t="s">
        <v>4726</v>
      </c>
      <c r="AL2031">
        <v>28720.71</v>
      </c>
      <c r="AM2031">
        <v>60166.2</v>
      </c>
      <c r="AN2031" s="10" cm="1">
        <f t="array" ref="AN2031">Lair(100000000/($AM2031-$AL2031))</f>
        <v>3179.1866840524549</v>
      </c>
      <c r="AO2031" s="10">
        <f t="shared" si="1325"/>
        <v>3180.1062727914245</v>
      </c>
      <c r="AP2031" s="12">
        <v>89200000</v>
      </c>
      <c r="AQ2031" s="3">
        <v>8.4000000000000005E-2</v>
      </c>
      <c r="AR2031" s="3">
        <f t="shared" si="1326"/>
        <v>-7.5195092727089401</v>
      </c>
      <c r="AS2031" s="13">
        <f t="shared" si="1327"/>
        <v>27.130506907759234</v>
      </c>
      <c r="AT2031" s="3">
        <f t="shared" si="1328"/>
        <v>1.1034342335595992</v>
      </c>
      <c r="AU2031" s="16" cm="1">
        <f t="array" ref="AU2031">$C2031*EXP(poly_from_str(100000000/$E2031,AU$4342))</f>
        <v>15.213944833125382</v>
      </c>
      <c r="AV2031" s="13">
        <f t="shared" si="1329"/>
        <v>0.57844638038713725</v>
      </c>
    </row>
    <row r="2032" spans="1:48" x14ac:dyDescent="0.25">
      <c r="A2032">
        <v>3178.1880000000001</v>
      </c>
      <c r="B2032" s="2" t="str">
        <f t="shared" si="127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1320"/>
        <v>e</v>
      </c>
      <c r="N2032" t="str">
        <f t="shared" si="1321"/>
        <v>13/2</v>
      </c>
      <c r="O2032">
        <v>64215.45</v>
      </c>
      <c r="P2032" t="str">
        <f t="shared" si="1322"/>
        <v>o</v>
      </c>
      <c r="Q2032" t="str">
        <f t="shared" si="1323"/>
        <v>13/2</v>
      </c>
      <c r="R2032">
        <v>20</v>
      </c>
      <c r="AA2032" s="10">
        <f t="shared" si="1273"/>
        <v>3178.1880000000001</v>
      </c>
      <c r="AB2032" s="3">
        <f t="shared" si="1274"/>
        <v>31455.37</v>
      </c>
      <c r="AC2032" s="3" cm="1">
        <f t="array" ref="AC2032">100000000/LvacE(AA2032)</f>
        <v>31455.370827253744</v>
      </c>
      <c r="AD2032" s="10">
        <f t="shared" si="1275"/>
        <v>9.9486328101505862E-3</v>
      </c>
      <c r="AE2032" s="10" t="b">
        <f t="shared" si="1276"/>
        <v>1</v>
      </c>
      <c r="AJ2032" t="s">
        <v>4829</v>
      </c>
      <c r="AK2032" t="s">
        <v>4823</v>
      </c>
      <c r="AL2032">
        <v>32760.11</v>
      </c>
      <c r="AM2032">
        <v>64215.45</v>
      </c>
      <c r="AN2032" s="10" cm="1">
        <f t="array" ref="AN2032">Lair(100000000/($AM2032-$AL2032))</f>
        <v>3178.1911093971848</v>
      </c>
      <c r="AO2032" s="10">
        <f t="shared" si="1325"/>
        <v>3179.1104467476748</v>
      </c>
      <c r="AP2032" s="12">
        <v>157000000</v>
      </c>
      <c r="AQ2032" s="3">
        <v>0.14099999999999999</v>
      </c>
      <c r="AR2032" s="3">
        <f t="shared" si="1326"/>
        <v>-8.3347827081405548</v>
      </c>
      <c r="AS2032" s="13">
        <f t="shared" si="1327"/>
        <v>35.249582161623344</v>
      </c>
      <c r="AT2032" s="3">
        <f t="shared" si="1328"/>
        <v>1.6165435265617414</v>
      </c>
      <c r="AU2032" s="16" cm="1">
        <f t="array" ref="AU2032">$C2032*EXP(poly_from_str(100000000/$E2032,AU$4342))</f>
        <v>11.853426148617249</v>
      </c>
      <c r="AV2032" s="13">
        <f t="shared" si="1329"/>
        <v>1.0898367233593256</v>
      </c>
    </row>
    <row r="2033" spans="1:48" x14ac:dyDescent="0.25">
      <c r="A2033">
        <v>3178.15</v>
      </c>
      <c r="B2033" s="2" t="str">
        <f t="shared" si="127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1273"/>
        <v>3178.15</v>
      </c>
      <c r="AB2033" s="3">
        <f t="shared" si="1274"/>
        <v>31455.75</v>
      </c>
      <c r="AC2033" s="3" cm="1">
        <f t="array" ref="AC2033">100000000/LvacE(AA2033)</f>
        <v>31455.746914019637</v>
      </c>
      <c r="AD2033" s="10">
        <f t="shared" si="1275"/>
        <v>9.9487511467393971E-3</v>
      </c>
      <c r="AE2033" s="10" t="b">
        <f t="shared" si="1276"/>
        <v>1</v>
      </c>
      <c r="AP2033"/>
      <c r="AQ2033"/>
      <c r="AU2033" s="16" cm="1">
        <f t="array" ref="AU2033">$C2033*EXP(poly_from_str(100000000/$E2033,AU$4342))</f>
        <v>0</v>
      </c>
    </row>
    <row r="2034" spans="1:48" x14ac:dyDescent="0.25">
      <c r="A2034">
        <v>3178.1149999999998</v>
      </c>
      <c r="B2034" s="2" t="str">
        <f t="shared" si="127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1273"/>
        <v>3178.1149999999998</v>
      </c>
      <c r="AB2034" s="3">
        <f t="shared" si="1274"/>
        <v>31456.09</v>
      </c>
      <c r="AC2034" s="3" cm="1">
        <f t="array" ref="AC2034">100000000/LvacE(AA2034)</f>
        <v>31456.09331768113</v>
      </c>
      <c r="AD2034" s="10">
        <f t="shared" si="1275"/>
        <v>9.9488601447211833E-3</v>
      </c>
      <c r="AE2034" s="10" t="b">
        <f t="shared" si="1276"/>
        <v>1</v>
      </c>
      <c r="AP2034"/>
      <c r="AQ2034"/>
      <c r="AU2034" s="16" cm="1">
        <f t="array" ref="AU2034">$C2034*EXP(poly_from_str(100000000/$E2034,AU$4342))</f>
        <v>0</v>
      </c>
    </row>
    <row r="2035" spans="1:48" x14ac:dyDescent="0.25">
      <c r="A2035">
        <v>3178.0839999999998</v>
      </c>
      <c r="B2035" s="2" t="str">
        <f t="shared" si="127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1273"/>
        <v>3178.0839999999998</v>
      </c>
      <c r="AB2035" s="3">
        <f t="shared" si="1274"/>
        <v>31456.400000000001</v>
      </c>
      <c r="AC2035" s="3" cm="1">
        <f t="array" ref="AC2035">100000000/LvacE(AA2035)</f>
        <v>31456.400138724024</v>
      </c>
      <c r="AD2035" s="10">
        <f t="shared" si="1275"/>
        <v>9.9489566887980344E-3</v>
      </c>
      <c r="AE2035" s="10" t="b">
        <f t="shared" si="1276"/>
        <v>1</v>
      </c>
      <c r="AP2035"/>
      <c r="AQ2035"/>
      <c r="AU2035" s="16" cm="1">
        <f t="array" ref="AU2035">$C2035*EXP(poly_from_str(100000000/$E2035,AU$4342))</f>
        <v>0</v>
      </c>
    </row>
    <row r="2036" spans="1:48" x14ac:dyDescent="0.25">
      <c r="A2036">
        <v>3176.8560000000002</v>
      </c>
      <c r="B2036" s="2" t="str">
        <f t="shared" si="127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1273"/>
        <v>3176.8560000000002</v>
      </c>
      <c r="AB2036" s="3">
        <f t="shared" si="1274"/>
        <v>31468.560000000001</v>
      </c>
      <c r="AC2036" s="3" cm="1">
        <f t="array" ref="AC2036">100000000/LvacE(AA2036)</f>
        <v>31468.559027404172</v>
      </c>
      <c r="AD2036" s="10">
        <f t="shared" si="1275"/>
        <v>9.9527833536370812E-3</v>
      </c>
      <c r="AE2036" s="10" t="b">
        <f t="shared" si="1276"/>
        <v>1</v>
      </c>
      <c r="AP2036"/>
      <c r="AQ2036"/>
      <c r="AU2036" s="16" cm="1">
        <f t="array" ref="AU2036">$C2036*EXP(poly_from_str(100000000/$E2036,AU$4342))</f>
        <v>0</v>
      </c>
    </row>
    <row r="2037" spans="1:48" x14ac:dyDescent="0.25">
      <c r="A2037">
        <v>3176.8359999999998</v>
      </c>
      <c r="B2037" s="2" t="str">
        <f t="shared" si="127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1273"/>
        <v>3176.8359999999998</v>
      </c>
      <c r="AB2037" s="3">
        <f t="shared" si="1274"/>
        <v>31468.76</v>
      </c>
      <c r="AC2037" s="3" cm="1">
        <f t="array" ref="AC2037">100000000/LvacE(AA2037)</f>
        <v>31468.75713269605</v>
      </c>
      <c r="AD2037" s="10">
        <f t="shared" si="1275"/>
        <v>9.9528457138952173E-3</v>
      </c>
      <c r="AE2037" s="10" t="b">
        <f t="shared" si="1276"/>
        <v>1</v>
      </c>
      <c r="AJ2037" t="s">
        <v>4728</v>
      </c>
      <c r="AK2037" t="s">
        <v>4830</v>
      </c>
      <c r="AL2037">
        <v>35384.17</v>
      </c>
      <c r="AM2037">
        <v>66852.87</v>
      </c>
      <c r="AN2037" s="10" cm="1">
        <f t="array" ref="AN2037">Lair(100000000/($AM2037-$AL2037))</f>
        <v>3176.8417624448261</v>
      </c>
      <c r="AO2037" s="10">
        <f>100000000/($AM2037-$AL2037)</f>
        <v>3177.7607591034903</v>
      </c>
      <c r="AP2037" s="12">
        <v>50000000</v>
      </c>
      <c r="AQ2037" s="3">
        <v>0.26100000000000001</v>
      </c>
      <c r="AR2037" s="3">
        <f>LN(AU2037*100000000/($AM2037-$AL2037)/AP2037)</f>
        <v>-7.525135998533707</v>
      </c>
      <c r="AS2037" s="13">
        <f>EXP(AR$4341*$AM2037+AR$4342)*$AP2037/(100000000/($AM2037-$AL2037))</f>
        <v>9.2140149517013032</v>
      </c>
      <c r="AT2037" s="3">
        <f>LN(AS2037/$C2037)</f>
        <v>0.6112877767938828</v>
      </c>
      <c r="AU2037" s="16" cm="1">
        <f t="array" ref="AU2037">$C2037*EXP(poly_from_str(100000000/$E2037,AU$4342))</f>
        <v>8.4864052513766595</v>
      </c>
      <c r="AV2037" s="13">
        <f>LN(AS2037/AU2037)</f>
        <v>8.2260188299780379E-2</v>
      </c>
    </row>
    <row r="2038" spans="1:48" x14ac:dyDescent="0.25">
      <c r="A2038">
        <v>3175.81</v>
      </c>
      <c r="B2038" s="2" t="str">
        <f t="shared" si="127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1273"/>
        <v>3175.81</v>
      </c>
      <c r="AB2038" s="3">
        <f t="shared" si="1274"/>
        <v>31478.92</v>
      </c>
      <c r="AC2038" s="3" cm="1">
        <f t="array" ref="AC2038">100000000/LvacE(AA2038)</f>
        <v>31478.923281226504</v>
      </c>
      <c r="AD2038" s="10">
        <f t="shared" si="1275"/>
        <v>9.956046375763427E-3</v>
      </c>
      <c r="AE2038" s="10" t="b">
        <f t="shared" si="1276"/>
        <v>1</v>
      </c>
      <c r="AP2038"/>
      <c r="AQ2038"/>
      <c r="AU2038" s="16" cm="1">
        <f t="array" ref="AU2038">$C2038*EXP(poly_from_str(100000000/$E2038,AU$4342))</f>
        <v>3.4004908792615689</v>
      </c>
    </row>
    <row r="2039" spans="1:48" x14ac:dyDescent="0.25">
      <c r="A2039">
        <v>3172.9520000000002</v>
      </c>
      <c r="B2039" s="2" t="str">
        <f t="shared" si="127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1273"/>
        <v>3172.9520000000002</v>
      </c>
      <c r="AB2039" s="3">
        <f t="shared" si="1274"/>
        <v>31507.279999999999</v>
      </c>
      <c r="AC2039" s="3" cm="1">
        <f t="array" ref="AC2039">100000000/LvacE(AA2039)</f>
        <v>31507.276513385899</v>
      </c>
      <c r="AD2039" s="10">
        <f t="shared" si="1275"/>
        <v>9.9649784354421209E-3</v>
      </c>
      <c r="AE2039" s="10" t="b">
        <f t="shared" si="1276"/>
        <v>1</v>
      </c>
      <c r="AJ2039" t="s">
        <v>4828</v>
      </c>
      <c r="AK2039" t="s">
        <v>4892</v>
      </c>
      <c r="AL2039">
        <v>30733.53</v>
      </c>
      <c r="AM2039">
        <v>62240.83</v>
      </c>
      <c r="AN2039" s="10" cm="1">
        <f t="array" ref="AN2039">Lair(100000000/($AM2039-$AL2039))</f>
        <v>3172.9496292540744</v>
      </c>
      <c r="AO2039" s="10">
        <f>100000000/($AM2039-$AL2039)</f>
        <v>3173.8676433715359</v>
      </c>
      <c r="AP2039" s="12">
        <v>295000000</v>
      </c>
      <c r="AQ2039" s="3">
        <v>0.13700000000000001</v>
      </c>
      <c r="AR2039" s="3">
        <f>LN(AU2039*100000000/($AM2039-$AL2039)/AP2039)</f>
        <v>-7.5030114682747397</v>
      </c>
      <c r="AS2039" s="13">
        <f>EXP(AR$4341*$AM2039+AR$4342)*$AP2039/(100000000/($AM2039-$AL2039))</f>
        <v>76.93974342434592</v>
      </c>
      <c r="AT2039" s="3">
        <f>LN(AS2039/$C2039)</f>
        <v>0.9418251809065753</v>
      </c>
      <c r="AU2039" s="16" cm="1">
        <f t="array" ref="AU2039">$C2039*EXP(poly_from_str(100000000/$E2039,AU$4342))</f>
        <v>51.252697258792765</v>
      </c>
      <c r="AV2039" s="13">
        <f>LN(AS2039/AU2039)</f>
        <v>0.40625431649523475</v>
      </c>
    </row>
    <row r="2040" spans="1:48" x14ac:dyDescent="0.25">
      <c r="A2040">
        <v>3172.91</v>
      </c>
      <c r="B2040" s="2" t="str">
        <f t="shared" si="127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1273"/>
        <v>3172.91</v>
      </c>
      <c r="AB2040" s="3">
        <f t="shared" si="1274"/>
        <v>31507.69</v>
      </c>
      <c r="AC2040" s="3" cm="1">
        <f t="array" ref="AC2040">100000000/LvacE(AA2040)</f>
        <v>31507.693561703138</v>
      </c>
      <c r="AD2040" s="10">
        <f t="shared" si="1275"/>
        <v>9.9651098773213143E-3</v>
      </c>
      <c r="AE2040" s="10" t="b">
        <f t="shared" si="1276"/>
        <v>1</v>
      </c>
      <c r="AP2040"/>
      <c r="AQ2040"/>
      <c r="AU2040" s="16" cm="1">
        <f t="array" ref="AU2040">$C2040*EXP(poly_from_str(100000000/$E2040,AU$4342))</f>
        <v>0</v>
      </c>
    </row>
    <row r="2041" spans="1:48" x14ac:dyDescent="0.25">
      <c r="A2041">
        <v>3172.873</v>
      </c>
      <c r="B2041" s="2" t="str">
        <f t="shared" si="127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1273"/>
        <v>3172.873</v>
      </c>
      <c r="AB2041" s="3">
        <f t="shared" si="1274"/>
        <v>31508.06</v>
      </c>
      <c r="AC2041" s="3" cm="1">
        <f t="array" ref="AC2041">100000000/LvacE(AA2041)</f>
        <v>31508.060970558323</v>
      </c>
      <c r="AD2041" s="10">
        <f t="shared" si="1275"/>
        <v>9.9652256756823116E-3</v>
      </c>
      <c r="AE2041" s="10" t="b">
        <f t="shared" si="1276"/>
        <v>1</v>
      </c>
      <c r="AP2041"/>
      <c r="AQ2041"/>
      <c r="AU2041" s="16" cm="1">
        <f t="array" ref="AU2041">$C2041*EXP(poly_from_str(100000000/$E2041,AU$4342))</f>
        <v>0</v>
      </c>
    </row>
    <row r="2042" spans="1:48" x14ac:dyDescent="0.25">
      <c r="A2042">
        <v>3172.384</v>
      </c>
      <c r="B2042" s="2" t="str">
        <f t="shared" si="127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1273"/>
        <v>3172.384</v>
      </c>
      <c r="AB2042" s="3">
        <f t="shared" si="1274"/>
        <v>31512.92</v>
      </c>
      <c r="AC2042" s="3" cm="1">
        <f t="array" ref="AC2042">100000000/LvacE(AA2042)</f>
        <v>31512.917530489995</v>
      </c>
      <c r="AD2042" s="10">
        <f t="shared" si="1275"/>
        <v>9.9667564724967087E-3</v>
      </c>
      <c r="AE2042" s="10" t="b">
        <f t="shared" si="1276"/>
        <v>1</v>
      </c>
      <c r="AP2042"/>
      <c r="AQ2042"/>
      <c r="AU2042" s="16" cm="1">
        <f t="array" ref="AU2042">$C2042*EXP(poly_from_str(100000000/$E2042,AU$4342))</f>
        <v>1.710032429087728</v>
      </c>
    </row>
    <row r="2043" spans="1:48" x14ac:dyDescent="0.25">
      <c r="A2043">
        <v>3172.2890000000002</v>
      </c>
      <c r="B2043" s="2" t="str">
        <f t="shared" si="127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1273"/>
        <v>3172.2890000000002</v>
      </c>
      <c r="AB2043" s="3">
        <f t="shared" si="1274"/>
        <v>31513.86</v>
      </c>
      <c r="AC2043" s="3" cm="1">
        <f t="array" ref="AC2043">100000000/LvacE(AA2043)</f>
        <v>31513.861207635699</v>
      </c>
      <c r="AD2043" s="10">
        <f t="shared" si="1275"/>
        <v>9.9670539486843256E-3</v>
      </c>
      <c r="AE2043" s="10" t="b">
        <f t="shared" si="1276"/>
        <v>1</v>
      </c>
      <c r="AP2043"/>
      <c r="AQ2043"/>
      <c r="AU2043" s="16" cm="1">
        <f t="array" ref="AU2043">$C2043*EXP(poly_from_str(100000000/$E2043,AU$4342))</f>
        <v>1.7103000700495417</v>
      </c>
    </row>
    <row r="2044" spans="1:48" x14ac:dyDescent="0.25">
      <c r="A2044">
        <v>3171.6239999999998</v>
      </c>
      <c r="B2044" s="2" t="str">
        <f t="shared" si="127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1273"/>
        <v>3171.6239999999998</v>
      </c>
      <c r="AB2044" s="3">
        <f t="shared" si="1274"/>
        <v>31520.47</v>
      </c>
      <c r="AC2044" s="3" cm="1">
        <f t="array" ref="AC2044">100000000/LvacE(AA2044)</f>
        <v>31520.468530454738</v>
      </c>
      <c r="AD2044" s="10">
        <f t="shared" si="1275"/>
        <v>9.9691370305015261E-3</v>
      </c>
      <c r="AE2044" s="10" t="b">
        <f t="shared" si="1276"/>
        <v>1</v>
      </c>
      <c r="AP2044"/>
      <c r="AQ2044"/>
      <c r="AU2044" s="16" cm="1">
        <f t="array" ref="AU2044">$C2044*EXP(poly_from_str(100000000/$E2044,AU$4342))</f>
        <v>5.1365327806293326</v>
      </c>
    </row>
    <row r="2045" spans="1:48" x14ac:dyDescent="0.25">
      <c r="A2045">
        <v>3171.067</v>
      </c>
      <c r="B2045" s="2" t="str">
        <f t="shared" si="127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1273"/>
        <v>3171.067</v>
      </c>
      <c r="AB2045" s="3">
        <f t="shared" si="1274"/>
        <v>31526</v>
      </c>
      <c r="AC2045" s="3" cm="1">
        <f t="array" ref="AC2045">100000000/LvacE(AA2045)</f>
        <v>31526.004916845141</v>
      </c>
      <c r="AD2045" s="10">
        <f t="shared" si="1275"/>
        <v>9.9708828159173462E-3</v>
      </c>
      <c r="AE2045" s="10" t="b">
        <f t="shared" si="1276"/>
        <v>1</v>
      </c>
      <c r="AP2045"/>
      <c r="AQ2045"/>
      <c r="AU2045" s="16" cm="1">
        <f t="array" ref="AU2045">$C2045*EXP(poly_from_str(100000000/$E2045,AU$4342))</f>
        <v>1.713742274989714</v>
      </c>
    </row>
    <row r="2046" spans="1:48" x14ac:dyDescent="0.25">
      <c r="A2046">
        <v>3170.96</v>
      </c>
      <c r="B2046" s="2" t="str">
        <f t="shared" si="127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1273"/>
        <v>3170.96</v>
      </c>
      <c r="AB2046" s="3">
        <f t="shared" si="1274"/>
        <v>31527.07</v>
      </c>
      <c r="AC2046" s="3" cm="1">
        <f t="array" ref="AC2046">100000000/LvacE(AA2046)</f>
        <v>31527.068682344674</v>
      </c>
      <c r="AD2046" s="10">
        <f t="shared" si="1275"/>
        <v>9.9712182875761092E-3</v>
      </c>
      <c r="AE2046" s="10" t="b">
        <f t="shared" si="1276"/>
        <v>1</v>
      </c>
      <c r="AP2046"/>
      <c r="AQ2046"/>
      <c r="AU2046" s="16" cm="1">
        <f t="array" ref="AU2046">$C2046*EXP(poly_from_str(100000000/$E2046,AU$4342))</f>
        <v>1.7140443845227966</v>
      </c>
    </row>
    <row r="2047" spans="1:48" x14ac:dyDescent="0.25">
      <c r="A2047">
        <v>3170.145</v>
      </c>
      <c r="B2047" s="2" t="str">
        <f t="shared" si="1272"/>
        <v/>
      </c>
      <c r="C2047">
        <v>10</v>
      </c>
      <c r="D2047" t="s">
        <v>1156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1330">$G2047&amp;""</f>
        <v>e</v>
      </c>
      <c r="N2047" t="str">
        <f t="shared" ref="N2047:N2048" si="1331">$H2047&amp;""</f>
        <v>9/2</v>
      </c>
      <c r="O2047">
        <v>60419.73</v>
      </c>
      <c r="P2047" t="str">
        <f t="shared" ref="P2047:P2048" si="1332">$J2047&amp;""</f>
        <v>o</v>
      </c>
      <c r="Q2047" t="str">
        <f t="shared" ref="Q2047:Q2048" si="1333">$K2047&amp;""</f>
        <v>11/2</v>
      </c>
      <c r="R2047">
        <v>20</v>
      </c>
      <c r="AA2047" s="10">
        <f t="shared" si="1273"/>
        <v>3170.145</v>
      </c>
      <c r="AB2047" s="3">
        <f t="shared" si="1274"/>
        <v>31535.17</v>
      </c>
      <c r="AC2047" s="3" cm="1">
        <f t="array" ref="AC2047">100000000/LvacE(AA2047)</f>
        <v>31535.173551634078</v>
      </c>
      <c r="AD2047" s="10">
        <f t="shared" si="1275"/>
        <v>9.9737746304402602E-3</v>
      </c>
      <c r="AE2047" s="10" t="b">
        <f t="shared" si="1276"/>
        <v>1</v>
      </c>
      <c r="AJ2047" t="s">
        <v>4742</v>
      </c>
      <c r="AK2047" t="s">
        <v>4849</v>
      </c>
      <c r="AL2047">
        <v>28885.14</v>
      </c>
      <c r="AM2047">
        <v>60419.73</v>
      </c>
      <c r="AN2047" s="10" cm="1">
        <f t="array" ref="AN2047">Lair(100000000/($AM2047-$AL2047))</f>
        <v>3170.2036606841957</v>
      </c>
      <c r="AO2047" s="10">
        <f t="shared" ref="AO2047:AO2048" si="1334">100000000/($AM2047-$AL2047)</f>
        <v>3171.1209817536865</v>
      </c>
      <c r="AP2047" s="12">
        <v>57700000</v>
      </c>
      <c r="AQ2047" s="3">
        <v>3.7999999999999999E-2</v>
      </c>
      <c r="AR2047" s="3"/>
      <c r="AS2047" s="13">
        <f t="shared" ref="AS2047:AS2048" si="1335">EXP(AR$4341*$AM2047+AR$4342)*$AP2047/(100000000/($AM2047-$AL2047))</f>
        <v>17.267701785317449</v>
      </c>
      <c r="AT2047" s="3"/>
      <c r="AU2047" s="16" cm="1">
        <f t="array" ref="AU2047">$C2047*EXP(poly_from_str(100000000/$E2047,AU$4342))</f>
        <v>17.163246232659453</v>
      </c>
    </row>
    <row r="2048" spans="1:48" x14ac:dyDescent="0.25">
      <c r="A2048">
        <v>3167.8440000000001</v>
      </c>
      <c r="B2048" s="2" t="str">
        <f t="shared" si="127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1330"/>
        <v>e</v>
      </c>
      <c r="N2048" t="str">
        <f t="shared" si="1331"/>
        <v>5/2</v>
      </c>
      <c r="O2048" s="4">
        <v>66943.039999999994</v>
      </c>
      <c r="P2048" t="str">
        <f t="shared" si="1332"/>
        <v>o</v>
      </c>
      <c r="Q2048" t="str">
        <f t="shared" si="1333"/>
        <v>5/2</v>
      </c>
      <c r="R2048">
        <v>20</v>
      </c>
      <c r="S2048" t="s">
        <v>22</v>
      </c>
      <c r="T2048">
        <v>1</v>
      </c>
      <c r="U2048" t="s">
        <v>4644</v>
      </c>
      <c r="AA2048" s="10">
        <f t="shared" si="1273"/>
        <v>3167.8440000000001</v>
      </c>
      <c r="AB2048" s="3">
        <f t="shared" si="1274"/>
        <v>31558.080000000002</v>
      </c>
      <c r="AC2048" s="3" cm="1">
        <f t="array" ref="AC2048">100000000/LvacE(AA2048)</f>
        <v>31558.078640177235</v>
      </c>
      <c r="AD2048" s="10">
        <f t="shared" si="1275"/>
        <v>9.9810026377841268E-3</v>
      </c>
      <c r="AE2048" s="10" t="b">
        <f t="shared" si="1276"/>
        <v>1</v>
      </c>
      <c r="AJ2048" t="s">
        <v>4728</v>
      </c>
      <c r="AK2048" t="s">
        <v>4847</v>
      </c>
      <c r="AL2048">
        <v>35384.17</v>
      </c>
      <c r="AM2048">
        <v>66943.039999999994</v>
      </c>
      <c r="AN2048" s="10" cm="1">
        <f t="array" ref="AN2048">Lair(100000000/($AM2048-$AL2048))</f>
        <v>3167.7645558252452</v>
      </c>
      <c r="AO2048" s="10">
        <f t="shared" si="1334"/>
        <v>3168.6812614013115</v>
      </c>
      <c r="AP2048" s="12">
        <v>80900000</v>
      </c>
      <c r="AQ2048" s="3">
        <v>0.42099999999999999</v>
      </c>
      <c r="AR2048" s="3">
        <f>LN(AU2048*100000000/($AM2048-$AL2048)/AP2048)</f>
        <v>-8.2174611968583449</v>
      </c>
      <c r="AS2048" s="13">
        <f t="shared" si="1335"/>
        <v>14.850162842392876</v>
      </c>
      <c r="AT2048" s="3">
        <f t="shared" ref="AT2048" si="1336">LN(AS2048/$C2048)</f>
        <v>1.3117164698863959</v>
      </c>
      <c r="AU2048" s="16" cm="1">
        <f t="array" ref="AU2048">$C2048*EXP(poly_from_str(100000000/$E2048,AU$4342))</f>
        <v>6.8908359847508951</v>
      </c>
      <c r="AV2048" s="13">
        <f>LN(AS2048/AU2048)</f>
        <v>0.7678184202856968</v>
      </c>
    </row>
    <row r="2049" spans="1:48" x14ac:dyDescent="0.25">
      <c r="A2049">
        <v>3167.7979999999998</v>
      </c>
      <c r="B2049" s="2" t="str">
        <f t="shared" si="127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2915</v>
      </c>
      <c r="T2049" s="4">
        <v>1</v>
      </c>
      <c r="U2049" s="4" t="s">
        <v>4661</v>
      </c>
      <c r="AA2049" s="10">
        <f t="shared" si="1273"/>
        <v>3167.7979999999998</v>
      </c>
      <c r="AB2049" s="3">
        <f t="shared" si="1274"/>
        <v>31558.54</v>
      </c>
      <c r="AC2049" s="3" cm="1">
        <f t="array" ref="AC2049">100000000/LvacE(AA2049)</f>
        <v>31558.536882095359</v>
      </c>
      <c r="AD2049" s="10">
        <f t="shared" si="1275"/>
        <v>9.9811472957075167E-3</v>
      </c>
      <c r="AE2049" s="10" t="b">
        <f t="shared" si="1276"/>
        <v>1</v>
      </c>
      <c r="AP2049"/>
      <c r="AQ2049"/>
      <c r="AU2049" s="16" cm="1">
        <f t="array" ref="AU2049">$C2049*EXP(poly_from_str(100000000/$E2049,AU$4342))</f>
        <v>0</v>
      </c>
    </row>
    <row r="2050" spans="1:48" x14ac:dyDescent="0.25">
      <c r="A2050">
        <v>3167.2750000000001</v>
      </c>
      <c r="B2050" s="2" t="str">
        <f t="shared" ref="B2050:B2113" si="1337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1273"/>
        <v>3167.2750000000001</v>
      </c>
      <c r="AB2050" s="3">
        <f t="shared" si="1274"/>
        <v>31563.75</v>
      </c>
      <c r="AC2050" s="3" cm="1">
        <f t="array" ref="AC2050">100000000/LvacE(AA2050)</f>
        <v>31563.747829386099</v>
      </c>
      <c r="AD2050" s="10">
        <f t="shared" si="1275"/>
        <v>9.9827924366191912E-3</v>
      </c>
      <c r="AE2050" s="10" t="b">
        <f t="shared" si="1276"/>
        <v>1</v>
      </c>
      <c r="AP2050"/>
      <c r="AQ2050"/>
      <c r="AU2050" s="16" cm="1">
        <f t="array" ref="AU2050">$C2050*EXP(poly_from_str(100000000/$E2050,AU$4342))</f>
        <v>0</v>
      </c>
    </row>
    <row r="2051" spans="1:48" x14ac:dyDescent="0.25">
      <c r="A2051">
        <v>3167.2420000000002</v>
      </c>
      <c r="B2051" s="2" t="str">
        <f t="shared" si="1337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1338">$G2051&amp;""</f>
        <v>e</v>
      </c>
      <c r="N2051" t="str">
        <f t="shared" ref="N2051:N2054" si="1339">$H2051&amp;""</f>
        <v>9/2</v>
      </c>
      <c r="O2051">
        <v>62558.67</v>
      </c>
      <c r="P2051" t="str">
        <f t="shared" ref="P2051:P2054" si="1340">$J2051&amp;""</f>
        <v>o</v>
      </c>
      <c r="Q2051" t="str">
        <f t="shared" ref="Q2051:Q2054" si="1341">$K2051&amp;""</f>
        <v>11/2</v>
      </c>
      <c r="R2051">
        <v>20</v>
      </c>
      <c r="AA2051" s="10">
        <f t="shared" ref="AA2051:AA2114" si="1342">ROUND($A2051,3)+0</f>
        <v>3167.2420000000002</v>
      </c>
      <c r="AB2051" s="3">
        <f t="shared" ref="AB2051:AB2114" si="1343">ROUND($E2051,2)+0</f>
        <v>31564.080000000002</v>
      </c>
      <c r="AC2051" s="3" cm="1">
        <f t="array" ref="AC2051">100000000/LvacE(AA2051)</f>
        <v>31564.076684923311</v>
      </c>
      <c r="AD2051" s="10">
        <f t="shared" ref="AD2051:AD2114" si="1344">0.0005/$AA2051*AC2051+0.005</f>
        <v>9.9828962682553639E-3</v>
      </c>
      <c r="AE2051" s="10" t="b">
        <f t="shared" ref="AE2051:AE2114" si="1345">ABS(AB2051-AC2051)&lt;AD2051</f>
        <v>1</v>
      </c>
      <c r="AJ2051" t="s">
        <v>4788</v>
      </c>
      <c r="AK2051" t="s">
        <v>4821</v>
      </c>
      <c r="AL2051">
        <v>30994.55</v>
      </c>
      <c r="AM2051">
        <v>62558.67</v>
      </c>
      <c r="AN2051" s="10" cm="1">
        <f t="array" ref="AN2051">Lair(100000000/($AM2051-$AL2051))</f>
        <v>3167.2376480512216</v>
      </c>
      <c r="AO2051" s="10">
        <f t="shared" ref="AO2051:AO2052" si="1346">100000000/($AM2051-$AL2051)</f>
        <v>3168.1542206784161</v>
      </c>
      <c r="AP2051" s="12">
        <v>47400000</v>
      </c>
      <c r="AQ2051" s="3">
        <v>3.3000000000000002E-2</v>
      </c>
      <c r="AR2051" s="3"/>
      <c r="AS2051" s="13">
        <f t="shared" ref="AS2051:AS2052" si="1347">EXP(AR$4341*$AM2051+AR$4342)*$AP2051/(100000000/($AM2051-$AL2051))</f>
        <v>12.092898025022954</v>
      </c>
      <c r="AT2051" s="3"/>
      <c r="AU2051" s="16" cm="1">
        <f t="array" ref="AU2051">$C2051*EXP(poly_from_str(100000000/$E2051,AU$4342))</f>
        <v>10.346190210618605</v>
      </c>
    </row>
    <row r="2052" spans="1:48" x14ac:dyDescent="0.25">
      <c r="A2052">
        <v>3163.8739999999998</v>
      </c>
      <c r="B2052" s="2" t="str">
        <f t="shared" si="1337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1338"/>
        <v>e</v>
      </c>
      <c r="N2052" t="str">
        <f t="shared" si="1339"/>
        <v>7/2</v>
      </c>
      <c r="O2052">
        <v>67398.789999999994</v>
      </c>
      <c r="P2052" t="str">
        <f t="shared" si="1340"/>
        <v>o</v>
      </c>
      <c r="Q2052" t="str">
        <f t="shared" si="1341"/>
        <v>9/2</v>
      </c>
      <c r="R2052">
        <v>20</v>
      </c>
      <c r="AA2052" s="10">
        <f t="shared" si="1342"/>
        <v>3163.8739999999998</v>
      </c>
      <c r="AB2052" s="3">
        <f t="shared" si="1343"/>
        <v>31597.68</v>
      </c>
      <c r="AC2052" s="3" cm="1">
        <f t="array" ref="AC2052">100000000/LvacE(AA2052)</f>
        <v>31597.675956743762</v>
      </c>
      <c r="AD2052" s="10">
        <f t="shared" si="1344"/>
        <v>9.993510480623401E-3</v>
      </c>
      <c r="AE2052" s="10" t="b">
        <f t="shared" si="1345"/>
        <v>1</v>
      </c>
      <c r="AJ2052" t="s">
        <v>4810</v>
      </c>
      <c r="AK2052" t="s">
        <v>4863</v>
      </c>
      <c r="AL2052">
        <v>35801.120000000003</v>
      </c>
      <c r="AM2052">
        <v>67398.789999999994</v>
      </c>
      <c r="AN2052" s="10" cm="1">
        <f t="array" ref="AN2052">Lair(100000000/($AM2052-$AL2052))</f>
        <v>3163.8745910612029</v>
      </c>
      <c r="AO2052" s="10">
        <f t="shared" si="1346"/>
        <v>3164.7903152352696</v>
      </c>
      <c r="AP2052" s="12">
        <v>47700000</v>
      </c>
      <c r="AQ2052" s="3">
        <v>0.311</v>
      </c>
      <c r="AR2052" s="3">
        <f>LN(AU2052*100000000/($AM2052-$AL2052)/AP2052)</f>
        <v>-7.9718365906303292</v>
      </c>
      <c r="AS2052" s="13">
        <f t="shared" si="1347"/>
        <v>8.4718977342301169</v>
      </c>
      <c r="AT2052" s="3">
        <f t="shared" ref="AT2052" si="1348">LN(AS2052/$C2052)</f>
        <v>1.0381422485277008</v>
      </c>
      <c r="AU2052" s="16" cm="1">
        <f t="array" ref="AU2052">$C2052*EXP(poly_from_str(100000000/$E2052,AU$4342))</f>
        <v>5.2005442519922376</v>
      </c>
      <c r="AV2052" s="13">
        <f>LN(AS2052/AU2052)</f>
        <v>0.48799125324064568</v>
      </c>
    </row>
    <row r="2053" spans="1:48" x14ac:dyDescent="0.25">
      <c r="A2053">
        <v>3163.1869999999999</v>
      </c>
      <c r="B2053" s="2" t="str">
        <f t="shared" si="1337"/>
        <v/>
      </c>
      <c r="C2053" s="4">
        <v>0</v>
      </c>
      <c r="D2053" s="4"/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2916</v>
      </c>
      <c r="T2053">
        <v>1</v>
      </c>
      <c r="U2053" s="4" t="s">
        <v>4662</v>
      </c>
      <c r="AA2053" s="10">
        <f t="shared" si="1342"/>
        <v>3163.1869999999999</v>
      </c>
      <c r="AB2053" s="3">
        <f t="shared" si="1343"/>
        <v>31604.54</v>
      </c>
      <c r="AC2053" s="3" cm="1">
        <f t="array" ref="AC2053">100000000/LvacE(AA2053)</f>
        <v>31604.538275143193</v>
      </c>
      <c r="AD2053" s="10">
        <f t="shared" si="1344"/>
        <v>9.9956797171876326E-3</v>
      </c>
      <c r="AE2053" s="10" t="b">
        <f t="shared" si="1345"/>
        <v>1</v>
      </c>
      <c r="AP2053"/>
      <c r="AQ2053"/>
      <c r="AU2053" s="16" cm="1">
        <f t="array" ref="AU2053">$C2053*EXP(poly_from_str(100000000/$E2053,AU$4342))</f>
        <v>0</v>
      </c>
    </row>
    <row r="2054" spans="1:48" x14ac:dyDescent="0.25">
      <c r="A2054">
        <v>3161.33</v>
      </c>
      <c r="B2054" s="2" t="str">
        <f t="shared" si="1337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1338"/>
        <v>e</v>
      </c>
      <c r="N2054" t="str">
        <f t="shared" si="1339"/>
        <v>1/2</v>
      </c>
      <c r="O2054">
        <v>82492.399999999994</v>
      </c>
      <c r="P2054" t="str">
        <f t="shared" si="1340"/>
        <v>o</v>
      </c>
      <c r="Q2054" t="str">
        <f t="shared" si="1341"/>
        <v>3/2</v>
      </c>
      <c r="R2054">
        <v>20</v>
      </c>
      <c r="AA2054" s="10">
        <f t="shared" si="1342"/>
        <v>3161.33</v>
      </c>
      <c r="AB2054" s="3">
        <f t="shared" si="1343"/>
        <v>31623.1</v>
      </c>
      <c r="AC2054" s="3" cm="1">
        <f t="array" ref="AC2054">100000000/LvacE(AA2054)</f>
        <v>31623.102437411744</v>
      </c>
      <c r="AD2054" s="10">
        <f t="shared" si="1344"/>
        <v>1.0001550366050325E-2</v>
      </c>
      <c r="AE2054" s="10" t="b">
        <f t="shared" si="1345"/>
        <v>1</v>
      </c>
      <c r="AJ2054" t="s">
        <v>4784</v>
      </c>
      <c r="AK2054" t="s">
        <v>4948</v>
      </c>
      <c r="AL2054">
        <v>50869.3</v>
      </c>
      <c r="AM2054">
        <v>82492.399999999994</v>
      </c>
      <c r="AN2054" s="10" cm="1">
        <f t="array" ref="AN2054">Lair(100000000/($AM2054-$AL2054))</f>
        <v>3161.3302382716965</v>
      </c>
      <c r="AO2054" s="10">
        <f>100000000/($AM2054-$AL2054)</f>
        <v>3162.2453206674877</v>
      </c>
      <c r="AP2054" s="12">
        <v>92000000</v>
      </c>
      <c r="AQ2054" s="3">
        <v>0.35799999999999998</v>
      </c>
      <c r="AR2054" s="3">
        <f>LN(AU2054*100000000/($AM2054-$AL2054)/AP2054)</f>
        <v>-7.7782965409762532</v>
      </c>
      <c r="AS2054" s="13">
        <f>EXP(AR$4341*$AM2054+AR$4342)*$AP2054/(100000000/($AM2054-$AL2054))</f>
        <v>5.268204873945125</v>
      </c>
      <c r="AT2054" s="3">
        <f>LN(AS2054/$C2054)</f>
        <v>-0.28422047565996084</v>
      </c>
      <c r="AU2054" s="16" cm="1">
        <f t="array" ref="AU2054">$C2054*EXP(poly_from_str(100000000/$E2054,AU$4342))</f>
        <v>12.182067523113012</v>
      </c>
      <c r="AV2054" s="13">
        <f>LN(AS2054/AU2054)</f>
        <v>-0.8382753218629625</v>
      </c>
    </row>
    <row r="2055" spans="1:48" x14ac:dyDescent="0.25">
      <c r="A2055">
        <v>3161.3670000000002</v>
      </c>
      <c r="B2055" s="2" t="str">
        <f t="shared" si="1337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1342"/>
        <v>3161.3670000000002</v>
      </c>
      <c r="AB2055" s="3">
        <f t="shared" si="1343"/>
        <v>31622.73</v>
      </c>
      <c r="AC2055" s="3" cm="1">
        <f t="array" ref="AC2055">100000000/LvacE(AA2055)</f>
        <v>31622.732340797746</v>
      </c>
      <c r="AD2055" s="10">
        <f t="shared" si="1344"/>
        <v>1.000143329464718E-2</v>
      </c>
      <c r="AE2055" s="10" t="b">
        <f t="shared" si="1345"/>
        <v>1</v>
      </c>
      <c r="AP2055"/>
      <c r="AQ2055"/>
      <c r="AU2055" s="16" cm="1">
        <f t="array" ref="AU2055">$C2055*EXP(poly_from_str(100000000/$E2055,AU$4342))</f>
        <v>0</v>
      </c>
    </row>
    <row r="2056" spans="1:48" x14ac:dyDescent="0.25">
      <c r="A2056">
        <v>3160.116</v>
      </c>
      <c r="B2056" s="2" t="str">
        <f t="shared" si="1337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1349">$G2056&amp;""</f>
        <v>e</v>
      </c>
      <c r="N2056" t="str">
        <f t="shared" ref="N2056:N2057" si="1350">$H2056&amp;""</f>
        <v>9/2</v>
      </c>
      <c r="O2056">
        <v>60520.32</v>
      </c>
      <c r="P2056" t="str">
        <f t="shared" ref="P2056:P2057" si="1351">$J2056&amp;""</f>
        <v>o</v>
      </c>
      <c r="Q2056" t="str">
        <f t="shared" ref="Q2056:Q2057" si="1352">$K2056&amp;""</f>
        <v>7/2</v>
      </c>
      <c r="R2056">
        <v>20</v>
      </c>
      <c r="AA2056" s="10">
        <f t="shared" si="1342"/>
        <v>3160.116</v>
      </c>
      <c r="AB2056" s="3">
        <f t="shared" si="1343"/>
        <v>31635.25</v>
      </c>
      <c r="AC2056" s="3" cm="1">
        <f t="array" ref="AC2056">100000000/LvacE(AA2056)</f>
        <v>31635.250414222635</v>
      </c>
      <c r="AD2056" s="10">
        <f t="shared" si="1344"/>
        <v>1.000539385488106E-2</v>
      </c>
      <c r="AE2056" s="10" t="b">
        <f t="shared" si="1345"/>
        <v>1</v>
      </c>
      <c r="AJ2056" t="s">
        <v>4742</v>
      </c>
      <c r="AK2056" t="s">
        <v>4730</v>
      </c>
      <c r="AL2056">
        <v>28885.14</v>
      </c>
      <c r="AM2056">
        <v>60520.32</v>
      </c>
      <c r="AN2056" s="10" cm="1">
        <f t="array" ref="AN2056">Lair(100000000/($AM2056-$AL2056))</f>
        <v>3160.1230287123303</v>
      </c>
      <c r="AO2056" s="10">
        <f t="shared" ref="AO2056:AO2057" si="1353">100000000/($AM2056-$AL2056)</f>
        <v>3161.037806644375</v>
      </c>
      <c r="AP2056" s="12">
        <v>113000000</v>
      </c>
      <c r="AQ2056" s="3">
        <v>0.245</v>
      </c>
      <c r="AR2056" s="3">
        <f t="shared" ref="AR2056:AR2057" si="1354">LN(AU2056*100000000/($AM2056-$AL2056)/AP2056)</f>
        <v>-6.9326200492960162</v>
      </c>
      <c r="AS2056" s="13">
        <f t="shared" ref="AS2056:AS2057" si="1355">EXP(AR$4341*$AM2056+AR$4342)*$AP2056/(100000000/($AM2056-$AL2056))</f>
        <v>33.669899666399353</v>
      </c>
      <c r="AT2056" s="3">
        <f t="shared" ref="AT2056:AT2057" si="1356">LN(AS2056/$C2056)</f>
        <v>0.52087197970363308</v>
      </c>
      <c r="AU2056" s="16" cm="1">
        <f t="array" ref="AU2056">$C2056*EXP(poly_from_str(100000000/$E2056,AU$4342))</f>
        <v>34.869853344268051</v>
      </c>
      <c r="AV2056" s="13">
        <f t="shared" ref="AV2056:AV2057" si="1357">LN(AS2056/AU2056)</f>
        <v>-3.50184016358333E-2</v>
      </c>
    </row>
    <row r="2057" spans="1:48" x14ac:dyDescent="0.25">
      <c r="A2057">
        <v>3159.9749999999999</v>
      </c>
      <c r="B2057" s="2" t="str">
        <f t="shared" si="1337"/>
        <v/>
      </c>
      <c r="C2057">
        <v>10</v>
      </c>
      <c r="D2057" t="s">
        <v>1156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1349"/>
        <v>e</v>
      </c>
      <c r="N2057" t="str">
        <f t="shared" si="1350"/>
        <v>5/2</v>
      </c>
      <c r="O2057">
        <v>65295.9</v>
      </c>
      <c r="P2057" t="str">
        <f t="shared" si="1351"/>
        <v>o</v>
      </c>
      <c r="Q2057" t="str">
        <f t="shared" si="1352"/>
        <v>7/2</v>
      </c>
      <c r="R2057">
        <v>20</v>
      </c>
      <c r="AA2057" s="10">
        <f t="shared" si="1342"/>
        <v>3159.9749999999999</v>
      </c>
      <c r="AB2057" s="3">
        <f t="shared" si="1343"/>
        <v>31636.66</v>
      </c>
      <c r="AC2057" s="3" cm="1">
        <f t="array" ref="AC2057">100000000/LvacE(AA2057)</f>
        <v>31636.661945656826</v>
      </c>
      <c r="AD2057" s="10">
        <f t="shared" si="1344"/>
        <v>1.0005840543937345E-2</v>
      </c>
      <c r="AE2057" s="10" t="b">
        <f t="shared" si="1345"/>
        <v>1</v>
      </c>
      <c r="AJ2057" t="s">
        <v>4895</v>
      </c>
      <c r="AK2057" t="s">
        <v>4825</v>
      </c>
      <c r="AL2057">
        <v>33659.99</v>
      </c>
      <c r="AM2057">
        <v>65295.9</v>
      </c>
      <c r="AN2057" s="10" cm="1">
        <f t="array" ref="AN2057">Lair(100000000/($AM2057-$AL2057))</f>
        <v>3160.0501060180204</v>
      </c>
      <c r="AO2057" s="10">
        <f t="shared" si="1353"/>
        <v>3160.9648655594224</v>
      </c>
      <c r="AP2057" s="12">
        <v>127000000</v>
      </c>
      <c r="AQ2057" s="3">
        <v>0.11899999999999999</v>
      </c>
      <c r="AR2057" s="3">
        <f t="shared" si="1354"/>
        <v>-7.7423778330118402</v>
      </c>
      <c r="AS2057" s="13">
        <f t="shared" si="1355"/>
        <v>26.444145476155306</v>
      </c>
      <c r="AT2057" s="3">
        <f t="shared" si="1356"/>
        <v>0.97244969775376289</v>
      </c>
      <c r="AU2057" s="16" cm="1">
        <f t="array" ref="AU2057">$C2057*EXP(poly_from_str(100000000/$E2057,AU$4342))</f>
        <v>17.438618732630712</v>
      </c>
      <c r="AV2057" s="13">
        <f t="shared" si="1357"/>
        <v>0.41634757651417292</v>
      </c>
    </row>
    <row r="2058" spans="1:48" x14ac:dyDescent="0.25">
      <c r="A2058">
        <v>3157.1709999999998</v>
      </c>
      <c r="B2058" s="2" t="str">
        <f t="shared" si="1337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1342"/>
        <v>3157.1709999999998</v>
      </c>
      <c r="AB2058" s="3">
        <f t="shared" si="1343"/>
        <v>31664.76</v>
      </c>
      <c r="AC2058" s="3" cm="1">
        <f t="array" ref="AC2058">100000000/LvacE(AA2058)</f>
        <v>31664.758582918246</v>
      </c>
      <c r="AD2058" s="10">
        <f t="shared" si="1344"/>
        <v>1.0014736069556931E-2</v>
      </c>
      <c r="AE2058" s="10" t="b">
        <f t="shared" si="1345"/>
        <v>1</v>
      </c>
      <c r="AP2058"/>
      <c r="AQ2058"/>
      <c r="AU2058" s="16" cm="1">
        <f t="array" ref="AU2058">$C2058*EXP(poly_from_str(100000000/$E2058,AU$4342))</f>
        <v>10.506836810113047</v>
      </c>
    </row>
    <row r="2059" spans="1:48" x14ac:dyDescent="0.25">
      <c r="A2059">
        <v>3154.5259999999998</v>
      </c>
      <c r="B2059" s="2" t="str">
        <f t="shared" si="1337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1358">$G2059&amp;""</f>
        <v>e</v>
      </c>
      <c r="N2059" t="str">
        <f t="shared" ref="N2059:N2060" si="1359">$H2059&amp;""</f>
        <v>7/2</v>
      </c>
      <c r="O2059">
        <v>68331.73</v>
      </c>
      <c r="P2059" t="str">
        <f t="shared" ref="P2059:P2060" si="1360">$J2059&amp;""</f>
        <v>o</v>
      </c>
      <c r="Q2059" t="str">
        <f t="shared" ref="Q2059:Q2060" si="1361">$K2059&amp;""</f>
        <v>7/2</v>
      </c>
      <c r="R2059">
        <v>20</v>
      </c>
      <c r="AA2059" s="10">
        <f t="shared" si="1342"/>
        <v>3154.5259999999998</v>
      </c>
      <c r="AB2059" s="3">
        <f t="shared" si="1343"/>
        <v>31691.31</v>
      </c>
      <c r="AC2059" s="3" cm="1">
        <f t="array" ref="AC2059">100000000/LvacE(AA2059)</f>
        <v>31691.307786574285</v>
      </c>
      <c r="AD2059" s="10">
        <f t="shared" si="1344"/>
        <v>1.0023148927378357E-2</v>
      </c>
      <c r="AE2059" s="10" t="b">
        <f t="shared" si="1345"/>
        <v>1</v>
      </c>
      <c r="AJ2059" t="s">
        <v>4805</v>
      </c>
      <c r="AK2059" t="s">
        <v>4923</v>
      </c>
      <c r="AL2059">
        <v>36640.379999999997</v>
      </c>
      <c r="AM2059">
        <v>68331.75</v>
      </c>
      <c r="AN2059" s="10" cm="1">
        <f t="array" ref="AN2059">Lair(100000000/($AM2059-$AL2059))</f>
        <v>3154.519801723578</v>
      </c>
      <c r="AO2059" s="10">
        <f t="shared" ref="AO2059:AO2060" si="1362">100000000/($AM2059-$AL2059)</f>
        <v>3155.4331668211248</v>
      </c>
      <c r="AU2059" s="16" cm="1">
        <f t="array" ref="AU2059">$C2059*EXP(poly_from_str(100000000/$E2059,AU$4342))</f>
        <v>14.062989932003545</v>
      </c>
    </row>
    <row r="2060" spans="1:48" x14ac:dyDescent="0.25">
      <c r="A2060">
        <v>3153.7579999999998</v>
      </c>
      <c r="B2060" s="2" t="str">
        <f t="shared" si="1337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1358"/>
        <v>e</v>
      </c>
      <c r="N2060" t="str">
        <f t="shared" si="1359"/>
        <v>9/2</v>
      </c>
      <c r="O2060">
        <v>60419.73</v>
      </c>
      <c r="P2060" t="str">
        <f t="shared" si="1360"/>
        <v>o</v>
      </c>
      <c r="Q2060" t="str">
        <f t="shared" si="1361"/>
        <v>11/2</v>
      </c>
      <c r="R2060">
        <v>20</v>
      </c>
      <c r="AA2060" s="10">
        <f t="shared" si="1342"/>
        <v>3153.7579999999998</v>
      </c>
      <c r="AB2060" s="3">
        <f t="shared" si="1343"/>
        <v>31699.02</v>
      </c>
      <c r="AC2060" s="3" cm="1">
        <f t="array" ref="AC2060">100000000/LvacE(AA2060)</f>
        <v>31699.024933203684</v>
      </c>
      <c r="AD2060" s="10">
        <f t="shared" si="1344"/>
        <v>1.0025595643864191E-2</v>
      </c>
      <c r="AE2060" s="10" t="b">
        <f t="shared" si="1345"/>
        <v>1</v>
      </c>
      <c r="AJ2060" t="s">
        <v>4708</v>
      </c>
      <c r="AK2060" t="s">
        <v>4849</v>
      </c>
      <c r="AL2060">
        <v>28720.71</v>
      </c>
      <c r="AM2060">
        <v>60419.73</v>
      </c>
      <c r="AN2060" s="10" cm="1">
        <f t="array" ref="AN2060">Lair(100000000/($AM2060-$AL2060))</f>
        <v>3153.7584854434567</v>
      </c>
      <c r="AO2060" s="10">
        <f t="shared" si="1362"/>
        <v>3154.6716586190987</v>
      </c>
      <c r="AP2060" s="12">
        <v>109000000</v>
      </c>
      <c r="AQ2060" s="3">
        <v>9.7000000000000003E-2</v>
      </c>
      <c r="AR2060" s="3">
        <f>LN(AU2060*100000000/($AM2060-$AL2060)/AP2060)</f>
        <v>-7.6877921498444168</v>
      </c>
      <c r="AS2060" s="13">
        <f>EXP(AR$4341*$AM2060+AR$4342)*$AP2060/(100000000/($AM2060-$AL2060))</f>
        <v>32.79018534896165</v>
      </c>
      <c r="AT2060" s="3">
        <f>LN(AS2060/$C2060)</f>
        <v>1.2929046661106942</v>
      </c>
      <c r="AU2060" s="16" cm="1">
        <f t="array" ref="AU2060">$C2060*EXP(poly_from_str(100000000/$E2060,AU$4342))</f>
        <v>15.838229259392474</v>
      </c>
      <c r="AV2060" s="13">
        <f>LN(AS2060/AU2060)</f>
        <v>0.7277026524892779</v>
      </c>
    </row>
    <row r="2061" spans="1:48" x14ac:dyDescent="0.25">
      <c r="A2061">
        <v>3150.241</v>
      </c>
      <c r="B2061" s="2" t="str">
        <f t="shared" si="1337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1342"/>
        <v>3150.241</v>
      </c>
      <c r="AB2061" s="3">
        <f t="shared" si="1343"/>
        <v>31734.41</v>
      </c>
      <c r="AC2061" s="3" cm="1">
        <f t="array" ref="AC2061">100000000/LvacE(AA2061)</f>
        <v>31734.413110470228</v>
      </c>
      <c r="AD2061" s="10">
        <f t="shared" si="1344"/>
        <v>1.0036823073293476E-2</v>
      </c>
      <c r="AE2061" s="10" t="b">
        <f t="shared" si="1345"/>
        <v>1</v>
      </c>
      <c r="AP2061"/>
      <c r="AQ2061"/>
      <c r="AU2061" s="16" cm="1">
        <f t="array" ref="AU2061">$C2061*EXP(poly_from_str(100000000/$E2061,AU$4342))</f>
        <v>0</v>
      </c>
    </row>
    <row r="2062" spans="1:48" x14ac:dyDescent="0.25">
      <c r="A2062">
        <v>3150.203</v>
      </c>
      <c r="B2062" s="2" t="str">
        <f t="shared" si="1337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1342"/>
        <v>3150.203</v>
      </c>
      <c r="AB2062" s="3">
        <f t="shared" si="1343"/>
        <v>31734.799999999999</v>
      </c>
      <c r="AC2062" s="3" cm="1">
        <f t="array" ref="AC2062">100000000/LvacE(AA2062)</f>
        <v>31734.795899263936</v>
      </c>
      <c r="AD2062" s="10">
        <f t="shared" si="1344"/>
        <v>1.0036944587263731E-2</v>
      </c>
      <c r="AE2062" s="10" t="b">
        <f t="shared" si="1345"/>
        <v>1</v>
      </c>
      <c r="AP2062"/>
      <c r="AQ2062"/>
      <c r="AU2062" s="16" cm="1">
        <f t="array" ref="AU2062">$C2062*EXP(poly_from_str(100000000/$E2062,AU$4342))</f>
        <v>15.917419447540968</v>
      </c>
    </row>
    <row r="2063" spans="1:48" x14ac:dyDescent="0.25">
      <c r="A2063">
        <v>3147.8780000000002</v>
      </c>
      <c r="B2063" s="2" t="str">
        <f t="shared" si="1337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1342"/>
        <v>3147.8780000000002</v>
      </c>
      <c r="AB2063" s="3">
        <f t="shared" si="1343"/>
        <v>31758.23</v>
      </c>
      <c r="AC2063" s="3" cm="1">
        <f t="array" ref="AC2063">100000000/LvacE(AA2063)</f>
        <v>31758.234109300087</v>
      </c>
      <c r="AD2063" s="10">
        <f t="shared" si="1344"/>
        <v>1.0044387696934266E-2</v>
      </c>
      <c r="AE2063" s="10" t="b">
        <f t="shared" si="1345"/>
        <v>1</v>
      </c>
      <c r="AJ2063" t="s">
        <v>4807</v>
      </c>
      <c r="AK2063" t="s">
        <v>4862</v>
      </c>
      <c r="AL2063">
        <v>35291</v>
      </c>
      <c r="AM2063">
        <v>67049.179999999993</v>
      </c>
      <c r="AN2063" s="10" cm="1">
        <f t="array" ref="AN2063">Lair(100000000/($AM2063-$AL2063))</f>
        <v>3147.8833581613053</v>
      </c>
      <c r="AO2063" s="10">
        <f>100000000/($AM2063-$AL2063)</f>
        <v>3148.7950505979884</v>
      </c>
      <c r="AP2063" s="12">
        <v>168000000</v>
      </c>
      <c r="AQ2063" s="3">
        <v>0.437</v>
      </c>
      <c r="AR2063" s="3">
        <f>LN(AU2063*100000000/($AM2063-$AL2063)/AP2063)</f>
        <v>-8.1141116728824141</v>
      </c>
      <c r="AS2063" s="13">
        <f>EXP(AR$4341*$AM2063+AR$4342)*$AP2063/(100000000/($AM2063-$AL2063))</f>
        <v>30.786958121216138</v>
      </c>
      <c r="AT2063" s="3">
        <f>LN(AS2063/$C2063)</f>
        <v>1.2298665853454311</v>
      </c>
      <c r="AU2063" s="16" cm="1">
        <f t="array" ref="AU2063">$C2063*EXP(poly_from_str(100000000/$E2063,AU$4342))</f>
        <v>15.968016126040901</v>
      </c>
      <c r="AV2063" s="13">
        <f>LN(AS2063/AU2063)</f>
        <v>0.65650343321570126</v>
      </c>
    </row>
    <row r="2064" spans="1:48" x14ac:dyDescent="0.25">
      <c r="A2064">
        <v>3147.83</v>
      </c>
      <c r="B2064" s="2" t="str">
        <f t="shared" si="1337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1342"/>
        <v>3147.83</v>
      </c>
      <c r="AB2064" s="3">
        <f t="shared" si="1343"/>
        <v>31758.720000000001</v>
      </c>
      <c r="AC2064" s="3" cm="1">
        <f t="array" ref="AC2064">100000000/LvacE(AA2064)</f>
        <v>31758.718359681465</v>
      </c>
      <c r="AD2064" s="10">
        <f t="shared" si="1344"/>
        <v>1.0044541534911584E-2</v>
      </c>
      <c r="AE2064" s="10" t="b">
        <f t="shared" si="1345"/>
        <v>1</v>
      </c>
      <c r="AP2064"/>
      <c r="AQ2064"/>
      <c r="AU2064" s="16" cm="1">
        <f t="array" ref="AU2064">$C2064*EXP(poly_from_str(100000000/$E2064,AU$4342))</f>
        <v>0</v>
      </c>
    </row>
    <row r="2065" spans="1:48" x14ac:dyDescent="0.25">
      <c r="A2065">
        <v>3147.788</v>
      </c>
      <c r="B2065" s="2" t="str">
        <f t="shared" si="1337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1342"/>
        <v>3147.788</v>
      </c>
      <c r="AB2065" s="3">
        <f t="shared" si="1343"/>
        <v>31759.14</v>
      </c>
      <c r="AC2065" s="3" cm="1">
        <f t="array" ref="AC2065">100000000/LvacE(AA2065)</f>
        <v>31759.142090879148</v>
      </c>
      <c r="AD2065" s="10">
        <f t="shared" si="1344"/>
        <v>1.0044676148914595E-2</v>
      </c>
      <c r="AE2065" s="10" t="b">
        <f t="shared" si="1345"/>
        <v>1</v>
      </c>
      <c r="AP2065"/>
      <c r="AQ2065"/>
      <c r="AU2065" s="16" cm="1">
        <f t="array" ref="AU2065">$C2065*EXP(poly_from_str(100000000/$E2065,AU$4342))</f>
        <v>0</v>
      </c>
    </row>
    <row r="2066" spans="1:48" x14ac:dyDescent="0.25">
      <c r="A2066">
        <v>3147.0430000000001</v>
      </c>
      <c r="B2066" s="2" t="str">
        <f t="shared" si="1337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1363">$G2066&amp;""</f>
        <v>e</v>
      </c>
      <c r="N2066" t="str">
        <f t="shared" ref="N2066:N2068" si="1364">$H2066&amp;""</f>
        <v>7/2</v>
      </c>
      <c r="O2066">
        <v>69686.259999999995</v>
      </c>
      <c r="P2066" t="str">
        <f t="shared" ref="P2066:P2068" si="1365">$J2066&amp;""</f>
        <v>o</v>
      </c>
      <c r="Q2066" t="str">
        <f t="shared" ref="Q2066:Q2068" si="1366">$K2066&amp;""</f>
        <v>9/2</v>
      </c>
      <c r="R2066">
        <v>20</v>
      </c>
      <c r="AA2066" s="10">
        <f t="shared" si="1342"/>
        <v>3147.0430000000001</v>
      </c>
      <c r="AB2066" s="3">
        <f t="shared" si="1343"/>
        <v>31766.66</v>
      </c>
      <c r="AC2066" s="3" cm="1">
        <f t="array" ref="AC2066">100000000/LvacE(AA2066)</f>
        <v>31766.660154714631</v>
      </c>
      <c r="AD2066" s="10">
        <f t="shared" si="1344"/>
        <v>1.0047064840663859E-2</v>
      </c>
      <c r="AE2066" s="10" t="b">
        <f t="shared" si="1345"/>
        <v>1</v>
      </c>
      <c r="AJ2066" t="s">
        <v>4764</v>
      </c>
      <c r="AK2066" t="s">
        <v>4838</v>
      </c>
      <c r="AL2066">
        <v>37919.58</v>
      </c>
      <c r="AM2066">
        <v>69686.259999999995</v>
      </c>
      <c r="AN2066" s="10" cm="1">
        <f t="array" ref="AN2066">Lair(100000000/($AM2066-$AL2066))</f>
        <v>3147.0410285405555</v>
      </c>
      <c r="AO2066" s="10">
        <f t="shared" ref="AO2066:AO2068" si="1367">100000000/($AM2066-$AL2066)</f>
        <v>3147.9525087292732</v>
      </c>
      <c r="AP2066" s="12">
        <v>24900000</v>
      </c>
      <c r="AQ2066" s="3">
        <v>0.13800000000000001</v>
      </c>
      <c r="AR2066" s="3">
        <f t="shared" ref="AR2066:AR2068" si="1368">LN(AU2066*100000000/($AM2066-$AL2066)/AP2066)</f>
        <v>-5.4056514171444245</v>
      </c>
      <c r="AS2066" s="13">
        <f t="shared" ref="AS2066:AS2068" si="1369">EXP(AR$4341*$AM2066+AR$4342)*$AP2066/(100000000/($AM2066-$AL2066))</f>
        <v>3.7447628441254524</v>
      </c>
      <c r="AT2066" s="3">
        <f t="shared" ref="AT2066:AT2068" si="1370">LN(AS2066/$C2066)</f>
        <v>-1.6753739845911984</v>
      </c>
      <c r="AU2066" s="16" cm="1">
        <f t="array" ref="AU2066">$C2066*EXP(poly_from_str(100000000/$E2066,AU$4342))</f>
        <v>35.524387094460664</v>
      </c>
      <c r="AV2066" s="13">
        <f t="shared" ref="AV2066:AV2068" si="1371">LN(AS2066/AU2066)</f>
        <v>-2.2498611320766262</v>
      </c>
    </row>
    <row r="2067" spans="1:48" x14ac:dyDescent="0.25">
      <c r="A2067">
        <v>3143.78</v>
      </c>
      <c r="B2067" s="2" t="str">
        <f t="shared" si="1337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1363"/>
        <v>e</v>
      </c>
      <c r="N2067" t="str">
        <f t="shared" si="1364"/>
        <v>9/2</v>
      </c>
      <c r="O2067">
        <v>60520.32</v>
      </c>
      <c r="P2067" t="str">
        <f t="shared" si="1365"/>
        <v>o</v>
      </c>
      <c r="Q2067" t="str">
        <f t="shared" si="1366"/>
        <v>7/2</v>
      </c>
      <c r="R2067">
        <v>20</v>
      </c>
      <c r="AA2067" s="10">
        <f t="shared" si="1342"/>
        <v>3143.78</v>
      </c>
      <c r="AB2067" s="3">
        <f t="shared" si="1343"/>
        <v>31799.63</v>
      </c>
      <c r="AC2067" s="3" cm="1">
        <f t="array" ref="AC2067">100000000/LvacE(AA2067)</f>
        <v>31799.630242444506</v>
      </c>
      <c r="AD2067" s="10">
        <f t="shared" si="1344"/>
        <v>1.0057547004313995E-2</v>
      </c>
      <c r="AE2067" s="10" t="b">
        <f t="shared" si="1345"/>
        <v>1</v>
      </c>
      <c r="AJ2067" t="s">
        <v>4708</v>
      </c>
      <c r="AK2067" t="s">
        <v>4730</v>
      </c>
      <c r="AL2067">
        <v>28720.71</v>
      </c>
      <c r="AM2067">
        <v>60520.32</v>
      </c>
      <c r="AN2067" s="10" cm="1">
        <f t="array" ref="AN2067">Lair(100000000/($AM2067-$AL2067))</f>
        <v>3143.781995933608</v>
      </c>
      <c r="AO2067" s="10">
        <f t="shared" si="1367"/>
        <v>3144.6926550357061</v>
      </c>
      <c r="AP2067" s="12">
        <v>79700000</v>
      </c>
      <c r="AQ2067" s="3">
        <v>0.21</v>
      </c>
      <c r="AR2067" s="3">
        <f t="shared" si="1368"/>
        <v>-6.565784112019216</v>
      </c>
      <c r="AS2067" s="13">
        <f t="shared" si="1369"/>
        <v>23.87114132520875</v>
      </c>
      <c r="AT2067" s="3">
        <f t="shared" si="1370"/>
        <v>0.17693797986435725</v>
      </c>
      <c r="AU2067" s="16" cm="1">
        <f t="array" ref="AU2067">$C2067*EXP(poly_from_str(100000000/$E2067,AU$4342))</f>
        <v>35.677655352252643</v>
      </c>
      <c r="AV2067" s="13">
        <f t="shared" si="1371"/>
        <v>-0.40185433891263339</v>
      </c>
    </row>
    <row r="2068" spans="1:48" x14ac:dyDescent="0.25">
      <c r="A2068">
        <v>3143.5369999999998</v>
      </c>
      <c r="B2068" s="2" t="str">
        <f t="shared" si="1337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1363"/>
        <v>e</v>
      </c>
      <c r="N2068" t="str">
        <f t="shared" si="1364"/>
        <v>11/2</v>
      </c>
      <c r="O2068">
        <v>62535.62</v>
      </c>
      <c r="P2068" t="str">
        <f t="shared" si="1365"/>
        <v>o</v>
      </c>
      <c r="Q2068" t="str">
        <f t="shared" si="1366"/>
        <v>9/2</v>
      </c>
      <c r="R2068">
        <v>20</v>
      </c>
      <c r="AA2068" s="10">
        <f t="shared" si="1342"/>
        <v>3143.5369999999998</v>
      </c>
      <c r="AB2068" s="3">
        <f t="shared" si="1343"/>
        <v>31802.09</v>
      </c>
      <c r="AC2068" s="3" cm="1">
        <f t="array" ref="AC2068">100000000/LvacE(AA2068)</f>
        <v>31802.088307493472</v>
      </c>
      <c r="AD2068" s="10">
        <f t="shared" si="1344"/>
        <v>1.0058328931311047E-2</v>
      </c>
      <c r="AE2068" s="10" t="b">
        <f t="shared" si="1345"/>
        <v>1</v>
      </c>
      <c r="AJ2068" t="s">
        <v>4828</v>
      </c>
      <c r="AK2068" t="s">
        <v>4839</v>
      </c>
      <c r="AL2068">
        <v>30733.53</v>
      </c>
      <c r="AM2068">
        <v>62535.62</v>
      </c>
      <c r="AN2068" s="10" cm="1">
        <f t="array" ref="AN2068">Lair(100000000/($AM2068-$AL2068))</f>
        <v>3143.5368273405097</v>
      </c>
      <c r="AO2068" s="10">
        <f t="shared" si="1367"/>
        <v>3144.4474246818368</v>
      </c>
      <c r="AP2068" s="12">
        <v>86200000</v>
      </c>
      <c r="AQ2068" s="3">
        <v>0.39600000000000002</v>
      </c>
      <c r="AR2068" s="3">
        <f t="shared" si="1368"/>
        <v>-7.6937693887697094</v>
      </c>
      <c r="AS2068" s="13">
        <f t="shared" si="1369"/>
        <v>22.195889086227741</v>
      </c>
      <c r="AT2068" s="3">
        <f t="shared" si="1370"/>
        <v>1.1539969463796256</v>
      </c>
      <c r="AU2068" s="16" cm="1">
        <f t="array" ref="AU2068">$C2068*EXP(poly_from_str(100000000/$E2068,AU$4342))</f>
        <v>12.491118762583117</v>
      </c>
      <c r="AV2068" s="13">
        <f t="shared" si="1371"/>
        <v>0.57488920264406307</v>
      </c>
    </row>
    <row r="2069" spans="1:48" x14ac:dyDescent="0.25">
      <c r="A2069">
        <v>3143.4960000000001</v>
      </c>
      <c r="B2069" s="2" t="str">
        <f t="shared" si="1337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1342"/>
        <v>3143.4960000000001</v>
      </c>
      <c r="AB2069" s="3">
        <f t="shared" si="1343"/>
        <v>31802.5</v>
      </c>
      <c r="AC2069" s="3" cm="1">
        <f t="array" ref="AC2069">100000000/LvacE(AA2069)</f>
        <v>31802.503080215574</v>
      </c>
      <c r="AD2069" s="10">
        <f t="shared" si="1344"/>
        <v>1.0058460879259202E-2</v>
      </c>
      <c r="AE2069" s="10" t="b">
        <f t="shared" si="1345"/>
        <v>1</v>
      </c>
      <c r="AP2069"/>
      <c r="AQ2069"/>
      <c r="AU2069" s="16" cm="1">
        <f t="array" ref="AU2069">$C2069*EXP(poly_from_str(100000000/$E2069,AU$4342))</f>
        <v>0</v>
      </c>
    </row>
    <row r="2070" spans="1:48" x14ac:dyDescent="0.25">
      <c r="A2070">
        <v>3143.46</v>
      </c>
      <c r="B2070" s="2" t="str">
        <f t="shared" si="1337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1342"/>
        <v>3143.46</v>
      </c>
      <c r="AB2070" s="3">
        <f t="shared" si="1343"/>
        <v>31802.87</v>
      </c>
      <c r="AC2070" s="3" cm="1">
        <f t="array" ref="AC2070">100000000/LvacE(AA2070)</f>
        <v>31802.86727981878</v>
      </c>
      <c r="AD2070" s="10">
        <f t="shared" si="1344"/>
        <v>1.0058576740250994E-2</v>
      </c>
      <c r="AE2070" s="10" t="b">
        <f t="shared" si="1345"/>
        <v>1</v>
      </c>
      <c r="AP2070"/>
      <c r="AQ2070"/>
      <c r="AU2070" s="16" cm="1">
        <f t="array" ref="AU2070">$C2070*EXP(poly_from_str(100000000/$E2070,AU$4342))</f>
        <v>0</v>
      </c>
    </row>
    <row r="2071" spans="1:48" x14ac:dyDescent="0.25">
      <c r="A2071">
        <v>3143.431</v>
      </c>
      <c r="B2071" s="2" t="str">
        <f t="shared" si="1337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1342"/>
        <v>3143.431</v>
      </c>
      <c r="AB2071" s="3">
        <f t="shared" si="1343"/>
        <v>31803.16</v>
      </c>
      <c r="AC2071" s="3" cm="1">
        <f t="array" ref="AC2071">100000000/LvacE(AA2071)</f>
        <v>31803.160668898665</v>
      </c>
      <c r="AD2071" s="10">
        <f t="shared" si="1344"/>
        <v>1.0058670075611436E-2</v>
      </c>
      <c r="AE2071" s="10" t="b">
        <f t="shared" si="1345"/>
        <v>1</v>
      </c>
      <c r="AP2071"/>
      <c r="AQ2071"/>
      <c r="AU2071" s="16" cm="1">
        <f t="array" ref="AU2071">$C2071*EXP(poly_from_str(100000000/$E2071,AU$4342))</f>
        <v>0</v>
      </c>
    </row>
    <row r="2072" spans="1:48" x14ac:dyDescent="0.25">
      <c r="A2072">
        <v>3140.9380000000001</v>
      </c>
      <c r="B2072" s="2" t="str">
        <f t="shared" si="1337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1372">$G2072&amp;""</f>
        <v>e</v>
      </c>
      <c r="N2072" t="str">
        <f t="shared" ref="N2072:N2077" si="1373">$H2072&amp;""</f>
        <v>7/2</v>
      </c>
      <c r="O2072">
        <v>66852.87</v>
      </c>
      <c r="P2072" t="str">
        <f t="shared" ref="P2072:P2077" si="1374">$J2072&amp;""</f>
        <v>o</v>
      </c>
      <c r="Q2072" t="str">
        <f t="shared" ref="Q2072:Q2077" si="1375">$K2072&amp;""</f>
        <v>7/2</v>
      </c>
      <c r="R2072">
        <v>20</v>
      </c>
      <c r="AA2072" s="10">
        <f t="shared" si="1342"/>
        <v>3140.9380000000001</v>
      </c>
      <c r="AB2072" s="3">
        <f t="shared" si="1343"/>
        <v>31828.400000000001</v>
      </c>
      <c r="AC2072" s="3" cm="1">
        <f t="array" ref="AC2072">100000000/LvacE(AA2072)</f>
        <v>31828.40226293241</v>
      </c>
      <c r="AD2072" s="10">
        <f t="shared" si="1344"/>
        <v>1.0066703364239028E-2</v>
      </c>
      <c r="AE2072" s="10" t="b">
        <f t="shared" si="1345"/>
        <v>1</v>
      </c>
      <c r="AJ2072" t="s">
        <v>4770</v>
      </c>
      <c r="AK2072" t="s">
        <v>4830</v>
      </c>
      <c r="AL2072">
        <v>35024.49</v>
      </c>
      <c r="AM2072">
        <v>66852.87</v>
      </c>
      <c r="AN2072" s="10" cm="1">
        <f t="array" ref="AN2072">Lair(100000000/($AM2072-$AL2072))</f>
        <v>3140.9401917219943</v>
      </c>
      <c r="AO2072" s="10">
        <f t="shared" ref="AO2072:AO2077" si="1376">100000000/($AM2072-$AL2072)</f>
        <v>3141.8501350053007</v>
      </c>
      <c r="AP2072" s="12">
        <v>33500000</v>
      </c>
      <c r="AQ2072" s="3">
        <v>0.224</v>
      </c>
      <c r="AR2072" s="3">
        <f>LN(AU2072*100000000/($AM2072-$AL2072)/AP2072)</f>
        <v>-6.9002985012674607</v>
      </c>
      <c r="AS2072" s="13">
        <f t="shared" ref="AS2072:AS2077" si="1377">EXP(AR$4341*$AM2072+AR$4342)*$AP2072/(100000000/($AM2072-$AL2072))</f>
        <v>6.2439504450342271</v>
      </c>
      <c r="AT2072" s="3">
        <f t="shared" ref="AT2072:AT2076" si="1378">LN(AS2072/$C2072)</f>
        <v>3.9853596980156607E-2</v>
      </c>
      <c r="AU2072" s="16" cm="1">
        <f t="array" ref="AU2072">$C2072*EXP(poly_from_str(100000000/$E2072,AU$4342))</f>
        <v>10.742312421556296</v>
      </c>
      <c r="AV2072" s="13">
        <f>LN(AS2072/AU2072)</f>
        <v>-0.5425773089664665</v>
      </c>
    </row>
    <row r="2073" spans="1:48" x14ac:dyDescent="0.25">
      <c r="A2073">
        <v>3138.607</v>
      </c>
      <c r="B2073" s="2" t="str">
        <f t="shared" si="1337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1372"/>
        <v>e</v>
      </c>
      <c r="N2073" t="str">
        <f t="shared" si="1373"/>
        <v>7/2</v>
      </c>
      <c r="O2073">
        <v>68492.429999999993</v>
      </c>
      <c r="P2073" t="str">
        <f t="shared" si="1374"/>
        <v>o</v>
      </c>
      <c r="Q2073" t="str">
        <f t="shared" si="1375"/>
        <v>7/2</v>
      </c>
      <c r="R2073">
        <v>20</v>
      </c>
      <c r="AA2073" s="10">
        <f t="shared" si="1342"/>
        <v>3138.607</v>
      </c>
      <c r="AB2073" s="3">
        <f t="shared" si="1343"/>
        <v>31852.04</v>
      </c>
      <c r="AC2073" s="3" cm="1">
        <f t="array" ref="AC2073">100000000/LvacE(AA2073)</f>
        <v>31852.039881586326</v>
      </c>
      <c r="AD2073" s="10">
        <f t="shared" si="1344"/>
        <v>1.0074231957296075E-2</v>
      </c>
      <c r="AE2073" s="10" t="b">
        <f t="shared" si="1345"/>
        <v>1</v>
      </c>
      <c r="AJ2073" t="s">
        <v>4805</v>
      </c>
      <c r="AK2073" t="s">
        <v>4831</v>
      </c>
      <c r="AL2073">
        <v>36640.379999999997</v>
      </c>
      <c r="AM2073">
        <v>68492.429999999993</v>
      </c>
      <c r="AN2073" s="10" cm="1">
        <f t="array" ref="AN2073">Lair(100000000/($AM2073-$AL2073))</f>
        <v>3138.6059975838161</v>
      </c>
      <c r="AO2073" s="10">
        <f t="shared" si="1376"/>
        <v>3139.5153530149555</v>
      </c>
      <c r="AP2073" s="12">
        <v>9080000</v>
      </c>
      <c r="AQ2073" s="3">
        <v>4.5999999999999999E-2</v>
      </c>
      <c r="AR2073" s="3"/>
      <c r="AS2073" s="13">
        <f t="shared" si="1377"/>
        <v>1.497566644553062</v>
      </c>
      <c r="AT2073" s="3"/>
      <c r="AU2073" s="16" cm="1">
        <f t="array" ref="AU2073">$C2073*EXP(poly_from_str(100000000/$E2073,AU$4342))</f>
        <v>10.773589976279812</v>
      </c>
    </row>
    <row r="2074" spans="1:48" x14ac:dyDescent="0.25">
      <c r="A2074">
        <v>3138.2260000000001</v>
      </c>
      <c r="B2074" s="2" t="str">
        <f t="shared" si="1337"/>
        <v/>
      </c>
      <c r="C2074">
        <v>10</v>
      </c>
      <c r="D2074" t="s">
        <v>1156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1372"/>
        <v>e</v>
      </c>
      <c r="N2074" t="str">
        <f t="shared" si="1373"/>
        <v>7/2</v>
      </c>
      <c r="O2074">
        <v>66681.14</v>
      </c>
      <c r="P2074" t="str">
        <f t="shared" si="1374"/>
        <v>o</v>
      </c>
      <c r="Q2074" t="str">
        <f t="shared" si="1375"/>
        <v>5/2</v>
      </c>
      <c r="R2074">
        <v>20</v>
      </c>
      <c r="AA2074" s="10">
        <f t="shared" si="1342"/>
        <v>3138.2260000000001</v>
      </c>
      <c r="AB2074" s="3">
        <f t="shared" si="1343"/>
        <v>31855.91</v>
      </c>
      <c r="AC2074" s="3" cm="1">
        <f t="array" ref="AC2074">100000000/LvacE(AA2074)</f>
        <v>31855.906769174486</v>
      </c>
      <c r="AD2074" s="10">
        <f t="shared" si="1344"/>
        <v>1.0075464094869917E-2</v>
      </c>
      <c r="AE2074" s="10" t="b">
        <f t="shared" si="1345"/>
        <v>1</v>
      </c>
      <c r="AJ2074" t="s">
        <v>4761</v>
      </c>
      <c r="AK2074" t="s">
        <v>4851</v>
      </c>
      <c r="AL2074">
        <v>34825.49</v>
      </c>
      <c r="AM2074">
        <v>66681.14</v>
      </c>
      <c r="AN2074" s="10" cm="1">
        <f t="array" ref="AN2074">Lair(100000000/($AM2074-$AL2074))</f>
        <v>3138.2512909665975</v>
      </c>
      <c r="AO2074" s="10">
        <f t="shared" si="1376"/>
        <v>3139.1605570754323</v>
      </c>
      <c r="AP2074" s="12">
        <v>23900000</v>
      </c>
      <c r="AQ2074" s="3">
        <v>3.2000000000000001E-2</v>
      </c>
      <c r="AR2074" s="3"/>
      <c r="AS2074" s="13">
        <f t="shared" si="1377"/>
        <v>4.5162873884405519</v>
      </c>
      <c r="AT2074" s="3"/>
      <c r="AU2074" s="16" cm="1">
        <f t="array" ref="AU2074">$C2074*EXP(poly_from_str(100000000/$E2074,AU$4342))</f>
        <v>17.964404417898987</v>
      </c>
    </row>
    <row r="2075" spans="1:48" x14ac:dyDescent="0.25">
      <c r="A2075">
        <v>3136.08</v>
      </c>
      <c r="B2075" s="2" t="str">
        <f t="shared" si="1337"/>
        <v/>
      </c>
      <c r="C2075">
        <v>10</v>
      </c>
      <c r="D2075" t="s">
        <v>1156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1372"/>
        <v>e</v>
      </c>
      <c r="N2075" t="str">
        <f t="shared" si="1373"/>
        <v>7/2</v>
      </c>
      <c r="O2075">
        <v>67679.210000000006</v>
      </c>
      <c r="P2075" t="str">
        <f t="shared" si="1374"/>
        <v>o</v>
      </c>
      <c r="Q2075" t="str">
        <f t="shared" si="1375"/>
        <v>7/2</v>
      </c>
      <c r="R2075">
        <v>20</v>
      </c>
      <c r="AA2075" s="10">
        <f t="shared" si="1342"/>
        <v>3136.08</v>
      </c>
      <c r="AB2075" s="3">
        <f t="shared" si="1343"/>
        <v>31877.7</v>
      </c>
      <c r="AC2075" s="3" cm="1">
        <f t="array" ref="AC2075">100000000/LvacE(AA2075)</f>
        <v>31877.704740273042</v>
      </c>
      <c r="AD2075" s="10">
        <f t="shared" si="1344"/>
        <v>1.0082412556483421E-2</v>
      </c>
      <c r="AE2075" s="10" t="b">
        <f t="shared" si="1345"/>
        <v>1</v>
      </c>
      <c r="AJ2075" t="s">
        <v>4810</v>
      </c>
      <c r="AK2075" t="s">
        <v>4861</v>
      </c>
      <c r="AL2075">
        <v>35801.120000000003</v>
      </c>
      <c r="AM2075">
        <v>67679.210000000006</v>
      </c>
      <c r="AN2075" s="10" cm="1">
        <f t="array" ref="AN2075">Lair(100000000/($AM2075-$AL2075))</f>
        <v>3136.0420924219479</v>
      </c>
      <c r="AO2075" s="10">
        <f t="shared" si="1376"/>
        <v>3136.9508022594828</v>
      </c>
      <c r="AP2075" s="12">
        <v>107000000</v>
      </c>
      <c r="AQ2075" s="3">
        <v>0.23300000000000001</v>
      </c>
      <c r="AR2075" s="3">
        <f t="shared" ref="AR2075:AR2076" si="1379">LN(AU2075*100000000/($AM2075-$AL2075)/AP2075)</f>
        <v>-7.5463377640182792</v>
      </c>
      <c r="AS2075" s="13">
        <f t="shared" si="1377"/>
        <v>18.773436482467936</v>
      </c>
      <c r="AT2075" s="3">
        <f t="shared" si="1378"/>
        <v>0.62985782462217865</v>
      </c>
      <c r="AU2075" s="16" cm="1">
        <f t="array" ref="AU2075">$C2075*EXP(poly_from_str(100000000/$E2075,AU$4342))</f>
        <v>18.011223716728608</v>
      </c>
      <c r="AV2075" s="13">
        <f t="shared" ref="AV2075:AV2076" si="1380">LN(AS2075/AU2075)</f>
        <v>4.1447814221982737E-2</v>
      </c>
    </row>
    <row r="2076" spans="1:48" x14ac:dyDescent="0.25">
      <c r="A2076">
        <v>3133.5160000000001</v>
      </c>
      <c r="B2076" s="2" t="str">
        <f t="shared" si="1337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1372"/>
        <v>e</v>
      </c>
      <c r="N2076" t="str">
        <f t="shared" si="1373"/>
        <v>7/2</v>
      </c>
      <c r="O2076">
        <v>68544.19</v>
      </c>
      <c r="P2076" t="str">
        <f t="shared" si="1374"/>
        <v>o</v>
      </c>
      <c r="Q2076" t="str">
        <f t="shared" si="1375"/>
        <v>9/2</v>
      </c>
      <c r="R2076">
        <v>20</v>
      </c>
      <c r="AA2076" s="10">
        <f t="shared" si="1342"/>
        <v>3133.5160000000001</v>
      </c>
      <c r="AB2076" s="3">
        <f t="shared" si="1343"/>
        <v>31903.79</v>
      </c>
      <c r="AC2076" s="3" cm="1">
        <f t="array" ref="AC2076">100000000/LvacE(AA2076)</f>
        <v>31903.787685687599</v>
      </c>
      <c r="AD2076" s="10">
        <f t="shared" si="1344"/>
        <v>1.0090733170931248E-2</v>
      </c>
      <c r="AE2076" s="10" t="b">
        <f t="shared" si="1345"/>
        <v>1</v>
      </c>
      <c r="AJ2076" t="s">
        <v>4805</v>
      </c>
      <c r="AK2076" t="s">
        <v>4901</v>
      </c>
      <c r="AL2076">
        <v>36640.379999999997</v>
      </c>
      <c r="AM2076">
        <v>68544.19</v>
      </c>
      <c r="AN2076" s="10" cm="1">
        <f t="array" ref="AN2076">Lair(100000000/($AM2076-$AL2076))</f>
        <v>3133.5138029336881</v>
      </c>
      <c r="AO2076" s="10">
        <f t="shared" si="1376"/>
        <v>3134.4218762586656</v>
      </c>
      <c r="AP2076" s="12">
        <v>15700000</v>
      </c>
      <c r="AQ2076" s="3">
        <v>0.104</v>
      </c>
      <c r="AR2076" s="3">
        <f t="shared" si="1379"/>
        <v>-6.3180898819708506</v>
      </c>
      <c r="AS2076" s="13">
        <f t="shared" si="1377"/>
        <v>2.5835575580197223</v>
      </c>
      <c r="AT2076" s="3">
        <f t="shared" si="1378"/>
        <v>-0.66027056485077018</v>
      </c>
      <c r="AU2076" s="16" cm="1">
        <f t="array" ref="AU2076">$C2076*EXP(poly_from_str(100000000/$E2076,AU$4342))</f>
        <v>9.032971307672673</v>
      </c>
      <c r="AV2076" s="13">
        <f t="shared" si="1380"/>
        <v>-1.2517140141897238</v>
      </c>
    </row>
    <row r="2077" spans="1:48" x14ac:dyDescent="0.25">
      <c r="A2077">
        <v>3129.4589999999998</v>
      </c>
      <c r="B2077" s="2" t="str">
        <f t="shared" si="1337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1372"/>
        <v>e</v>
      </c>
      <c r="N2077" t="str">
        <f t="shared" si="1373"/>
        <v>11/2</v>
      </c>
      <c r="O2077">
        <v>62678.7</v>
      </c>
      <c r="P2077" t="str">
        <f t="shared" si="1374"/>
        <v>o</v>
      </c>
      <c r="Q2077" t="str">
        <f t="shared" si="1375"/>
        <v>13/2</v>
      </c>
      <c r="R2077">
        <v>20</v>
      </c>
      <c r="AA2077" s="10">
        <f t="shared" si="1342"/>
        <v>3129.4589999999998</v>
      </c>
      <c r="AB2077" s="3">
        <f t="shared" si="1343"/>
        <v>31945.15</v>
      </c>
      <c r="AC2077" s="3" cm="1">
        <f t="array" ref="AC2077">100000000/LvacE(AA2077)</f>
        <v>31945.145866329141</v>
      </c>
      <c r="AD2077" s="10">
        <f t="shared" si="1344"/>
        <v>1.0103940627809654E-2</v>
      </c>
      <c r="AE2077" s="10" t="b">
        <f t="shared" si="1345"/>
        <v>1</v>
      </c>
      <c r="AJ2077" t="s">
        <v>4828</v>
      </c>
      <c r="AK2077" t="s">
        <v>4888</v>
      </c>
      <c r="AL2077">
        <v>30733.53</v>
      </c>
      <c r="AM2077">
        <v>62678.7</v>
      </c>
      <c r="AN2077" s="10" cm="1">
        <f t="array" ref="AN2077">Lair(100000000/($AM2077-$AL2077))</f>
        <v>3129.456630380188</v>
      </c>
      <c r="AO2077" s="10">
        <f t="shared" si="1376"/>
        <v>3130.363682522272</v>
      </c>
      <c r="AP2077" s="12">
        <v>109000000</v>
      </c>
      <c r="AQ2077" s="3">
        <v>4.9000000000000002E-2</v>
      </c>
      <c r="AR2077" s="3"/>
      <c r="AS2077" s="13">
        <f t="shared" si="1377"/>
        <v>27.891893592818011</v>
      </c>
      <c r="AT2077" s="3"/>
      <c r="AU2077" s="16" cm="1">
        <f t="array" ref="AU2077">$C2077*EXP(poly_from_str(100000000/$E2077,AU$4342))</f>
        <v>16.33469709760579</v>
      </c>
    </row>
    <row r="2078" spans="1:48" x14ac:dyDescent="0.25">
      <c r="A2078">
        <v>3129.4140000000002</v>
      </c>
      <c r="B2078" s="2" t="str">
        <f t="shared" si="1337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1342"/>
        <v>3129.4140000000002</v>
      </c>
      <c r="AB2078" s="3">
        <f t="shared" si="1343"/>
        <v>31945.599999999999</v>
      </c>
      <c r="AC2078" s="3" cm="1">
        <f t="array" ref="AC2078">100000000/LvacE(AA2078)</f>
        <v>31945.605210056157</v>
      </c>
      <c r="AD2078" s="10">
        <f t="shared" si="1344"/>
        <v>1.010408741222097E-2</v>
      </c>
      <c r="AE2078" s="10" t="b">
        <f t="shared" si="1345"/>
        <v>1</v>
      </c>
      <c r="AP2078"/>
      <c r="AQ2078"/>
      <c r="AU2078" s="16" cm="1">
        <f t="array" ref="AU2078">$C2078*EXP(poly_from_str(100000000/$E2078,AU$4342))</f>
        <v>0</v>
      </c>
    </row>
    <row r="2079" spans="1:48" x14ac:dyDescent="0.25">
      <c r="A2079">
        <v>3129.3850000000002</v>
      </c>
      <c r="B2079" s="2" t="str">
        <f t="shared" si="1337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1342"/>
        <v>3129.3850000000002</v>
      </c>
      <c r="AB2079" s="3">
        <f t="shared" si="1343"/>
        <v>31945.9</v>
      </c>
      <c r="AC2079" s="3" cm="1">
        <f t="array" ref="AC2079">100000000/LvacE(AA2079)</f>
        <v>31945.901238568633</v>
      </c>
      <c r="AD2079" s="10">
        <f t="shared" si="1344"/>
        <v>1.0104182009974583E-2</v>
      </c>
      <c r="AE2079" s="10" t="b">
        <f t="shared" si="1345"/>
        <v>1</v>
      </c>
      <c r="AP2079"/>
      <c r="AQ2079"/>
      <c r="AU2079" s="16" cm="1">
        <f t="array" ref="AU2079">$C2079*EXP(poly_from_str(100000000/$E2079,AU$4342))</f>
        <v>0</v>
      </c>
    </row>
    <row r="2080" spans="1:48" x14ac:dyDescent="0.25">
      <c r="A2080">
        <v>3129.3560000000002</v>
      </c>
      <c r="B2080" s="2" t="str">
        <f t="shared" si="1337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1342"/>
        <v>3129.3560000000002</v>
      </c>
      <c r="AB2080" s="3">
        <f t="shared" si="1343"/>
        <v>31946.2</v>
      </c>
      <c r="AC2080" s="3" cm="1">
        <f t="array" ref="AC2080">100000000/LvacE(AA2080)</f>
        <v>31946.197272567391</v>
      </c>
      <c r="AD2080" s="10">
        <f t="shared" si="1344"/>
        <v>1.0104276610358072E-2</v>
      </c>
      <c r="AE2080" s="10" t="b">
        <f t="shared" si="1345"/>
        <v>1</v>
      </c>
      <c r="AP2080"/>
      <c r="AQ2080"/>
      <c r="AU2080" s="16" cm="1">
        <f t="array" ref="AU2080">$C2080*EXP(poly_from_str(100000000/$E2080,AU$4342))</f>
        <v>0</v>
      </c>
    </row>
    <row r="2081" spans="1:48" x14ac:dyDescent="0.25">
      <c r="A2081">
        <v>3123.0320000000002</v>
      </c>
      <c r="B2081" s="2" t="str">
        <f t="shared" si="1337"/>
        <v/>
      </c>
      <c r="C2081">
        <v>10</v>
      </c>
      <c r="D2081" t="s">
        <v>1156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1381">$G2081&amp;""</f>
        <v>e</v>
      </c>
      <c r="N2081" t="str">
        <f t="shared" ref="N2081:N2082" si="1382">$H2081&amp;""</f>
        <v>5/2</v>
      </c>
      <c r="O2081">
        <v>67395.320000000007</v>
      </c>
      <c r="P2081" t="str">
        <f t="shared" ref="P2081:P2082" si="1383">$J2081&amp;""</f>
        <v>o</v>
      </c>
      <c r="Q2081" t="str">
        <f t="shared" ref="Q2081:Q2082" si="1384">$K2081&amp;""</f>
        <v>5/2</v>
      </c>
      <c r="R2081">
        <v>20</v>
      </c>
      <c r="AA2081" s="10">
        <f t="shared" si="1342"/>
        <v>3123.0320000000002</v>
      </c>
      <c r="AB2081" s="3">
        <f t="shared" si="1343"/>
        <v>32010.880000000001</v>
      </c>
      <c r="AC2081" s="3" cm="1">
        <f t="array" ref="AC2081">100000000/LvacE(AA2081)</f>
        <v>32010.884413868003</v>
      </c>
      <c r="AD2081" s="10">
        <f t="shared" si="1344"/>
        <v>1.012496900670054E-2</v>
      </c>
      <c r="AE2081" s="10" t="b">
        <f t="shared" si="1345"/>
        <v>1</v>
      </c>
      <c r="AJ2081" t="s">
        <v>4728</v>
      </c>
      <c r="AK2081" t="s">
        <v>4894</v>
      </c>
      <c r="AL2081">
        <v>35384.17</v>
      </c>
      <c r="AM2081">
        <v>67395.320000000007</v>
      </c>
      <c r="AN2081" s="10" cm="1">
        <f t="array" ref="AN2081">Lair(100000000/($AM2081-$AL2081))</f>
        <v>3123.0060829305285</v>
      </c>
      <c r="AO2081" s="10">
        <f t="shared" ref="AO2081:AO2082" si="1385">100000000/($AM2081-$AL2081)</f>
        <v>3123.9115120825081</v>
      </c>
      <c r="AP2081" s="12">
        <v>95300000</v>
      </c>
      <c r="AQ2081" s="3">
        <v>0.11799999999999999</v>
      </c>
      <c r="AR2081" s="3">
        <f t="shared" ref="AR2081:AR2082" si="1386">LN(AU2081*100000000/($AM2081-$AL2081)/AP2081)</f>
        <v>-7.4201669686883829</v>
      </c>
      <c r="AS2081" s="13">
        <f t="shared" ref="AS2081:AS2082" si="1387">EXP(AR$4341*$AM2081+AR$4342)*$AP2081/(100000000/($AM2081-$AL2081))</f>
        <v>17.151990965056044</v>
      </c>
      <c r="AT2081" s="3">
        <f t="shared" ref="AT2081:AT2082" si="1388">LN(AS2081/$C2081)</f>
        <v>0.53952916513674687</v>
      </c>
      <c r="AU2081" s="16" cm="1">
        <f t="array" ref="AU2081">$C2081*EXP(poly_from_str(100000000/$E2081,AU$4342))</f>
        <v>18.274967268397862</v>
      </c>
      <c r="AV2081" s="13">
        <f t="shared" ref="AV2081:AV2082" si="1389">LN(AS2081/AU2081)</f>
        <v>-6.3417956444505152E-2</v>
      </c>
    </row>
    <row r="2082" spans="1:48" x14ac:dyDescent="0.25">
      <c r="A2082">
        <v>3122.6460000000002</v>
      </c>
      <c r="B2082" s="2" t="str">
        <f t="shared" si="1337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1381"/>
        <v>e</v>
      </c>
      <c r="N2082" t="str">
        <f t="shared" si="1382"/>
        <v>5/2</v>
      </c>
      <c r="O2082">
        <v>77822</v>
      </c>
      <c r="P2082" t="str">
        <f t="shared" si="1383"/>
        <v>o</v>
      </c>
      <c r="Q2082" t="str">
        <f t="shared" si="1384"/>
        <v>5/2</v>
      </c>
      <c r="R2082">
        <v>20</v>
      </c>
      <c r="AA2082" s="10">
        <f t="shared" si="1342"/>
        <v>3122.6460000000002</v>
      </c>
      <c r="AB2082" s="3">
        <f t="shared" si="1343"/>
        <v>32014.84</v>
      </c>
      <c r="AC2082" s="3" cm="1">
        <f t="array" ref="AC2082">100000000/LvacE(AA2082)</f>
        <v>32014.84122717458</v>
      </c>
      <c r="AD2082" s="10">
        <f t="shared" si="1344"/>
        <v>1.0126236087467901E-2</v>
      </c>
      <c r="AE2082" s="10" t="b">
        <f t="shared" si="1345"/>
        <v>1</v>
      </c>
      <c r="AJ2082" t="s">
        <v>4972</v>
      </c>
      <c r="AK2082" t="s">
        <v>4886</v>
      </c>
      <c r="AL2082">
        <v>45807.1</v>
      </c>
      <c r="AM2082">
        <v>77822</v>
      </c>
      <c r="AN2082" s="10" cm="1">
        <f t="array" ref="AN2082">Lair(100000000/($AM2082-$AL2082))</f>
        <v>3122.6402619486289</v>
      </c>
      <c r="AO2082" s="10">
        <f t="shared" si="1385"/>
        <v>3123.545599080428</v>
      </c>
      <c r="AP2082" s="12">
        <v>135000000</v>
      </c>
      <c r="AQ2082" s="3">
        <v>0.53100000000000003</v>
      </c>
      <c r="AR2082" s="3">
        <f t="shared" si="1386"/>
        <v>-8.1248078330998688</v>
      </c>
      <c r="AS2082" s="13">
        <f t="shared" si="1387"/>
        <v>11.11158008470434</v>
      </c>
      <c r="AT2082" s="3">
        <f t="shared" si="1388"/>
        <v>0.46207766632923253</v>
      </c>
      <c r="AU2082" s="16" cm="1">
        <f t="array" ref="AU2082">$C2082*EXP(poly_from_str(100000000/$E2082,AU$4342))</f>
        <v>12.797546306724781</v>
      </c>
      <c r="AV2082" s="13">
        <f t="shared" si="1389"/>
        <v>-0.14126564237810499</v>
      </c>
    </row>
    <row r="2083" spans="1:48" x14ac:dyDescent="0.25">
      <c r="A2083">
        <v>3122.585</v>
      </c>
      <c r="B2083" s="2" t="str">
        <f t="shared" si="1337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1342"/>
        <v>3122.585</v>
      </c>
      <c r="AB2083" s="3">
        <f t="shared" si="1343"/>
        <v>32015.47</v>
      </c>
      <c r="AC2083" s="3" cm="1">
        <f t="array" ref="AC2083">100000000/LvacE(AA2083)</f>
        <v>32015.466616192844</v>
      </c>
      <c r="AD2083" s="10">
        <f t="shared" si="1344"/>
        <v>1.0126436368616522E-2</v>
      </c>
      <c r="AE2083" s="10" t="b">
        <f t="shared" si="1345"/>
        <v>1</v>
      </c>
      <c r="AP2083"/>
      <c r="AQ2083"/>
      <c r="AU2083" s="16" cm="1">
        <f t="array" ref="AU2083">$C2083*EXP(poly_from_str(100000000/$E2083,AU$4342))</f>
        <v>0</v>
      </c>
    </row>
    <row r="2084" spans="1:48" x14ac:dyDescent="0.25">
      <c r="A2084">
        <v>3122.5369999999998</v>
      </c>
      <c r="B2084" s="2" t="str">
        <f t="shared" si="1337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1342"/>
        <v>3122.5369999999998</v>
      </c>
      <c r="AB2084" s="3">
        <f t="shared" si="1343"/>
        <v>32015.96</v>
      </c>
      <c r="AC2084" s="3" cm="1">
        <f t="array" ref="AC2084">100000000/LvacE(AA2084)</f>
        <v>32015.958742761439</v>
      </c>
      <c r="AD2084" s="10">
        <f t="shared" si="1344"/>
        <v>1.0126593975149284E-2</v>
      </c>
      <c r="AE2084" s="10" t="b">
        <f t="shared" si="1345"/>
        <v>1</v>
      </c>
      <c r="AP2084"/>
      <c r="AQ2084"/>
      <c r="AU2084" s="16" cm="1">
        <f t="array" ref="AU2084">$C2084*EXP(poly_from_str(100000000/$E2084,AU$4342))</f>
        <v>0</v>
      </c>
    </row>
    <row r="2085" spans="1:48" x14ac:dyDescent="0.25">
      <c r="A2085">
        <v>3122.4949999999999</v>
      </c>
      <c r="B2085" s="2" t="str">
        <f t="shared" si="1337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1342"/>
        <v>3122.4949999999999</v>
      </c>
      <c r="AB2085" s="3">
        <f t="shared" si="1343"/>
        <v>32016.39</v>
      </c>
      <c r="AC2085" s="3" cm="1">
        <f t="array" ref="AC2085">100000000/LvacE(AA2085)</f>
        <v>32016.389365919676</v>
      </c>
      <c r="AD2085" s="10">
        <f t="shared" si="1344"/>
        <v>1.0126731886827629E-2</v>
      </c>
      <c r="AE2085" s="10" t="b">
        <f t="shared" si="1345"/>
        <v>1</v>
      </c>
      <c r="AP2085"/>
      <c r="AQ2085"/>
      <c r="AU2085" s="16" cm="1">
        <f t="array" ref="AU2085">$C2085*EXP(poly_from_str(100000000/$E2085,AU$4342))</f>
        <v>0</v>
      </c>
    </row>
    <row r="2086" spans="1:48" x14ac:dyDescent="0.25">
      <c r="A2086">
        <v>3121.6840000000002</v>
      </c>
      <c r="B2086" s="2" t="str">
        <f t="shared" si="1337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1390">$G2086&amp;""</f>
        <v>e</v>
      </c>
      <c r="N2086" t="str">
        <f t="shared" ref="N2086:N2087" si="1391">$H2086&amp;""</f>
        <v>7/2</v>
      </c>
      <c r="O2086">
        <v>67049.179999999993</v>
      </c>
      <c r="P2086" t="str">
        <f t="shared" ref="P2086:P2087" si="1392">$J2086&amp;""</f>
        <v>o</v>
      </c>
      <c r="Q2086" t="str">
        <f t="shared" ref="Q2086:Q2087" si="1393">$K2086&amp;""</f>
        <v>9/2</v>
      </c>
      <c r="R2086">
        <v>20</v>
      </c>
      <c r="AA2086" s="10">
        <f t="shared" si="1342"/>
        <v>3121.6840000000002</v>
      </c>
      <c r="AB2086" s="3">
        <f t="shared" si="1343"/>
        <v>32024.71</v>
      </c>
      <c r="AC2086" s="3" cm="1">
        <f t="array" ref="AC2086">100000000/LvacE(AA2086)</f>
        <v>32024.706766004187</v>
      </c>
      <c r="AD2086" s="10">
        <f t="shared" si="1344"/>
        <v>1.012939598723064E-2</v>
      </c>
      <c r="AE2086" s="10" t="b">
        <f t="shared" si="1345"/>
        <v>1</v>
      </c>
      <c r="AJ2086" t="s">
        <v>4770</v>
      </c>
      <c r="AK2086" t="s">
        <v>4862</v>
      </c>
      <c r="AL2086">
        <v>35024.49</v>
      </c>
      <c r="AM2086">
        <v>67049.179999999993</v>
      </c>
      <c r="AN2086" s="10" cm="1">
        <f t="array" ref="AN2086">Lair(100000000/($AM2086-$AL2086))</f>
        <v>3121.6856290822798</v>
      </c>
      <c r="AO2086" s="10">
        <f t="shared" ref="AO2086:AO2087" si="1394">100000000/($AM2086-$AL2086)</f>
        <v>3122.5907260928993</v>
      </c>
      <c r="AP2086" s="12">
        <v>14400000</v>
      </c>
      <c r="AQ2086" s="3">
        <v>7.8E-2</v>
      </c>
      <c r="AR2086" s="3">
        <f t="shared" ref="AR2086:AR2087" si="1395">LN(AU2086*100000000/($AM2086-$AL2086)/AP2086)</f>
        <v>-5.6347741733368153</v>
      </c>
      <c r="AS2086" s="13">
        <f t="shared" ref="AS2086:AS2087" si="1396">EXP(AR$4341*$AM2086+AR$4342)*$AP2086/(100000000/($AM2086-$AL2086))</f>
        <v>2.6610272373693857</v>
      </c>
      <c r="AT2086" s="3">
        <f t="shared" ref="AT2086:AT2087" si="1397">LN(AS2086/$C2086)</f>
        <v>-1.2185123496285331</v>
      </c>
      <c r="AU2086" s="16" cm="1">
        <f t="array" ref="AU2086">$C2086*EXP(poly_from_str(100000000/$E2086,AU$4342))</f>
        <v>16.470094700269378</v>
      </c>
      <c r="AV2086" s="13">
        <f t="shared" ref="AV2086:AV2087" si="1398">LN(AS2086/AU2086)</f>
        <v>-1.8228340663298968</v>
      </c>
    </row>
    <row r="2087" spans="1:48" x14ac:dyDescent="0.25">
      <c r="A2087">
        <v>3121.4290000000001</v>
      </c>
      <c r="B2087" s="2" t="str">
        <f t="shared" si="1337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1390"/>
        <v>e</v>
      </c>
      <c r="N2087" t="str">
        <f t="shared" si="1391"/>
        <v>7/2</v>
      </c>
      <c r="O2087">
        <v>66852.87</v>
      </c>
      <c r="P2087" t="str">
        <f t="shared" si="1392"/>
        <v>o</v>
      </c>
      <c r="Q2087" t="str">
        <f t="shared" si="1393"/>
        <v>7/2</v>
      </c>
      <c r="R2087">
        <v>20</v>
      </c>
      <c r="AA2087" s="10">
        <f t="shared" si="1342"/>
        <v>3121.4290000000001</v>
      </c>
      <c r="AB2087" s="3">
        <f t="shared" si="1343"/>
        <v>32027.32</v>
      </c>
      <c r="AC2087" s="3" cm="1">
        <f t="array" ref="AC2087">100000000/LvacE(AA2087)</f>
        <v>32027.322871177083</v>
      </c>
      <c r="AD2087" s="10">
        <f t="shared" si="1344"/>
        <v>1.0130234080476776E-2</v>
      </c>
      <c r="AE2087" s="10" t="b">
        <f t="shared" si="1345"/>
        <v>1</v>
      </c>
      <c r="AJ2087" t="s">
        <v>4761</v>
      </c>
      <c r="AK2087" t="s">
        <v>4830</v>
      </c>
      <c r="AL2087">
        <v>34825.49</v>
      </c>
      <c r="AM2087">
        <v>66852.87</v>
      </c>
      <c r="AN2087" s="10" cm="1">
        <f t="array" ref="AN2087">Lair(100000000/($AM2087-$AL2087))</f>
        <v>3121.4234266523245</v>
      </c>
      <c r="AO2087" s="10">
        <f t="shared" si="1394"/>
        <v>3122.3284577133691</v>
      </c>
      <c r="AP2087" s="12">
        <v>37800000</v>
      </c>
      <c r="AQ2087" s="3">
        <v>0.20100000000000001</v>
      </c>
      <c r="AR2087" s="3">
        <f t="shared" si="1395"/>
        <v>-6.8509969252660969</v>
      </c>
      <c r="AS2087" s="13">
        <f t="shared" si="1396"/>
        <v>7.0894626465970116</v>
      </c>
      <c r="AT2087" s="3">
        <f t="shared" si="1397"/>
        <v>1.2699398291668915E-2</v>
      </c>
      <c r="AU2087" s="16" cm="1">
        <f t="array" ref="AU2087">$C2087*EXP(poly_from_str(100000000/$E2087,AU$4342))</f>
        <v>12.813360713928965</v>
      </c>
      <c r="AV2087" s="13">
        <f t="shared" si="1398"/>
        <v>-0.59187888496783037</v>
      </c>
    </row>
    <row r="2088" spans="1:48" x14ac:dyDescent="0.25">
      <c r="A2088">
        <v>3121.39</v>
      </c>
      <c r="B2088" s="2" t="str">
        <f t="shared" si="1337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1342"/>
        <v>3121.39</v>
      </c>
      <c r="AB2088" s="3">
        <f t="shared" si="1343"/>
        <v>32027.72</v>
      </c>
      <c r="AC2088" s="3" cm="1">
        <f t="array" ref="AC2088">100000000/LvacE(AA2088)</f>
        <v>32027.7230190634</v>
      </c>
      <c r="AD2088" s="10">
        <f t="shared" si="1344"/>
        <v>1.0130362277553174E-2</v>
      </c>
      <c r="AE2088" s="10" t="b">
        <f t="shared" si="1345"/>
        <v>1</v>
      </c>
      <c r="AP2088"/>
      <c r="AQ2088"/>
      <c r="AU2088" s="16" cm="1">
        <f t="array" ref="AU2088">$C2088*EXP(poly_from_str(100000000/$E2088,AU$4342))</f>
        <v>0</v>
      </c>
    </row>
    <row r="2089" spans="1:48" x14ac:dyDescent="0.25">
      <c r="A2089">
        <v>3118.933</v>
      </c>
      <c r="B2089" s="2" t="str">
        <f t="shared" si="1337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1342"/>
        <v>3118.933</v>
      </c>
      <c r="AB2089" s="3">
        <f t="shared" si="1343"/>
        <v>32052.95</v>
      </c>
      <c r="AC2089" s="3" cm="1">
        <f t="array" ref="AC2089">100000000/LvacE(AA2089)</f>
        <v>32052.952508913233</v>
      </c>
      <c r="AD2089" s="10">
        <f t="shared" si="1344"/>
        <v>1.0138448390669699E-2</v>
      </c>
      <c r="AE2089" s="10" t="b">
        <f t="shared" si="1345"/>
        <v>1</v>
      </c>
      <c r="AJ2089" t="s">
        <v>4706</v>
      </c>
      <c r="AK2089" t="s">
        <v>4821</v>
      </c>
      <c r="AL2089">
        <v>30505.72</v>
      </c>
      <c r="AM2089">
        <v>62558.67</v>
      </c>
      <c r="AN2089" s="10" cm="1">
        <f t="array" ref="AN2089">Lair(100000000/($AM2089-$AL2089))</f>
        <v>3118.9332388625758</v>
      </c>
      <c r="AO2089" s="10">
        <f>100000000/($AM2089-$AL2089)</f>
        <v>3119.8376436490248</v>
      </c>
      <c r="AP2089" s="12">
        <v>44200000</v>
      </c>
      <c r="AQ2089" s="3">
        <v>8.2000000000000003E-2</v>
      </c>
      <c r="AR2089" s="3">
        <f>LN(AU2089*100000000/($AM2089-$AL2089)/AP2089)</f>
        <v>-6.8722078347998421</v>
      </c>
      <c r="AS2089" s="13">
        <f>EXP(AR$4341*$AM2089+AR$4342)*$AP2089/(100000000/($AM2089-$AL2089))</f>
        <v>11.451137739390246</v>
      </c>
      <c r="AT2089" s="3">
        <f>LN(AS2089/$C2089)</f>
        <v>0.35864754926956111</v>
      </c>
      <c r="AU2089" s="16" cm="1">
        <f t="array" ref="AU2089">$C2089*EXP(poly_from_str(100000000/$E2089,AU$4342))</f>
        <v>14.680077024755034</v>
      </c>
      <c r="AV2089" s="13">
        <f>LN(AS2089/AU2089)</f>
        <v>-0.24840217914112536</v>
      </c>
    </row>
    <row r="2090" spans="1:48" x14ac:dyDescent="0.25">
      <c r="A2090">
        <v>3117.3440000000001</v>
      </c>
      <c r="B2090" s="2" t="str">
        <f t="shared" si="1337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1342"/>
        <v>3117.3440000000001</v>
      </c>
      <c r="AB2090" s="3">
        <f t="shared" si="1343"/>
        <v>32069.29</v>
      </c>
      <c r="AC2090" s="3" cm="1">
        <f t="array" ref="AC2090">100000000/LvacE(AA2090)</f>
        <v>32069.290192375833</v>
      </c>
      <c r="AD2090" s="10">
        <f t="shared" si="1344"/>
        <v>1.0143688055019888E-2</v>
      </c>
      <c r="AE2090" s="10" t="b">
        <f t="shared" si="1345"/>
        <v>1</v>
      </c>
      <c r="AP2090"/>
      <c r="AQ2090"/>
      <c r="AU2090" s="16" cm="1">
        <f t="array" ref="AU2090">$C2090*EXP(poly_from_str(100000000/$E2090,AU$4342))</f>
        <v>0</v>
      </c>
    </row>
    <row r="2091" spans="1:48" x14ac:dyDescent="0.25">
      <c r="A2091">
        <v>3117.3130000000001</v>
      </c>
      <c r="B2091" s="2" t="str">
        <f t="shared" si="1337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1399">$G2091&amp;""</f>
        <v>e</v>
      </c>
      <c r="N2091" t="str">
        <f t="shared" ref="N2091:N2092" si="1400">$H2091&amp;""</f>
        <v>7/2</v>
      </c>
      <c r="O2091">
        <v>67870.759999999995</v>
      </c>
      <c r="P2091" t="str">
        <f t="shared" ref="P2091:P2092" si="1401">$J2091&amp;""</f>
        <v>o</v>
      </c>
      <c r="Q2091" t="str">
        <f t="shared" ref="Q2091:Q2092" si="1402">$K2091&amp;""</f>
        <v>9/2</v>
      </c>
      <c r="R2091">
        <v>20</v>
      </c>
      <c r="AA2091" s="10">
        <f t="shared" si="1342"/>
        <v>3117.3130000000001</v>
      </c>
      <c r="AB2091" s="3">
        <f t="shared" si="1343"/>
        <v>32069.61</v>
      </c>
      <c r="AC2091" s="3" cm="1">
        <f t="array" ref="AC2091">100000000/LvacE(AA2091)</f>
        <v>32069.609091916645</v>
      </c>
      <c r="AD2091" s="10">
        <f t="shared" si="1344"/>
        <v>1.0143790355975908E-2</v>
      </c>
      <c r="AE2091" s="10" t="b">
        <f t="shared" si="1345"/>
        <v>1</v>
      </c>
      <c r="AJ2091" t="s">
        <v>4810</v>
      </c>
      <c r="AK2091" t="s">
        <v>4755</v>
      </c>
      <c r="AL2091">
        <v>35801.120000000003</v>
      </c>
      <c r="AM2091">
        <v>67870.759999999995</v>
      </c>
      <c r="AN2091" s="10" cm="1">
        <f t="array" ref="AN2091">Lair(100000000/($AM2091-$AL2091))</f>
        <v>3117.3099902068561</v>
      </c>
      <c r="AO2091" s="10">
        <f t="shared" ref="AO2091:AO2092" si="1403">100000000/($AM2091-$AL2091)</f>
        <v>3118.2139868112031</v>
      </c>
      <c r="AP2091" s="12">
        <v>43900000</v>
      </c>
      <c r="AQ2091" s="3">
        <v>0.11700000000000001</v>
      </c>
      <c r="AR2091" s="3">
        <f t="shared" ref="AR2091:AR2092" si="1404">LN(AU2091*100000000/($AM2091-$AL2091)/AP2091)</f>
        <v>-6.9978895681212983</v>
      </c>
      <c r="AS2091" s="13">
        <f t="shared" ref="AS2091:AS2092" si="1405">EXP(AR$4341*$AM2091+AR$4342)*$AP2091/(100000000/($AM2091-$AL2091))</f>
        <v>7.6380630581945814</v>
      </c>
      <c r="AT2091" s="3">
        <f t="shared" ref="AT2091:AT2092" si="1406">LN(AS2091/$C2091)</f>
        <v>8.7233895565539746E-2</v>
      </c>
      <c r="AU2091" s="16" cm="1">
        <f t="array" ref="AU2091">$C2091*EXP(poly_from_str(100000000/$E2091,AU$4342))</f>
        <v>12.865118196674025</v>
      </c>
      <c r="AV2091" s="13">
        <f t="shared" ref="AV2091:AV2092" si="1407">LN(AS2091/AU2091)</f>
        <v>-0.5213755885307374</v>
      </c>
    </row>
    <row r="2092" spans="1:48" x14ac:dyDescent="0.25">
      <c r="A2092">
        <v>3113.837</v>
      </c>
      <c r="B2092" s="2" t="str">
        <f t="shared" si="1337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1399"/>
        <v>e</v>
      </c>
      <c r="N2092" t="str">
        <f t="shared" si="1400"/>
        <v>13/2</v>
      </c>
      <c r="O2092">
        <v>64865.15</v>
      </c>
      <c r="P2092" t="str">
        <f t="shared" si="1401"/>
        <v>o</v>
      </c>
      <c r="Q2092" t="str">
        <f t="shared" si="1402"/>
        <v>11/2</v>
      </c>
      <c r="R2092">
        <v>20</v>
      </c>
      <c r="AA2092" s="10">
        <f t="shared" si="1342"/>
        <v>3113.837</v>
      </c>
      <c r="AB2092" s="3">
        <f t="shared" si="1343"/>
        <v>32105.41</v>
      </c>
      <c r="AC2092" s="3" cm="1">
        <f t="array" ref="AC2092">100000000/LvacE(AA2092)</f>
        <v>32105.407258930729</v>
      </c>
      <c r="AD2092" s="10">
        <f t="shared" si="1344"/>
        <v>1.015528064875116E-2</v>
      </c>
      <c r="AE2092" s="10" t="b">
        <f t="shared" si="1345"/>
        <v>1</v>
      </c>
      <c r="AJ2092" t="s">
        <v>4829</v>
      </c>
      <c r="AK2092" t="s">
        <v>4896</v>
      </c>
      <c r="AL2092">
        <v>32760.11</v>
      </c>
      <c r="AM2092">
        <v>64865.15</v>
      </c>
      <c r="AN2092" s="10" cm="1">
        <f t="array" ref="AN2092">Lair(100000000/($AM2092-$AL2092))</f>
        <v>3113.8726162061685</v>
      </c>
      <c r="AO2092" s="10">
        <f t="shared" si="1403"/>
        <v>3114.7757486052033</v>
      </c>
      <c r="AP2092" s="12">
        <v>85900000</v>
      </c>
      <c r="AQ2092" s="3">
        <v>0.67600000000000005</v>
      </c>
      <c r="AR2092" s="3">
        <f t="shared" si="1404"/>
        <v>-7.533503746545879</v>
      </c>
      <c r="AS2092" s="13">
        <f t="shared" si="1405"/>
        <v>18.74783135130896</v>
      </c>
      <c r="AT2092" s="3">
        <f t="shared" si="1406"/>
        <v>0.85163654278378209</v>
      </c>
      <c r="AU2092" s="16" cm="1">
        <f t="array" ref="AU2092">$C2092*EXP(poly_from_str(100000000/$E2092,AU$4342))</f>
        <v>14.75051802628856</v>
      </c>
      <c r="AV2092" s="13">
        <f t="shared" si="1407"/>
        <v>0.23979988186815379</v>
      </c>
    </row>
    <row r="2093" spans="1:48" x14ac:dyDescent="0.25">
      <c r="A2093">
        <v>3113.7939999999999</v>
      </c>
      <c r="B2093" s="2" t="str">
        <f t="shared" si="1337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1342"/>
        <v>3113.7939999999999</v>
      </c>
      <c r="AB2093" s="3">
        <f t="shared" si="1343"/>
        <v>32105.85</v>
      </c>
      <c r="AC2093" s="3" cm="1">
        <f t="array" ref="AC2093">100000000/LvacE(AA2093)</f>
        <v>32105.850602055703</v>
      </c>
      <c r="AD2093" s="10">
        <f t="shared" si="1344"/>
        <v>1.015542303088382E-2</v>
      </c>
      <c r="AE2093" s="10" t="b">
        <f t="shared" si="1345"/>
        <v>1</v>
      </c>
      <c r="AP2093"/>
      <c r="AQ2093"/>
      <c r="AU2093" s="16" cm="1">
        <f t="array" ref="AU2093">$C2093*EXP(poly_from_str(100000000/$E2093,AU$4342))</f>
        <v>0</v>
      </c>
    </row>
    <row r="2094" spans="1:48" x14ac:dyDescent="0.25">
      <c r="A2094">
        <v>3113.76</v>
      </c>
      <c r="B2094" s="2" t="str">
        <f t="shared" si="1337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1342"/>
        <v>3113.76</v>
      </c>
      <c r="AB2094" s="3">
        <f t="shared" si="1343"/>
        <v>32106.2</v>
      </c>
      <c r="AC2094" s="3" cm="1">
        <f t="array" ref="AC2094">100000000/LvacE(AA2094)</f>
        <v>32106.201161101748</v>
      </c>
      <c r="AD2094" s="10">
        <f t="shared" si="1344"/>
        <v>1.0155535616280919E-2</v>
      </c>
      <c r="AE2094" s="10" t="b">
        <f t="shared" si="1345"/>
        <v>1</v>
      </c>
      <c r="AP2094"/>
      <c r="AQ2094"/>
      <c r="AU2094" s="16" cm="1">
        <f t="array" ref="AU2094">$C2094*EXP(poly_from_str(100000000/$E2094,AU$4342))</f>
        <v>0</v>
      </c>
    </row>
    <row r="2095" spans="1:48" x14ac:dyDescent="0.25">
      <c r="A2095">
        <v>3113.73</v>
      </c>
      <c r="B2095" s="2" t="str">
        <f t="shared" si="1337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1342"/>
        <v>3113.73</v>
      </c>
      <c r="AB2095" s="3">
        <f t="shared" si="1343"/>
        <v>32106.51</v>
      </c>
      <c r="AC2095" s="3" cm="1">
        <f t="array" ref="AC2095">100000000/LvacE(AA2095)</f>
        <v>32106.5104842644</v>
      </c>
      <c r="AD2095" s="10">
        <f t="shared" si="1344"/>
        <v>1.0155634959399883E-2</v>
      </c>
      <c r="AE2095" s="10" t="b">
        <f t="shared" si="1345"/>
        <v>1</v>
      </c>
      <c r="AP2095"/>
      <c r="AQ2095"/>
      <c r="AU2095" s="16" cm="1">
        <f t="array" ref="AU2095">$C2095*EXP(poly_from_str(100000000/$E2095,AU$4342))</f>
        <v>0</v>
      </c>
    </row>
    <row r="2096" spans="1:48" x14ac:dyDescent="0.25">
      <c r="A2096">
        <v>3113.5549999999998</v>
      </c>
      <c r="B2096" s="2" t="str">
        <f t="shared" si="1337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1408">$G2096&amp;""</f>
        <v>e</v>
      </c>
      <c r="N2096" t="str">
        <f t="shared" ref="N2096:N2098" si="1409">$H2096&amp;""</f>
        <v>9/2</v>
      </c>
      <c r="O2096">
        <v>71978.52</v>
      </c>
      <c r="P2096" t="str">
        <f t="shared" ref="P2096:P2098" si="1410">$J2096&amp;""</f>
        <v>o</v>
      </c>
      <c r="Q2096" t="str">
        <f t="shared" ref="Q2096:Q2098" si="1411">$K2096&amp;""</f>
        <v>7/2</v>
      </c>
      <c r="R2096">
        <v>20</v>
      </c>
      <c r="AA2096" s="10">
        <f t="shared" si="1342"/>
        <v>3113.5549999999998</v>
      </c>
      <c r="AB2096" s="3">
        <f t="shared" si="1343"/>
        <v>32108.31</v>
      </c>
      <c r="AC2096" s="3" cm="1">
        <f t="array" ref="AC2096">100000000/LvacE(AA2096)</f>
        <v>32108.314988174679</v>
      </c>
      <c r="AD2096" s="10">
        <f t="shared" si="1344"/>
        <v>1.0156214518159255E-2</v>
      </c>
      <c r="AE2096" s="10" t="b">
        <f t="shared" si="1345"/>
        <v>1</v>
      </c>
      <c r="AJ2096" t="s">
        <v>4731</v>
      </c>
      <c r="AK2096" t="s">
        <v>4716</v>
      </c>
      <c r="AL2096">
        <v>39870.17</v>
      </c>
      <c r="AM2096">
        <v>71978.52</v>
      </c>
      <c r="AN2096" s="10" cm="1">
        <f t="array" ref="AN2096">Lair(100000000/($AM2096-$AL2096))</f>
        <v>3113.5515995027245</v>
      </c>
      <c r="AO2096" s="10">
        <f t="shared" ref="AO2096:AO2098" si="1412">100000000/($AM2096-$AL2096)</f>
        <v>3114.4546512044367</v>
      </c>
      <c r="AP2096" s="12">
        <v>6020000</v>
      </c>
      <c r="AQ2096" s="3">
        <v>5.8999999999999997E-2</v>
      </c>
      <c r="AR2096" s="3">
        <f t="shared" ref="AR2096:AR2098" si="1413">LN(AU2096*100000000/($AM2096-$AL2096)/AP2096)</f>
        <v>-5.5684034706686623</v>
      </c>
      <c r="AS2096" s="13">
        <f t="shared" ref="AS2096:AS2098" si="1414">EXP(AR$4341*$AM2096+AR$4342)*$AP2096/(100000000/($AM2096-$AL2096))</f>
        <v>0.77047292697372172</v>
      </c>
      <c r="AT2096" s="3">
        <f t="shared" ref="AT2096:AT2098" si="1415">LN(AS2096/$C2096)</f>
        <v>-1.6470451229173553</v>
      </c>
      <c r="AU2096" s="16" cm="1">
        <f t="array" ref="AU2096">$C2096*EXP(poly_from_str(100000000/$E2096,AU$4342))</f>
        <v>7.3771324232366409</v>
      </c>
      <c r="AV2096" s="13">
        <f t="shared" ref="AV2096:AV2098" si="1416">LN(AS2096/AU2096)</f>
        <v>-2.2591357643635992</v>
      </c>
    </row>
    <row r="2097" spans="1:48" x14ac:dyDescent="0.25">
      <c r="A2097">
        <v>3108.884</v>
      </c>
      <c r="B2097" s="2" t="str">
        <f t="shared" si="1337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1408"/>
        <v>e</v>
      </c>
      <c r="N2097" t="str">
        <f t="shared" si="1409"/>
        <v>1/2</v>
      </c>
      <c r="O2097">
        <v>83025.91</v>
      </c>
      <c r="P2097" t="str">
        <f t="shared" si="1410"/>
        <v>o</v>
      </c>
      <c r="Q2097" t="str">
        <f t="shared" si="1411"/>
        <v>3/2</v>
      </c>
      <c r="R2097">
        <v>20</v>
      </c>
      <c r="AA2097" s="10">
        <f t="shared" si="1342"/>
        <v>3108.884</v>
      </c>
      <c r="AB2097" s="3">
        <f t="shared" si="1343"/>
        <v>32156.55</v>
      </c>
      <c r="AC2097" s="3" cm="1">
        <f t="array" ref="AC2097">100000000/LvacE(AA2097)</f>
        <v>32156.554847653493</v>
      </c>
      <c r="AD2097" s="10">
        <f t="shared" si="1344"/>
        <v>1.0171719956044274E-2</v>
      </c>
      <c r="AE2097" s="10" t="b">
        <f t="shared" si="1345"/>
        <v>1</v>
      </c>
      <c r="AJ2097" t="s">
        <v>4784</v>
      </c>
      <c r="AK2097" t="s">
        <v>4884</v>
      </c>
      <c r="AL2097">
        <v>50869.3</v>
      </c>
      <c r="AM2097">
        <v>83025.91</v>
      </c>
      <c r="AN2097" s="10" cm="1">
        <f t="array" ref="AN2097">Lair(100000000/($AM2097-$AL2097))</f>
        <v>3108.87866244922</v>
      </c>
      <c r="AO2097" s="10">
        <f t="shared" si="1412"/>
        <v>3109.7805396775343</v>
      </c>
      <c r="AP2097" s="12">
        <v>31700000</v>
      </c>
      <c r="AQ2097" s="3">
        <v>0.316</v>
      </c>
      <c r="AR2097" s="3">
        <f t="shared" si="1413"/>
        <v>-6.6674576140016564</v>
      </c>
      <c r="AS2097" s="13">
        <f t="shared" si="1414"/>
        <v>1.7734197460599488</v>
      </c>
      <c r="AT2097" s="3">
        <f t="shared" si="1415"/>
        <v>-1.373000406575914</v>
      </c>
      <c r="AU2097" s="16" cm="1">
        <f t="array" ref="AU2097">$C2097*EXP(poly_from_str(100000000/$E2097,AU$4342))</f>
        <v>12.962520929618229</v>
      </c>
      <c r="AV2097" s="13">
        <f t="shared" si="1416"/>
        <v>-1.9891524457031575</v>
      </c>
    </row>
    <row r="2098" spans="1:48" x14ac:dyDescent="0.25">
      <c r="A2098">
        <v>3108.43</v>
      </c>
      <c r="B2098" s="2" t="str">
        <f t="shared" si="1337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1408"/>
        <v>e</v>
      </c>
      <c r="N2098" t="str">
        <f t="shared" si="1409"/>
        <v>7/2</v>
      </c>
      <c r="O2098">
        <v>68801.67</v>
      </c>
      <c r="P2098" t="str">
        <f t="shared" si="1410"/>
        <v>o</v>
      </c>
      <c r="Q2098" t="str">
        <f t="shared" si="1411"/>
        <v>7/2</v>
      </c>
      <c r="R2098">
        <v>20</v>
      </c>
      <c r="AA2098" s="10">
        <f t="shared" si="1342"/>
        <v>3108.43</v>
      </c>
      <c r="AB2098" s="3">
        <f t="shared" si="1343"/>
        <v>32161.25</v>
      </c>
      <c r="AC2098" s="3" cm="1">
        <f t="array" ref="AC2098">100000000/LvacE(AA2098)</f>
        <v>32161.251272983143</v>
      </c>
      <c r="AD2098" s="10">
        <f t="shared" si="1344"/>
        <v>1.0173230742365622E-2</v>
      </c>
      <c r="AE2098" s="10" t="b">
        <f t="shared" si="1345"/>
        <v>1</v>
      </c>
      <c r="AJ2098" t="s">
        <v>4805</v>
      </c>
      <c r="AK2098" t="s">
        <v>4857</v>
      </c>
      <c r="AL2098">
        <v>36640.379999999997</v>
      </c>
      <c r="AM2098">
        <v>68801.67</v>
      </c>
      <c r="AN2098" s="10" cm="1">
        <f t="array" ref="AN2098">Lair(100000000/($AM2098-$AL2098))</f>
        <v>3108.4262515960586</v>
      </c>
      <c r="AO2098" s="10">
        <f t="shared" si="1412"/>
        <v>3109.3280151386962</v>
      </c>
      <c r="AP2098" s="12">
        <v>25900000</v>
      </c>
      <c r="AQ2098" s="3">
        <v>8.2000000000000003E-2</v>
      </c>
      <c r="AR2098" s="3">
        <f t="shared" si="1413"/>
        <v>-6.3316188150025159</v>
      </c>
      <c r="AS2098" s="13">
        <f t="shared" si="1414"/>
        <v>4.214220675548547</v>
      </c>
      <c r="AT2098" s="3">
        <f t="shared" si="1415"/>
        <v>-0.64097686042914759</v>
      </c>
      <c r="AU2098" s="16" cm="1">
        <f t="array" ref="AU2098">$C2098*EXP(poly_from_str(100000000/$E2098,AU$4342))</f>
        <v>14.819928601497606</v>
      </c>
      <c r="AV2098" s="13">
        <f t="shared" si="1416"/>
        <v>-1.2575081208929353</v>
      </c>
    </row>
    <row r="2099" spans="1:48" x14ac:dyDescent="0.25">
      <c r="A2099">
        <v>3104.9360000000001</v>
      </c>
      <c r="B2099" s="2" t="str">
        <f t="shared" si="1337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1342"/>
        <v>3104.9360000000001</v>
      </c>
      <c r="AB2099" s="3">
        <f t="shared" si="1343"/>
        <v>32197.439999999999</v>
      </c>
      <c r="AC2099" s="3" cm="1">
        <f t="array" ref="AC2099">100000000/LvacE(AA2099)</f>
        <v>32197.441082512611</v>
      </c>
      <c r="AD2099" s="10">
        <f t="shared" si="1344"/>
        <v>1.0184879991489778E-2</v>
      </c>
      <c r="AE2099" s="10" t="b">
        <f t="shared" si="1345"/>
        <v>1</v>
      </c>
      <c r="AP2099"/>
      <c r="AQ2099"/>
      <c r="AU2099" s="16" cm="1">
        <f t="array" ref="AU2099">$C2099*EXP(poly_from_str(100000000/$E2099,AU$4342))</f>
        <v>7.4309051440657141</v>
      </c>
    </row>
    <row r="2100" spans="1:48" x14ac:dyDescent="0.25">
      <c r="A2100">
        <v>3104.0149999999999</v>
      </c>
      <c r="B2100" s="2" t="str">
        <f t="shared" si="1337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1342"/>
        <v>3104.0149999999999</v>
      </c>
      <c r="AB2100" s="3">
        <f t="shared" si="1343"/>
        <v>32206.99</v>
      </c>
      <c r="AC2100" s="3" cm="1">
        <f t="array" ref="AC2100">100000000/LvacE(AA2100)</f>
        <v>32206.994093249101</v>
      </c>
      <c r="AD2100" s="10">
        <f t="shared" si="1344"/>
        <v>1.018795722527905E-2</v>
      </c>
      <c r="AE2100" s="10" t="b">
        <f t="shared" si="1345"/>
        <v>1</v>
      </c>
      <c r="AP2100"/>
      <c r="AQ2100"/>
      <c r="AU2100" s="16" cm="1">
        <f t="array" ref="AU2100">$C2100*EXP(poly_from_str(100000000/$E2100,AU$4342))</f>
        <v>13.013395564435893</v>
      </c>
    </row>
    <row r="2101" spans="1:48" x14ac:dyDescent="0.25">
      <c r="A2101">
        <v>3101.1320000000001</v>
      </c>
      <c r="B2101" s="2" t="str">
        <f t="shared" si="1337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1342"/>
        <v>3101.1320000000001</v>
      </c>
      <c r="AB2101" s="3">
        <f t="shared" si="1343"/>
        <v>32236.93</v>
      </c>
      <c r="AC2101" s="3" cm="1">
        <f t="array" ref="AC2101">100000000/LvacE(AA2101)</f>
        <v>32236.934496303515</v>
      </c>
      <c r="AD2101" s="10">
        <f t="shared" si="1344"/>
        <v>1.0197607598822545E-2</v>
      </c>
      <c r="AE2101" s="10" t="b">
        <f t="shared" si="1345"/>
        <v>1</v>
      </c>
      <c r="AP2101"/>
      <c r="AQ2101"/>
      <c r="AU2101" s="16" cm="1">
        <f t="array" ref="AU2101">$C2101*EXP(poly_from_str(100000000/$E2101,AU$4342))</f>
        <v>0</v>
      </c>
    </row>
    <row r="2102" spans="1:48" x14ac:dyDescent="0.25">
      <c r="A2102">
        <v>3101.1039999999998</v>
      </c>
      <c r="B2102" s="2" t="str">
        <f t="shared" si="1337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1342"/>
        <v>3101.1039999999998</v>
      </c>
      <c r="AB2102" s="3">
        <f t="shared" si="1343"/>
        <v>32237.23</v>
      </c>
      <c r="AC2102" s="3" cm="1">
        <f t="array" ref="AC2102">100000000/LvacE(AA2102)</f>
        <v>32237.225553595305</v>
      </c>
      <c r="AD2102" s="10">
        <f t="shared" si="1344"/>
        <v>1.0197701456254822E-2</v>
      </c>
      <c r="AE2102" s="10" t="b">
        <f t="shared" si="1345"/>
        <v>1</v>
      </c>
      <c r="AP2102"/>
      <c r="AQ2102"/>
      <c r="AU2102" s="16" cm="1">
        <f t="array" ref="AU2102">$C2102*EXP(poly_from_str(100000000/$E2102,AU$4342))</f>
        <v>0</v>
      </c>
    </row>
    <row r="2103" spans="1:48" x14ac:dyDescent="0.25">
      <c r="A2103">
        <v>3101.069</v>
      </c>
      <c r="B2103" s="2" t="str">
        <f t="shared" si="1337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1342"/>
        <v>3101.069</v>
      </c>
      <c r="AB2103" s="3">
        <f t="shared" si="1343"/>
        <v>32237.59</v>
      </c>
      <c r="AC2103" s="3" cm="1">
        <f t="array" ref="AC2103">100000000/LvacE(AA2103)</f>
        <v>32237.589382600781</v>
      </c>
      <c r="AD2103" s="10">
        <f t="shared" si="1344"/>
        <v>1.0197818781620271E-2</v>
      </c>
      <c r="AE2103" s="10" t="b">
        <f t="shared" si="1345"/>
        <v>1</v>
      </c>
      <c r="AJ2103" t="s">
        <v>4788</v>
      </c>
      <c r="AK2103" t="s">
        <v>4819</v>
      </c>
      <c r="AL2103">
        <v>30994.55</v>
      </c>
      <c r="AM2103">
        <v>63232.14</v>
      </c>
      <c r="AN2103" s="10" cm="1">
        <f t="array" ref="AN2103">Lair(100000000/($AM2103-$AL2103))</f>
        <v>3101.0689353907023</v>
      </c>
      <c r="AO2103" s="10">
        <f>100000000/($AM2103-$AL2103)</f>
        <v>3101.9688506491957</v>
      </c>
      <c r="AP2103" s="12">
        <v>73700000</v>
      </c>
      <c r="AQ2103" s="3">
        <v>0.316</v>
      </c>
      <c r="AR2103" s="3">
        <f>LN(AU2103*100000000/($AM2103-$AL2103)/AP2103)</f>
        <v>-7.507529522030147</v>
      </c>
      <c r="AS2103" s="13">
        <f>EXP(AR$4341*$AM2103+AR$4342)*$AP2103/(100000000/($AM2103-$AL2103))</f>
        <v>18.257378502960865</v>
      </c>
      <c r="AT2103" s="3">
        <f>LN(AS2103/$C2103)</f>
        <v>0.95865915079744735</v>
      </c>
      <c r="AU2103" s="16" cm="1">
        <f t="array" ref="AU2103">$C2103*EXP(poly_from_str(100000000/$E2103,AU$4342))</f>
        <v>13.042216683824774</v>
      </c>
      <c r="AV2103" s="13">
        <f>LN(AS2103/AU2103)</f>
        <v>0.33637776671024505</v>
      </c>
    </row>
    <row r="2104" spans="1:48" x14ac:dyDescent="0.25">
      <c r="A2104">
        <v>3100.4929999999999</v>
      </c>
      <c r="B2104" s="2" t="str">
        <f t="shared" si="1337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1342"/>
        <v>3100.4929999999999</v>
      </c>
      <c r="AB2104" s="3">
        <f t="shared" si="1343"/>
        <v>32243.58</v>
      </c>
      <c r="AC2104" s="3" cm="1">
        <f t="array" ref="AC2104">100000000/LvacE(AA2104)</f>
        <v>32243.57814838595</v>
      </c>
      <c r="AD2104" s="10">
        <f t="shared" si="1344"/>
        <v>1.0199750192692897E-2</v>
      </c>
      <c r="AE2104" s="10" t="b">
        <f t="shared" si="1345"/>
        <v>1</v>
      </c>
      <c r="AP2104"/>
      <c r="AQ2104"/>
      <c r="AU2104" s="16" cm="1">
        <f t="array" ref="AU2104">$C2104*EXP(poly_from_str(100000000/$E2104,AU$4342))</f>
        <v>7.4558153434283838</v>
      </c>
    </row>
    <row r="2105" spans="1:48" x14ac:dyDescent="0.25">
      <c r="A2105">
        <v>3098.4740000000002</v>
      </c>
      <c r="B2105" s="2" t="str">
        <f t="shared" si="1337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1342"/>
        <v>3098.4740000000002</v>
      </c>
      <c r="AB2105" s="3">
        <f t="shared" si="1343"/>
        <v>32264.59</v>
      </c>
      <c r="AC2105" s="3" cm="1">
        <f t="array" ref="AC2105">100000000/LvacE(AA2105)</f>
        <v>32264.587599814629</v>
      </c>
      <c r="AD2105" s="10">
        <f t="shared" si="1344"/>
        <v>1.0206528697645136E-2</v>
      </c>
      <c r="AE2105" s="10" t="b">
        <f t="shared" si="1345"/>
        <v>1</v>
      </c>
      <c r="AJ2105" t="s">
        <v>4939</v>
      </c>
      <c r="AK2105" t="s">
        <v>4948</v>
      </c>
      <c r="AL2105">
        <v>50227.79</v>
      </c>
      <c r="AM2105">
        <v>82492.399999999994</v>
      </c>
      <c r="AN2105" s="10" cm="1">
        <f t="array" ref="AN2105">Lair(100000000/($AM2105-$AL2105))</f>
        <v>3098.4718435468244</v>
      </c>
      <c r="AO2105" s="10">
        <f>100000000/($AM2105-$AL2105)</f>
        <v>3099.3711066087585</v>
      </c>
      <c r="AP2105" s="12">
        <v>64200000</v>
      </c>
      <c r="AQ2105" s="3">
        <v>0.36</v>
      </c>
      <c r="AR2105" s="3">
        <f>LN(AU2105*100000000/($AM2105-$AL2105)/AP2105)</f>
        <v>-8.2158163967994735</v>
      </c>
      <c r="AS2105" s="13">
        <f>EXP(AR$4341*$AM2105+AR$4342)*$AP2105/(100000000/($AM2105-$AL2105))</f>
        <v>3.750868468481853</v>
      </c>
      <c r="AT2105" s="3">
        <f>LN(AS2105/$C2105)</f>
        <v>0.22337511609617675</v>
      </c>
      <c r="AU2105" s="16" cm="1">
        <f t="array" ref="AU2105">$C2105*EXP(poly_from_str(100000000/$E2105,AU$4342))</f>
        <v>5.5998671307286783</v>
      </c>
      <c r="AV2105" s="13">
        <f>LN(AS2105/AU2105)</f>
        <v>-0.40075546603974233</v>
      </c>
    </row>
    <row r="2106" spans="1:48" x14ac:dyDescent="0.25">
      <c r="A2106">
        <v>3098.4009999999998</v>
      </c>
      <c r="B2106" s="2" t="str">
        <f t="shared" si="1337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1342"/>
        <v>3098.4009999999998</v>
      </c>
      <c r="AB2106" s="3">
        <f t="shared" si="1343"/>
        <v>32265.35</v>
      </c>
      <c r="AC2106" s="3" cm="1">
        <f t="array" ref="AC2106">100000000/LvacE(AA2106)</f>
        <v>32265.347741177498</v>
      </c>
      <c r="AD2106" s="10">
        <f t="shared" si="1344"/>
        <v>1.0206774032989516E-2</v>
      </c>
      <c r="AE2106" s="10" t="b">
        <f t="shared" si="1345"/>
        <v>1</v>
      </c>
      <c r="AP2106"/>
      <c r="AQ2106"/>
      <c r="AU2106" s="16" cm="1">
        <f t="array" ref="AU2106">$C2106*EXP(poly_from_str(100000000/$E2106,AU$4342))</f>
        <v>0</v>
      </c>
    </row>
    <row r="2107" spans="1:48" x14ac:dyDescent="0.25">
      <c r="A2107">
        <v>3098.348</v>
      </c>
      <c r="B2107" s="2" t="str">
        <f t="shared" si="1337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1342"/>
        <v>3098.348</v>
      </c>
      <c r="AB2107" s="3">
        <f t="shared" si="1343"/>
        <v>32265.9</v>
      </c>
      <c r="AC2107" s="3" cm="1">
        <f t="array" ref="AC2107">100000000/LvacE(AA2107)</f>
        <v>32265.899647074559</v>
      </c>
      <c r="AD2107" s="10">
        <f t="shared" si="1344"/>
        <v>1.0206952164036215E-2</v>
      </c>
      <c r="AE2107" s="10" t="b">
        <f t="shared" si="1345"/>
        <v>1</v>
      </c>
      <c r="AP2107"/>
      <c r="AQ2107"/>
      <c r="AU2107" s="16" cm="1">
        <f t="array" ref="AU2107">$C2107*EXP(poly_from_str(100000000/$E2107,AU$4342))</f>
        <v>0</v>
      </c>
    </row>
    <row r="2108" spans="1:48" x14ac:dyDescent="0.25">
      <c r="A2108">
        <v>3097.4520000000002</v>
      </c>
      <c r="B2108" s="2" t="str">
        <f t="shared" si="1337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1342"/>
        <v>3097.4520000000002</v>
      </c>
      <c r="AB2108" s="3">
        <f t="shared" si="1343"/>
        <v>32275.23</v>
      </c>
      <c r="AC2108" s="3" cm="1">
        <f t="array" ref="AC2108">100000000/LvacE(AA2108)</f>
        <v>32275.232839172357</v>
      </c>
      <c r="AD2108" s="10">
        <f t="shared" si="1344"/>
        <v>1.0209964971074993E-2</v>
      </c>
      <c r="AE2108" s="10" t="b">
        <f t="shared" si="1345"/>
        <v>1</v>
      </c>
      <c r="AJ2108" t="s">
        <v>4895</v>
      </c>
      <c r="AK2108" t="s">
        <v>4858</v>
      </c>
      <c r="AL2108">
        <v>33659.99</v>
      </c>
      <c r="AM2108">
        <v>65935.25</v>
      </c>
      <c r="AN2108" s="10" cm="1">
        <f t="array" ref="AN2108">Lair(100000000/($AM2108-$AL2108))</f>
        <v>3097.4493880736404</v>
      </c>
      <c r="AO2108" s="10">
        <f>100000000/($AM2108-$AL2108)</f>
        <v>3098.3483944048785</v>
      </c>
      <c r="AP2108" s="12">
        <v>156000000</v>
      </c>
      <c r="AQ2108" s="3">
        <v>0.48099999999999998</v>
      </c>
      <c r="AR2108" s="3">
        <f>LN(AU2108*100000000/($AM2108-$AL2108)/AP2108)</f>
        <v>-8.0046846756038299</v>
      </c>
      <c r="AS2108" s="13">
        <f>EXP(AR$4341*$AM2108+AR$4342)*$AP2108/(100000000/($AM2108-$AL2108))</f>
        <v>31.586527674985621</v>
      </c>
      <c r="AT2108" s="3">
        <f>LN(AS2108/$C2108)</f>
        <v>1.2555061129489766</v>
      </c>
      <c r="AU2108" s="16" cm="1">
        <f t="array" ref="AU2108">$C2108*EXP(poly_from_str(100000000/$E2108,AU$4342))</f>
        <v>16.811403184053248</v>
      </c>
      <c r="AV2108" s="13">
        <f>LN(AS2108/AU2108)</f>
        <v>0.63067327317446409</v>
      </c>
    </row>
    <row r="2109" spans="1:48" x14ac:dyDescent="0.25">
      <c r="A2109">
        <v>3097.4</v>
      </c>
      <c r="B2109" s="2" t="str">
        <f t="shared" si="1337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1342"/>
        <v>3097.4</v>
      </c>
      <c r="AB2109" s="3">
        <f t="shared" si="1343"/>
        <v>32275.77</v>
      </c>
      <c r="AC2109" s="3" cm="1">
        <f t="array" ref="AC2109">100000000/LvacE(AA2109)</f>
        <v>32275.774663412776</v>
      </c>
      <c r="AD2109" s="10">
        <f t="shared" si="1344"/>
        <v>1.0210139901758375E-2</v>
      </c>
      <c r="AE2109" s="10" t="b">
        <f t="shared" si="1345"/>
        <v>1</v>
      </c>
      <c r="AP2109"/>
      <c r="AQ2109"/>
      <c r="AU2109" s="16" cm="1">
        <f t="array" ref="AU2109">$C2109*EXP(poly_from_str(100000000/$E2109,AU$4342))</f>
        <v>0</v>
      </c>
    </row>
    <row r="2110" spans="1:48" x14ac:dyDescent="0.25">
      <c r="A2110">
        <v>3097.3589999999999</v>
      </c>
      <c r="B2110" s="2" t="str">
        <f t="shared" si="1337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1342"/>
        <v>3097.3589999999999</v>
      </c>
      <c r="AB2110" s="3">
        <f t="shared" si="1343"/>
        <v>32276.2</v>
      </c>
      <c r="AC2110" s="3" cm="1">
        <f t="array" ref="AC2110">100000000/LvacE(AA2110)</f>
        <v>32276.201883813235</v>
      </c>
      <c r="AD2110" s="10">
        <f t="shared" si="1344"/>
        <v>1.021027783408595E-2</v>
      </c>
      <c r="AE2110" s="10" t="b">
        <f t="shared" si="1345"/>
        <v>1</v>
      </c>
      <c r="AP2110"/>
      <c r="AQ2110"/>
      <c r="AU2110" s="16" cm="1">
        <f t="array" ref="AU2110">$C2110*EXP(poly_from_str(100000000/$E2110,AU$4342))</f>
        <v>0</v>
      </c>
    </row>
    <row r="2111" spans="1:48" x14ac:dyDescent="0.25">
      <c r="A2111">
        <v>3095.5880000000002</v>
      </c>
      <c r="B2111" s="2" t="str">
        <f t="shared" si="1337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2917</v>
      </c>
      <c r="T2111">
        <v>1</v>
      </c>
      <c r="AA2111" s="10">
        <f t="shared" si="1342"/>
        <v>3095.5880000000002</v>
      </c>
      <c r="AB2111" s="3">
        <f t="shared" si="1343"/>
        <v>32294.67</v>
      </c>
      <c r="AC2111" s="3" cm="1">
        <f t="array" ref="AC2111">100000000/LvacE(AA2111)</f>
        <v>32294.666522316846</v>
      </c>
      <c r="AD2111" s="10">
        <f t="shared" si="1344"/>
        <v>1.0216241069922232E-2</v>
      </c>
      <c r="AE2111" s="10" t="b">
        <f t="shared" si="1345"/>
        <v>1</v>
      </c>
      <c r="AP2111"/>
      <c r="AQ2111"/>
      <c r="AU2111" s="16" cm="1">
        <f t="array" ref="AU2111">$C2111*EXP(poly_from_str(100000000/$E2111,AU$4342))</f>
        <v>0</v>
      </c>
    </row>
    <row r="2112" spans="1:48" x14ac:dyDescent="0.25">
      <c r="A2112">
        <v>3095.5639999999999</v>
      </c>
      <c r="B2112" s="2" t="str">
        <f t="shared" si="1337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2918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1342"/>
        <v>3095.5639999999999</v>
      </c>
      <c r="AB2112" s="3">
        <f t="shared" si="1343"/>
        <v>32294.92</v>
      </c>
      <c r="AC2112" s="3" cm="1">
        <f t="array" ref="AC2112">100000000/LvacE(AA2112)</f>
        <v>32294.916894012651</v>
      </c>
      <c r="AD2112" s="10">
        <f t="shared" si="1344"/>
        <v>1.0216321951995283E-2</v>
      </c>
      <c r="AE2112" s="10" t="b">
        <f t="shared" si="1345"/>
        <v>1</v>
      </c>
      <c r="AJ2112" t="s">
        <v>4750</v>
      </c>
      <c r="AK2112" t="s">
        <v>4922</v>
      </c>
      <c r="AL2112">
        <v>38726.5</v>
      </c>
      <c r="AM2112">
        <v>71021.100000000006</v>
      </c>
      <c r="AN2112" s="10" cm="1">
        <f t="array" ref="AN2112">Lair(100000000/($AM2112-$AL2112))</f>
        <v>3095.5943715274466</v>
      </c>
      <c r="AO2112" s="10">
        <f>100000000/($AM2112-$AL2112)</f>
        <v>3096.4929121277237</v>
      </c>
      <c r="AP2112" s="12">
        <v>2730000</v>
      </c>
      <c r="AQ2112" s="3">
        <v>1.4999999999999999E-2</v>
      </c>
      <c r="AR2112" s="3"/>
      <c r="AS2112" s="13">
        <f>EXP(AR$4341*$AM2112+AR$4342)*$AP2112/(100000000/($AM2112-$AL2112))</f>
        <v>0.37760702882769315</v>
      </c>
      <c r="AT2112" s="3"/>
      <c r="AU2112" s="16" cm="1">
        <f t="array" ref="AU2112">$C2112*EXP(poly_from_str(100000000/$E2112,AU$4342))</f>
        <v>9.3514450252428247</v>
      </c>
    </row>
    <row r="2113" spans="1:48" x14ac:dyDescent="0.25">
      <c r="A2113">
        <v>3094.5349999999999</v>
      </c>
      <c r="B2113" s="2" t="str">
        <f t="shared" si="1337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1342"/>
        <v>3094.5349999999999</v>
      </c>
      <c r="AB2113" s="3">
        <f t="shared" si="1343"/>
        <v>32305.65</v>
      </c>
      <c r="AC2113" s="3" cm="1">
        <f t="array" ref="AC2113">100000000/LvacE(AA2113)</f>
        <v>32305.655232991685</v>
      </c>
      <c r="AD2113" s="10">
        <f t="shared" si="1344"/>
        <v>1.0219791541054098E-2</v>
      </c>
      <c r="AE2113" s="10" t="b">
        <f t="shared" si="1345"/>
        <v>1</v>
      </c>
      <c r="AP2113"/>
      <c r="AQ2113"/>
      <c r="AU2113" s="16" cm="1">
        <f t="array" ref="AU2113">$C2113*EXP(poly_from_str(100000000/$E2113,AU$4342))</f>
        <v>1.8715334400985573</v>
      </c>
    </row>
    <row r="2114" spans="1:48" x14ac:dyDescent="0.25">
      <c r="A2114" t="s">
        <v>2919</v>
      </c>
      <c r="B2114" s="2" t="str">
        <f t="shared" ref="B2114:B2177" si="1417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1342"/>
        <v>3092.71</v>
      </c>
      <c r="AB2114" s="3">
        <f t="shared" si="1343"/>
        <v>32324.720000000001</v>
      </c>
      <c r="AC2114" s="3" cm="1">
        <f t="array" ref="AC2114">100000000/LvacE(AA2114)</f>
        <v>32324.717965984019</v>
      </c>
      <c r="AD2114" s="10">
        <f t="shared" si="1344"/>
        <v>1.0225953607998167E-2</v>
      </c>
      <c r="AE2114" s="10" t="b">
        <f t="shared" si="1345"/>
        <v>1</v>
      </c>
      <c r="AP2114"/>
      <c r="AQ2114"/>
      <c r="AU2114" s="16" cm="1">
        <f t="array" ref="AU2114">$C2114*EXP(poly_from_str(100000000/$E2114,AU$4342))</f>
        <v>5.6210306521130171</v>
      </c>
    </row>
    <row r="2115" spans="1:48" x14ac:dyDescent="0.25">
      <c r="A2115" t="s">
        <v>2920</v>
      </c>
      <c r="B2115" s="2" t="str">
        <f t="shared" si="1417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1418">$G2115&amp;""</f>
        <v>e</v>
      </c>
      <c r="N2115" t="str">
        <f t="shared" ref="N2115:N2119" si="1419">$H2115&amp;""</f>
        <v>5/2</v>
      </c>
      <c r="O2115">
        <v>68978.55</v>
      </c>
      <c r="P2115" t="str">
        <f t="shared" ref="P2115:P2119" si="1420">$J2115&amp;""</f>
        <v>o</v>
      </c>
      <c r="Q2115" t="str">
        <f t="shared" ref="Q2115:Q2119" si="1421">$K2115&amp;""</f>
        <v>5/2</v>
      </c>
      <c r="R2115">
        <v>21</v>
      </c>
      <c r="AA2115" s="10">
        <f t="shared" ref="AA2115:AA2178" si="1422">ROUND($A2115,3)+0</f>
        <v>3092.5610000000001</v>
      </c>
      <c r="AB2115" s="3">
        <f t="shared" ref="AB2115:AB2178" si="1423">ROUND($E2115,2)+0</f>
        <v>32326.28</v>
      </c>
      <c r="AC2115" s="3" cm="1">
        <f t="array" ref="AC2115">100000000/LvacE(AA2115)</f>
        <v>32326.27531398557</v>
      </c>
      <c r="AD2115" s="10">
        <f t="shared" ref="AD2115:AD2178" si="1424">0.0005/$AA2115*AC2115+0.005</f>
        <v>1.0226457184512379E-2</v>
      </c>
      <c r="AE2115" s="10" t="b">
        <f t="shared" ref="AE2115:AE2178" si="1425">ABS(AB2115-AC2115)&lt;AD2115</f>
        <v>1</v>
      </c>
      <c r="AJ2115" t="s">
        <v>4771</v>
      </c>
      <c r="AK2115" t="s">
        <v>4918</v>
      </c>
      <c r="AL2115">
        <v>36652.29</v>
      </c>
      <c r="AM2115">
        <v>68978.55</v>
      </c>
      <c r="AN2115" s="10" cm="1">
        <f t="array" ref="AN2115">Lair(100000000/($AM2115-$AL2115))</f>
        <v>3092.562459917292</v>
      </c>
      <c r="AO2115" s="10">
        <f t="shared" ref="AO2115:AO2119" si="1426">100000000/($AM2115-$AL2115)</f>
        <v>3093.4602394461963</v>
      </c>
      <c r="AP2115" s="12">
        <v>12400000</v>
      </c>
      <c r="AQ2115" s="3">
        <v>0.112</v>
      </c>
      <c r="AR2115" s="3">
        <f t="shared" ref="AR2115:AR2116" si="1427">LN(AU2115*100000000/($AM2115-$AL2115)/AP2115)</f>
        <v>-6.0587292961449375</v>
      </c>
      <c r="AS2115" s="13">
        <f t="shared" ref="AS2115:AS2116" si="1428">EXP(AR$4341*$AM2115+AR$4342)*$AP2115/(100000000/($AM2115-$AL2115))</f>
        <v>2.0012265385014376</v>
      </c>
      <c r="AT2115" s="3">
        <f t="shared" ref="AT2115:AT2116" si="1429">LN(AS2115/$C2115)</f>
        <v>-0.91567765059617512</v>
      </c>
      <c r="AU2115" s="16" cm="1">
        <f t="array" ref="AU2115">$C2115*EXP(poly_from_str(100000000/$E2115,AU$4342))</f>
        <v>9.3692417749205639</v>
      </c>
      <c r="AV2115" s="13">
        <f t="shared" ref="AV2115:AV2116" si="1430">LN(AS2115/AU2115)</f>
        <v>-1.5436719106387591</v>
      </c>
    </row>
    <row r="2116" spans="1:48" x14ac:dyDescent="0.25">
      <c r="A2116" t="s">
        <v>2921</v>
      </c>
      <c r="B2116" s="2" t="str">
        <f t="shared" si="1417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1418"/>
        <v>e</v>
      </c>
      <c r="N2116" t="str">
        <f t="shared" si="1419"/>
        <v>5/2</v>
      </c>
      <c r="O2116">
        <v>66852.87</v>
      </c>
      <c r="P2116" t="str">
        <f t="shared" si="1420"/>
        <v>o</v>
      </c>
      <c r="Q2116" t="str">
        <f t="shared" si="1421"/>
        <v>7/2</v>
      </c>
      <c r="R2116">
        <v>21</v>
      </c>
      <c r="AA2116" s="10">
        <f t="shared" si="1422"/>
        <v>3091.9569999999999</v>
      </c>
      <c r="AB2116" s="3">
        <f t="shared" si="1423"/>
        <v>32332.59</v>
      </c>
      <c r="AC2116" s="3" cm="1">
        <f t="array" ref="AC2116">100000000/LvacE(AA2116)</f>
        <v>32332.58985932601</v>
      </c>
      <c r="AD2116" s="10">
        <f t="shared" si="1424"/>
        <v>1.0228499273975351E-2</v>
      </c>
      <c r="AE2116" s="10" t="b">
        <f t="shared" si="1425"/>
        <v>1</v>
      </c>
      <c r="AJ2116" t="s">
        <v>4722</v>
      </c>
      <c r="AK2116" t="s">
        <v>4830</v>
      </c>
      <c r="AL2116">
        <v>34520.269999999997</v>
      </c>
      <c r="AM2116">
        <v>66852.87</v>
      </c>
      <c r="AN2116" s="10" cm="1">
        <f t="array" ref="AN2116">Lair(100000000/($AM2116-$AL2116))</f>
        <v>3091.9560250289119</v>
      </c>
      <c r="AO2116" s="10">
        <f t="shared" si="1426"/>
        <v>3092.8536523508783</v>
      </c>
      <c r="AP2116" s="12">
        <v>5580000</v>
      </c>
      <c r="AQ2116" s="3">
        <v>6.8000000000000005E-2</v>
      </c>
      <c r="AR2116" s="3">
        <f t="shared" si="1427"/>
        <v>-4.9235785933667726</v>
      </c>
      <c r="AS2116" s="13">
        <f t="shared" si="1428"/>
        <v>1.0565132171565821</v>
      </c>
      <c r="AT2116" s="3">
        <f t="shared" si="1429"/>
        <v>-1.8909360807362776</v>
      </c>
      <c r="AU2116" s="16" cm="1">
        <f t="array" ref="AU2116">$C2116*EXP(poly_from_str(100000000/$E2116,AU$4342))</f>
        <v>13.121751658835736</v>
      </c>
      <c r="AV2116" s="13">
        <f t="shared" si="1430"/>
        <v>-2.5192972168671548</v>
      </c>
    </row>
    <row r="2117" spans="1:48" x14ac:dyDescent="0.25">
      <c r="A2117" t="s">
        <v>2922</v>
      </c>
      <c r="B2117" s="2" t="str">
        <f t="shared" si="1417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1418"/>
        <v>e</v>
      </c>
      <c r="N2117" t="str">
        <f t="shared" si="1419"/>
        <v>5/2</v>
      </c>
      <c r="O2117">
        <v>68987.070000000007</v>
      </c>
      <c r="P2117" t="str">
        <f t="shared" si="1420"/>
        <v>o</v>
      </c>
      <c r="Q2117" t="str">
        <f t="shared" si="1421"/>
        <v>7/2</v>
      </c>
      <c r="R2117">
        <v>21</v>
      </c>
      <c r="AA2117" s="10">
        <f t="shared" si="1422"/>
        <v>3091.7550000000001</v>
      </c>
      <c r="AB2117" s="3">
        <f t="shared" si="1423"/>
        <v>32334.7</v>
      </c>
      <c r="AC2117" s="3" cm="1">
        <f t="array" ref="AC2117">100000000/LvacE(AA2117)</f>
        <v>32334.702227969101</v>
      </c>
      <c r="AD2117" s="10">
        <f t="shared" si="1424"/>
        <v>1.0229182491492551E-2</v>
      </c>
      <c r="AE2117" s="10" t="b">
        <f t="shared" si="1425"/>
        <v>1</v>
      </c>
      <c r="AJ2117" t="s">
        <v>4771</v>
      </c>
      <c r="AK2117" t="s">
        <v>4920</v>
      </c>
      <c r="AL2117">
        <v>36652.29</v>
      </c>
      <c r="AM2117">
        <v>68987.070000000007</v>
      </c>
      <c r="AN2117" s="10" cm="1">
        <f t="array" ref="AN2117">Lair(100000000/($AM2117-$AL2117))</f>
        <v>3091.747558195932</v>
      </c>
      <c r="AO2117" s="10">
        <f t="shared" si="1426"/>
        <v>3092.6451331971325</v>
      </c>
      <c r="AU2117" s="16" cm="1">
        <f t="array" ref="AU2117">$C2117*EXP(poly_from_str(100000000/$E2117,AU$4342))</f>
        <v>5.6242912061255925</v>
      </c>
    </row>
    <row r="2118" spans="1:48" x14ac:dyDescent="0.25">
      <c r="A2118" t="s">
        <v>2923</v>
      </c>
      <c r="B2118" s="2" t="str">
        <f t="shared" si="1417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1418"/>
        <v>e</v>
      </c>
      <c r="N2118" t="str">
        <f t="shared" si="1419"/>
        <v>7/2</v>
      </c>
      <c r="O2118">
        <v>68978.55</v>
      </c>
      <c r="P2118" t="str">
        <f t="shared" si="1420"/>
        <v>o</v>
      </c>
      <c r="Q2118" t="str">
        <f t="shared" si="1421"/>
        <v>5/2</v>
      </c>
      <c r="R2118">
        <v>21</v>
      </c>
      <c r="AA2118" s="10">
        <f t="shared" si="1422"/>
        <v>3091.4270000000001</v>
      </c>
      <c r="AB2118" s="3">
        <f t="shared" si="1423"/>
        <v>32338.13</v>
      </c>
      <c r="AC2118" s="3" cm="1">
        <f t="array" ref="AC2118">100000000/LvacE(AA2118)</f>
        <v>32338.132800699372</v>
      </c>
      <c r="AD2118" s="10">
        <f t="shared" si="1424"/>
        <v>1.0230292159688611E-2</v>
      </c>
      <c r="AE2118" s="10" t="b">
        <f t="shared" si="1425"/>
        <v>1</v>
      </c>
      <c r="AJ2118" t="s">
        <v>4805</v>
      </c>
      <c r="AK2118" t="s">
        <v>4918</v>
      </c>
      <c r="AL2118">
        <v>36640.379999999997</v>
      </c>
      <c r="AM2118">
        <v>68978.55</v>
      </c>
      <c r="AN2118" s="10" cm="1">
        <f t="array" ref="AN2118">Lair(100000000/($AM2118-$AL2118))</f>
        <v>3091.4234385430655</v>
      </c>
      <c r="AO2118" s="10">
        <f t="shared" si="1426"/>
        <v>3092.3209321986983</v>
      </c>
      <c r="AP2118" s="12">
        <v>3020000</v>
      </c>
      <c r="AQ2118" s="3">
        <v>1.7999999999999999E-2</v>
      </c>
      <c r="AR2118" s="3"/>
      <c r="AS2118" s="13">
        <f t="shared" ref="AS2118:AS2119" si="1431">EXP(AR$4341*$AM2118+AR$4342)*$AP2118/(100000000/($AM2118-$AL2118))</f>
        <v>0.48757506733296541</v>
      </c>
      <c r="AT2118" s="3"/>
      <c r="AU2118" s="16" cm="1">
        <f t="array" ref="AU2118">$C2118*EXP(poly_from_str(100000000/$E2118,AU$4342))</f>
        <v>11.250790368337036</v>
      </c>
    </row>
    <row r="2119" spans="1:48" x14ac:dyDescent="0.25">
      <c r="A2119" t="s">
        <v>2924</v>
      </c>
      <c r="B2119" s="2" t="str">
        <f t="shared" si="1417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1418"/>
        <v>e</v>
      </c>
      <c r="N2119" t="str">
        <f t="shared" si="1419"/>
        <v>7/2</v>
      </c>
      <c r="O2119">
        <v>68987.070000000007</v>
      </c>
      <c r="P2119" t="str">
        <f t="shared" si="1420"/>
        <v>o</v>
      </c>
      <c r="Q2119" t="str">
        <f t="shared" si="1421"/>
        <v>7/2</v>
      </c>
      <c r="R2119">
        <v>21</v>
      </c>
      <c r="AA2119" s="10">
        <f t="shared" si="1422"/>
        <v>3090.6109999999999</v>
      </c>
      <c r="AB2119" s="3">
        <f t="shared" si="1423"/>
        <v>32346.67</v>
      </c>
      <c r="AC2119" s="3" cm="1">
        <f t="array" ref="AC2119">100000000/LvacE(AA2119)</f>
        <v>32346.670555165805</v>
      </c>
      <c r="AD2119" s="10">
        <f t="shared" si="1424"/>
        <v>1.0233054330545936E-2</v>
      </c>
      <c r="AE2119" s="10" t="b">
        <f t="shared" si="1425"/>
        <v>1</v>
      </c>
      <c r="AJ2119" t="s">
        <v>4805</v>
      </c>
      <c r="AK2119" t="s">
        <v>4920</v>
      </c>
      <c r="AL2119">
        <v>36640.379999999997</v>
      </c>
      <c r="AM2119">
        <v>68987.070000000007</v>
      </c>
      <c r="AN2119" s="10" cm="1">
        <f t="array" ref="AN2119">Lair(100000000/($AM2119-$AL2119))</f>
        <v>3090.6091368640004</v>
      </c>
      <c r="AO2119" s="10">
        <f t="shared" si="1426"/>
        <v>3091.5064261598318</v>
      </c>
      <c r="AP2119" s="12">
        <v>2820000</v>
      </c>
      <c r="AQ2119" s="3">
        <v>0.01</v>
      </c>
      <c r="AR2119" s="3"/>
      <c r="AS2119" s="13">
        <f t="shared" si="1431"/>
        <v>0.45511418752908689</v>
      </c>
      <c r="AT2119" s="3"/>
      <c r="AU2119" s="16" cm="1">
        <f t="array" ref="AU2119">$C2119*EXP(poly_from_str(100000000/$E2119,AU$4342))</f>
        <v>11.256213714164772</v>
      </c>
    </row>
    <row r="2120" spans="1:48" x14ac:dyDescent="0.25">
      <c r="A2120" t="s">
        <v>2925</v>
      </c>
      <c r="B2120" s="2" t="str">
        <f t="shared" si="1417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1422"/>
        <v>3089.06</v>
      </c>
      <c r="AB2120" s="3">
        <f t="shared" si="1423"/>
        <v>32362.91</v>
      </c>
      <c r="AC2120" s="3" cm="1">
        <f t="array" ref="AC2120">100000000/LvacE(AA2120)</f>
        <v>32362.911000317868</v>
      </c>
      <c r="AD2120" s="10">
        <f t="shared" si="1424"/>
        <v>1.0238310521698813E-2</v>
      </c>
      <c r="AE2120" s="10" t="b">
        <f t="shared" si="1425"/>
        <v>1</v>
      </c>
      <c r="AP2120"/>
      <c r="AQ2120"/>
      <c r="AU2120" s="16" cm="1">
        <f t="array" ref="AU2120">$C2120*EXP(poly_from_str(100000000/$E2120,AU$4342))</f>
        <v>7.5108234569137924</v>
      </c>
    </row>
    <row r="2121" spans="1:48" x14ac:dyDescent="0.25">
      <c r="A2121" t="s">
        <v>2926</v>
      </c>
      <c r="B2121" s="2" t="str">
        <f t="shared" si="1417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1432">$G2121&amp;""</f>
        <v>e</v>
      </c>
      <c r="N2121" t="str">
        <f t="shared" ref="N2121:N2123" si="1433">$H2121&amp;""</f>
        <v>7/2</v>
      </c>
      <c r="O2121">
        <v>67395.320000000007</v>
      </c>
      <c r="P2121" t="str">
        <f t="shared" ref="P2121:P2123" si="1434">$J2121&amp;""</f>
        <v>o</v>
      </c>
      <c r="Q2121" t="str">
        <f t="shared" ref="Q2121:Q2123" si="1435">$K2121&amp;""</f>
        <v>5/2</v>
      </c>
      <c r="R2121">
        <v>21</v>
      </c>
      <c r="AA2121" s="10">
        <f t="shared" si="1422"/>
        <v>3088.3040000000001</v>
      </c>
      <c r="AB2121" s="3">
        <f t="shared" si="1423"/>
        <v>32370.83</v>
      </c>
      <c r="AC2121" s="3" cm="1">
        <f t="array" ref="AC2121">100000000/LvacE(AA2121)</f>
        <v>32370.832952319051</v>
      </c>
      <c r="AD2121" s="10">
        <f t="shared" si="1424"/>
        <v>1.0240875404804554E-2</v>
      </c>
      <c r="AE2121" s="10" t="b">
        <f t="shared" si="1425"/>
        <v>1</v>
      </c>
      <c r="AJ2121" t="s">
        <v>4770</v>
      </c>
      <c r="AK2121" t="s">
        <v>4894</v>
      </c>
      <c r="AL2121">
        <v>35024.49</v>
      </c>
      <c r="AM2121">
        <v>67395.320000000007</v>
      </c>
      <c r="AN2121" s="10" cm="1">
        <f t="array" ref="AN2121">Lair(100000000/($AM2121-$AL2121))</f>
        <v>3088.3042765044315</v>
      </c>
      <c r="AO2121" s="10">
        <f t="shared" ref="AO2121:AO2123" si="1436">100000000/($AM2121-$AL2121)</f>
        <v>3089.200987432203</v>
      </c>
      <c r="AP2121" s="12">
        <v>21400000</v>
      </c>
      <c r="AQ2121" s="3">
        <v>6.2E-2</v>
      </c>
      <c r="AR2121" s="3">
        <f>LN(AU2121*100000000/($AM2121-$AL2121)/AP2121)</f>
        <v>-6.015537019540524</v>
      </c>
      <c r="AS2121" s="13">
        <f>EXP(AR$4341*$AM2121+AR$4342)*$AP2121/(100000000/($AM2121-$AL2121))</f>
        <v>3.8948251932119073</v>
      </c>
      <c r="AT2121" s="3">
        <f>LN(AS2121/$C2121)</f>
        <v>-0.83757577881218725</v>
      </c>
      <c r="AU2121" s="16" cm="1">
        <f t="array" ref="AU2121">$C2121*EXP(poly_from_str(100000000/$E2121,AU$4342))</f>
        <v>16.906475329178967</v>
      </c>
      <c r="AV2121" s="13">
        <f>LN(AS2121/AU2121)</f>
        <v>-1.4680479055923639</v>
      </c>
    </row>
    <row r="2122" spans="1:48" x14ac:dyDescent="0.25">
      <c r="A2122" t="s">
        <v>2927</v>
      </c>
      <c r="B2122" s="2" t="str">
        <f t="shared" si="1417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1432"/>
        <v>e</v>
      </c>
      <c r="N2122" t="str">
        <f t="shared" si="1433"/>
        <v>7/2</v>
      </c>
      <c r="O2122">
        <v>67398.789999999994</v>
      </c>
      <c r="P2122" t="str">
        <f t="shared" si="1434"/>
        <v>o</v>
      </c>
      <c r="Q2122" t="str">
        <f t="shared" si="1435"/>
        <v>9/2</v>
      </c>
      <c r="R2122">
        <v>21</v>
      </c>
      <c r="AA2122" s="10">
        <f t="shared" si="1422"/>
        <v>3087.9740000000002</v>
      </c>
      <c r="AB2122" s="3">
        <f t="shared" si="1423"/>
        <v>32374.29</v>
      </c>
      <c r="AC2122" s="3" cm="1">
        <f t="array" ref="AC2122">100000000/LvacE(AA2122)</f>
        <v>32374.292163288534</v>
      </c>
      <c r="AD2122" s="10">
        <f t="shared" si="1424"/>
        <v>1.0241995587282882E-2</v>
      </c>
      <c r="AE2122" s="10" t="b">
        <f t="shared" si="1425"/>
        <v>1</v>
      </c>
      <c r="AJ2122" t="s">
        <v>4770</v>
      </c>
      <c r="AK2122" t="s">
        <v>4863</v>
      </c>
      <c r="AL2122">
        <v>35024.49</v>
      </c>
      <c r="AM2122">
        <v>67398.789999999994</v>
      </c>
      <c r="AN2122" s="10" cm="1">
        <f t="array" ref="AN2122">Lair(100000000/($AM2122-$AL2122))</f>
        <v>3087.9732473093409</v>
      </c>
      <c r="AO2122" s="10">
        <f t="shared" si="1436"/>
        <v>3088.8698751787688</v>
      </c>
      <c r="AU2122" s="16" cm="1">
        <f t="array" ref="AU2122">$C2122*EXP(poly_from_str(100000000/$E2122,AU$4342))</f>
        <v>5.6365146681638434</v>
      </c>
    </row>
    <row r="2123" spans="1:48" x14ac:dyDescent="0.25">
      <c r="A2123" s="4">
        <v>3087.1750000000002</v>
      </c>
      <c r="B2123" s="2" t="str">
        <f t="shared" si="1417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1432"/>
        <v>e</v>
      </c>
      <c r="N2123" t="str">
        <f t="shared" si="1433"/>
        <v>3/2</v>
      </c>
      <c r="O2123">
        <v>84409.93</v>
      </c>
      <c r="P2123" t="str">
        <f t="shared" si="1434"/>
        <v>o</v>
      </c>
      <c r="Q2123" t="str">
        <f t="shared" si="1435"/>
        <v>3/2</v>
      </c>
      <c r="R2123">
        <v>21</v>
      </c>
      <c r="S2123" s="4" t="s">
        <v>2928</v>
      </c>
      <c r="T2123">
        <v>1</v>
      </c>
      <c r="U2123" s="4" t="s">
        <v>4670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1422"/>
        <v>3087.1750000000002</v>
      </c>
      <c r="AB2123" s="3">
        <f t="shared" si="1423"/>
        <v>32382.67</v>
      </c>
      <c r="AC2123" s="3" cm="1">
        <f t="array" ref="AC2123">100000000/LvacE(AA2123)</f>
        <v>32382.670709576902</v>
      </c>
      <c r="AD2123" s="10">
        <f t="shared" si="1424"/>
        <v>1.0244709274591965E-2</v>
      </c>
      <c r="AE2123" s="10" t="b">
        <f t="shared" si="1425"/>
        <v>1</v>
      </c>
      <c r="AF2123" s="10"/>
      <c r="AG2123" s="10"/>
      <c r="AH2123" s="10"/>
      <c r="AI2123" s="10"/>
      <c r="AJ2123" t="s">
        <v>4777</v>
      </c>
      <c r="AK2123" t="s">
        <v>4930</v>
      </c>
      <c r="AL2123">
        <v>52026.9</v>
      </c>
      <c r="AM2123">
        <v>84409.93</v>
      </c>
      <c r="AN2123" s="10" cm="1">
        <f t="array" ref="AN2123">Lair(100000000/($AM2123-$AL2123))</f>
        <v>3087.140741209083</v>
      </c>
      <c r="AO2123" s="10">
        <f t="shared" si="1436"/>
        <v>3088.0371602039718</v>
      </c>
      <c r="AP2123" s="12">
        <v>1730000</v>
      </c>
      <c r="AQ2123" s="3">
        <v>5.0000000000000001E-3</v>
      </c>
      <c r="AR2123" s="3"/>
      <c r="AS2123" s="13">
        <f>EXP(AR$4341*$AM2123+AR$4342)*$AP2123/(100000000/($AM2123-$AL2123))</f>
        <v>8.7849052076094919E-2</v>
      </c>
      <c r="AT2123" s="3"/>
      <c r="AU2123" s="16" cm="1">
        <f t="array" ref="AU2123">$C2123*EXP(poly_from_str(100000000/$E2123,AU$4342))</f>
        <v>1.8796519910731266</v>
      </c>
    </row>
    <row r="2124" spans="1:48" x14ac:dyDescent="0.25">
      <c r="A2124" t="s">
        <v>2929</v>
      </c>
      <c r="B2124" s="2" t="str">
        <f t="shared" si="1417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1422"/>
        <v>3084.9870000000001</v>
      </c>
      <c r="AB2124" s="3">
        <f t="shared" si="1423"/>
        <v>32405.64</v>
      </c>
      <c r="AC2124" s="3" cm="1">
        <f t="array" ref="AC2124">100000000/LvacE(AA2124)</f>
        <v>32405.63692740264</v>
      </c>
      <c r="AD2124" s="10">
        <f t="shared" si="1424"/>
        <v>1.0252151293895669E-2</v>
      </c>
      <c r="AE2124" s="10" t="b">
        <f t="shared" si="1425"/>
        <v>1</v>
      </c>
      <c r="AP2124"/>
      <c r="AQ2124"/>
      <c r="AU2124" s="16" cm="1">
        <f t="array" ref="AU2124">$C2124*EXP(poly_from_str(100000000/$E2124,AU$4342))</f>
        <v>7.5271803818797949</v>
      </c>
    </row>
    <row r="2125" spans="1:48" x14ac:dyDescent="0.25">
      <c r="A2125" t="s">
        <v>2930</v>
      </c>
      <c r="B2125" s="2" t="str">
        <f t="shared" si="1417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1422"/>
        <v>3084.11</v>
      </c>
      <c r="AB2125" s="3">
        <f t="shared" si="1423"/>
        <v>32414.85</v>
      </c>
      <c r="AC2125" s="3" cm="1">
        <f t="array" ref="AC2125">100000000/LvacE(AA2125)</f>
        <v>32414.851455844782</v>
      </c>
      <c r="AD2125" s="10">
        <f t="shared" si="1424"/>
        <v>1.0255138671423001E-2</v>
      </c>
      <c r="AE2125" s="10" t="b">
        <f t="shared" si="1425"/>
        <v>1</v>
      </c>
      <c r="AJ2125" t="s">
        <v>4761</v>
      </c>
      <c r="AK2125" t="s">
        <v>4852</v>
      </c>
      <c r="AL2125">
        <v>34825.49</v>
      </c>
      <c r="AM2125">
        <v>67240.350000000006</v>
      </c>
      <c r="AN2125" s="10" cm="1">
        <f t="array" ref="AN2125">Lair(100000000/($AM2125-$AL2125))</f>
        <v>3084.1091818813507</v>
      </c>
      <c r="AO2125" s="10">
        <f>100000000/($AM2125-$AL2125)</f>
        <v>3085.0048403725937</v>
      </c>
      <c r="AP2125" s="12">
        <v>39400000</v>
      </c>
      <c r="AQ2125" s="3">
        <v>3.7999999999999999E-2</v>
      </c>
      <c r="AR2125" s="3"/>
      <c r="AS2125" s="13">
        <f>EXP(AR$4341*$AM2125+AR$4342)*$AP2125/(100000000/($AM2125-$AL2125))</f>
        <v>7.2645978436268042</v>
      </c>
      <c r="AT2125" s="3"/>
      <c r="AU2125" s="16" cm="1">
        <f t="array" ref="AU2125">$C2125*EXP(poly_from_str(100000000/$E2125,AU$4342))</f>
        <v>15.060946608698769</v>
      </c>
    </row>
    <row r="2126" spans="1:48" x14ac:dyDescent="0.25">
      <c r="A2126" t="s">
        <v>2931</v>
      </c>
      <c r="B2126" s="2" t="str">
        <f t="shared" si="1417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1422"/>
        <v>3084.0770000000002</v>
      </c>
      <c r="AB2126" s="3">
        <f t="shared" si="1423"/>
        <v>32415.200000000001</v>
      </c>
      <c r="AC2126" s="3" cm="1">
        <f t="array" ref="AC2126">100000000/LvacE(AA2126)</f>
        <v>32415.198284984257</v>
      </c>
      <c r="AD2126" s="10">
        <f t="shared" si="1424"/>
        <v>1.0255251131048974E-2</v>
      </c>
      <c r="AE2126" s="10" t="b">
        <f t="shared" si="1425"/>
        <v>1</v>
      </c>
      <c r="AP2126"/>
      <c r="AQ2126"/>
      <c r="AU2126" s="16" cm="1">
        <f t="array" ref="AU2126">$C2126*EXP(poly_from_str(100000000/$E2126,AU$4342))</f>
        <v>0</v>
      </c>
    </row>
    <row r="2127" spans="1:48" x14ac:dyDescent="0.25">
      <c r="A2127" t="s">
        <v>2932</v>
      </c>
      <c r="B2127" s="2" t="str">
        <f t="shared" si="1417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1422"/>
        <v>3083.3560000000002</v>
      </c>
      <c r="AB2127" s="3">
        <f t="shared" si="1423"/>
        <v>32422.78</v>
      </c>
      <c r="AC2127" s="3" cm="1">
        <f t="array" ref="AC2127">100000000/LvacE(AA2127)</f>
        <v>32422.777829094834</v>
      </c>
      <c r="AD2127" s="10">
        <f t="shared" si="1424"/>
        <v>1.02577091048025E-2</v>
      </c>
      <c r="AE2127" s="10" t="b">
        <f t="shared" si="1425"/>
        <v>1</v>
      </c>
      <c r="AJ2127" t="s">
        <v>4722</v>
      </c>
      <c r="AK2127" t="s">
        <v>4847</v>
      </c>
      <c r="AL2127">
        <v>34520.269999999997</v>
      </c>
      <c r="AM2127">
        <v>66943.039999999994</v>
      </c>
      <c r="AN2127" s="10" cm="1">
        <f t="array" ref="AN2127">Lair(100000000/($AM2127-$AL2127))</f>
        <v>3083.3567394140709</v>
      </c>
      <c r="AO2127" s="10">
        <f>100000000/($AM2127-$AL2127)</f>
        <v>3084.2522091727515</v>
      </c>
      <c r="AP2127" s="12">
        <v>16000000</v>
      </c>
      <c r="AQ2127" s="3">
        <v>8.1000000000000003E-2</v>
      </c>
      <c r="AR2127" s="3">
        <f>LN(AU2127*100000000/($AM2127-$AL2127)/AP2127)</f>
        <v>-5.7237790171684422</v>
      </c>
      <c r="AS2127" s="13">
        <f>EXP(AR$4341*$AM2127+AR$4342)*$AP2127/(100000000/($AM2127-$AL2127))</f>
        <v>3.0173893153474021</v>
      </c>
      <c r="AT2127" s="3">
        <f>LN(AS2127/$C2127)</f>
        <v>-1.0928325849316423</v>
      </c>
      <c r="AU2127" s="16" cm="1">
        <f t="array" ref="AU2127">$C2127*EXP(poly_from_str(100000000/$E2127,AU$4342))</f>
        <v>16.949795211037518</v>
      </c>
      <c r="AV2127" s="13">
        <f>LN(AS2127/AU2127)</f>
        <v>-1.7258637594042059</v>
      </c>
    </row>
    <row r="2128" spans="1:48" x14ac:dyDescent="0.25">
      <c r="A2128" t="s">
        <v>2933</v>
      </c>
      <c r="B2128" s="2" t="str">
        <f t="shared" si="1417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1422"/>
        <v>3083.0410000000002</v>
      </c>
      <c r="AB2128" s="3">
        <f t="shared" si="1423"/>
        <v>32426.09</v>
      </c>
      <c r="AC2128" s="3" cm="1">
        <f t="array" ref="AC2128">100000000/LvacE(AA2128)</f>
        <v>32426.090393081962</v>
      </c>
      <c r="AD2128" s="10">
        <f t="shared" si="1424"/>
        <v>1.0258783518137119E-2</v>
      </c>
      <c r="AE2128" s="10" t="b">
        <f t="shared" si="1425"/>
        <v>1</v>
      </c>
      <c r="AP2128"/>
      <c r="AQ2128"/>
      <c r="AU2128" s="16" cm="1">
        <f t="array" ref="AU2128">$C2128*EXP(poly_from_str(100000000/$E2128,AU$4342))</f>
        <v>13.185164922887347</v>
      </c>
    </row>
    <row r="2129" spans="1:48" x14ac:dyDescent="0.25">
      <c r="A2129" t="s">
        <v>2934</v>
      </c>
      <c r="B2129" s="2" t="str">
        <f t="shared" si="1417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1422"/>
        <v>3082.9740000000002</v>
      </c>
      <c r="AB2129" s="3">
        <f t="shared" si="1423"/>
        <v>32426.79</v>
      </c>
      <c r="AC2129" s="3" cm="1">
        <f t="array" ref="AC2129">100000000/LvacE(AA2129)</f>
        <v>32426.79505747955</v>
      </c>
      <c r="AD2129" s="10">
        <f t="shared" si="1424"/>
        <v>1.0259012086621482E-2</v>
      </c>
      <c r="AE2129" s="10" t="b">
        <f t="shared" si="1425"/>
        <v>1</v>
      </c>
      <c r="AP2129"/>
      <c r="AQ2129"/>
      <c r="AU2129" s="16" cm="1">
        <f t="array" ref="AU2129">$C2129*EXP(poly_from_str(100000000/$E2129,AU$4342))</f>
        <v>15.069238348596476</v>
      </c>
    </row>
    <row r="2130" spans="1:48" x14ac:dyDescent="0.25">
      <c r="A2130" t="s">
        <v>2935</v>
      </c>
      <c r="B2130" s="2" t="str">
        <f t="shared" si="1417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1422"/>
        <v>3082.152</v>
      </c>
      <c r="AB2130" s="3">
        <f t="shared" si="1423"/>
        <v>32435.439999999999</v>
      </c>
      <c r="AC2130" s="3" cm="1">
        <f t="array" ref="AC2130">100000000/LvacE(AA2130)</f>
        <v>32435.442836503909</v>
      </c>
      <c r="AD2130" s="10">
        <f t="shared" si="1424"/>
        <v>1.0261817528224422E-2</v>
      </c>
      <c r="AE2130" s="10" t="b">
        <f t="shared" si="1425"/>
        <v>1</v>
      </c>
      <c r="AP2130"/>
      <c r="AQ2130"/>
      <c r="AU2130" s="16" cm="1">
        <f t="array" ref="AU2130">$C2130*EXP(poly_from_str(100000000/$E2130,AU$4342))</f>
        <v>5.6531518002984651</v>
      </c>
    </row>
    <row r="2131" spans="1:48" x14ac:dyDescent="0.25">
      <c r="A2131" t="s">
        <v>2936</v>
      </c>
      <c r="B2131" s="2" t="str">
        <f t="shared" si="1417"/>
        <v/>
      </c>
      <c r="C2131">
        <v>9</v>
      </c>
      <c r="D2131" t="s">
        <v>1156</v>
      </c>
      <c r="E2131">
        <v>32436.26</v>
      </c>
      <c r="R2131">
        <v>21</v>
      </c>
      <c r="S2131" t="s">
        <v>22</v>
      </c>
      <c r="AA2131" s="10">
        <f t="shared" si="1422"/>
        <v>3082.0740000000001</v>
      </c>
      <c r="AB2131" s="3">
        <f t="shared" si="1423"/>
        <v>32436.26</v>
      </c>
      <c r="AC2131" s="3" cm="1">
        <f t="array" ref="AC2131">100000000/LvacE(AA2131)</f>
        <v>32436.263668279698</v>
      </c>
      <c r="AD2131" s="10">
        <f t="shared" si="1424"/>
        <v>1.0262083854618628E-2</v>
      </c>
      <c r="AE2131" s="10" t="b">
        <f t="shared" si="1425"/>
        <v>1</v>
      </c>
      <c r="AP2131"/>
      <c r="AQ2131"/>
      <c r="AU2131" s="16" cm="1">
        <f t="array" ref="AU2131">$C2131*EXP(poly_from_str(100000000/$E2131,AU$4342))</f>
        <v>16.960068952252854</v>
      </c>
    </row>
    <row r="2132" spans="1:48" x14ac:dyDescent="0.25">
      <c r="A2132" t="s">
        <v>2937</v>
      </c>
      <c r="B2132" s="2" t="str">
        <f t="shared" si="1417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1422"/>
        <v>3080.2640000000001</v>
      </c>
      <c r="AB2132" s="3">
        <f t="shared" si="1423"/>
        <v>32455.32</v>
      </c>
      <c r="AC2132" s="3" cm="1">
        <f t="array" ref="AC2132">100000000/LvacE(AA2132)</f>
        <v>32455.322848941258</v>
      </c>
      <c r="AD2132" s="10">
        <f t="shared" si="1424"/>
        <v>1.0268269675739038E-2</v>
      </c>
      <c r="AE2132" s="10" t="b">
        <f t="shared" si="1425"/>
        <v>1</v>
      </c>
      <c r="AP2132"/>
      <c r="AQ2132"/>
      <c r="AU2132" s="16" cm="1">
        <f t="array" ref="AU2132">$C2132*EXP(poly_from_str(100000000/$E2132,AU$4342))</f>
        <v>0</v>
      </c>
    </row>
    <row r="2133" spans="1:48" x14ac:dyDescent="0.25">
      <c r="A2133" t="s">
        <v>2938</v>
      </c>
      <c r="B2133" s="2" t="str">
        <f t="shared" si="1417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1422"/>
        <v>3080.2359999999999</v>
      </c>
      <c r="AB2133" s="3">
        <f t="shared" si="1423"/>
        <v>32455.62</v>
      </c>
      <c r="AC2133" s="3" cm="1">
        <f t="array" ref="AC2133">100000000/LvacE(AA2133)</f>
        <v>32455.61786301517</v>
      </c>
      <c r="AD2133" s="10">
        <f t="shared" si="1424"/>
        <v>1.0268365453656014E-2</v>
      </c>
      <c r="AE2133" s="10" t="b">
        <f t="shared" si="1425"/>
        <v>1</v>
      </c>
      <c r="AP2133"/>
      <c r="AQ2133"/>
      <c r="AU2133" s="16" cm="1">
        <f t="array" ref="AU2133">$C2133*EXP(poly_from_str(100000000/$E2133,AU$4342))</f>
        <v>0</v>
      </c>
    </row>
    <row r="2134" spans="1:48" x14ac:dyDescent="0.25">
      <c r="A2134" t="s">
        <v>2939</v>
      </c>
      <c r="B2134" s="2" t="str">
        <f t="shared" si="1417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1422"/>
        <v>3080.203</v>
      </c>
      <c r="AB2134" s="3">
        <f t="shared" si="1423"/>
        <v>32455.97</v>
      </c>
      <c r="AC2134" s="3" cm="1">
        <f t="array" ref="AC2134">100000000/LvacE(AA2134)</f>
        <v>32455.965565058945</v>
      </c>
      <c r="AD2134" s="10">
        <f t="shared" si="1424"/>
        <v>1.0268478338125595E-2</v>
      </c>
      <c r="AE2134" s="10" t="b">
        <f t="shared" si="1425"/>
        <v>1</v>
      </c>
      <c r="AJ2134" t="s">
        <v>4774</v>
      </c>
      <c r="AK2134" t="s">
        <v>4833</v>
      </c>
      <c r="AL2134">
        <v>33466.410000000003</v>
      </c>
      <c r="AM2134">
        <v>65922.42</v>
      </c>
      <c r="AN2134" s="10" cm="1">
        <f t="array" ref="AN2134">Lair(100000000/($AM2134-$AL2134))</f>
        <v>3080.1987776439569</v>
      </c>
      <c r="AO2134" s="10">
        <f>100000000/($AM2134-$AL2134)</f>
        <v>3081.093455418581</v>
      </c>
      <c r="AP2134" s="12">
        <v>1850000000</v>
      </c>
      <c r="AQ2134" s="3">
        <v>0.872</v>
      </c>
      <c r="AR2134" s="3">
        <f>LN(AU2134*100000000/($AM2134-$AL2134)/AP2134)</f>
        <v>-7.660296287052649</v>
      </c>
      <c r="AS2134" s="13">
        <f>EXP(AR$4341*$AM2134+AR$4342)*$AP2134/(100000000/($AM2134-$AL2134))</f>
        <v>377.04445285527987</v>
      </c>
      <c r="AT2134" s="3">
        <f>LN(AS2134/$C2134)</f>
        <v>0.92172779848364228</v>
      </c>
      <c r="AU2134" s="16" cm="1">
        <f t="array" ref="AU2134">$C2134*EXP(poly_from_str(100000000/$E2134,AU$4342))</f>
        <v>282.90618984044289</v>
      </c>
      <c r="AV2134" s="13">
        <f>LN(AS2134/AU2134)</f>
        <v>0.28724773455259162</v>
      </c>
    </row>
    <row r="2135" spans="1:48" x14ac:dyDescent="0.25">
      <c r="A2135" t="s">
        <v>2940</v>
      </c>
      <c r="B2135" s="2" t="str">
        <f t="shared" si="1417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1422"/>
        <v>3079.0790000000002</v>
      </c>
      <c r="AB2135" s="3">
        <f t="shared" si="1423"/>
        <v>32467.81</v>
      </c>
      <c r="AC2135" s="3" cm="1">
        <f t="array" ref="AC2135">100000000/LvacE(AA2135)</f>
        <v>32467.812957215952</v>
      </c>
      <c r="AD2135" s="10">
        <f t="shared" si="1424"/>
        <v>1.0272325418934681E-2</v>
      </c>
      <c r="AE2135" s="10" t="b">
        <f t="shared" si="1425"/>
        <v>1</v>
      </c>
      <c r="AP2135"/>
      <c r="AQ2135"/>
      <c r="AU2135" s="16" cm="1">
        <f t="array" ref="AU2135">$C2135*EXP(poly_from_str(100000000/$E2135,AU$4342))</f>
        <v>0</v>
      </c>
    </row>
    <row r="2136" spans="1:48" x14ac:dyDescent="0.25">
      <c r="A2136" t="s">
        <v>2941</v>
      </c>
      <c r="B2136" s="2" t="str">
        <f t="shared" si="1417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1437">$G2136&amp;""</f>
        <v>e</v>
      </c>
      <c r="N2136" t="str">
        <f t="shared" ref="N2136:N2137" si="1438">$H2136&amp;""</f>
        <v>3/2</v>
      </c>
      <c r="O2136">
        <v>78312.91</v>
      </c>
      <c r="P2136" t="str">
        <f t="shared" ref="P2136:P2137" si="1439">$J2136&amp;""</f>
        <v>o</v>
      </c>
      <c r="Q2136" t="str">
        <f t="shared" ref="Q2136:Q2137" si="1440">$K2136&amp;""</f>
        <v>1/2</v>
      </c>
      <c r="R2136">
        <v>21</v>
      </c>
      <c r="AA2136" s="10">
        <f t="shared" si="1422"/>
        <v>3079.0390000000002</v>
      </c>
      <c r="AB2136" s="3">
        <f t="shared" si="1423"/>
        <v>32468.23</v>
      </c>
      <c r="AC2136" s="3" cm="1">
        <f t="array" ref="AC2136">100000000/LvacE(AA2136)</f>
        <v>32468.234731971705</v>
      </c>
      <c r="AD2136" s="10">
        <f t="shared" si="1424"/>
        <v>1.027246240336217E-2</v>
      </c>
      <c r="AE2136" s="10" t="b">
        <f t="shared" si="1425"/>
        <v>1</v>
      </c>
      <c r="AJ2136" t="s">
        <v>4971</v>
      </c>
      <c r="AK2136" t="s">
        <v>4872</v>
      </c>
      <c r="AL2136">
        <v>45844.65</v>
      </c>
      <c r="AM2136">
        <v>78312.91</v>
      </c>
      <c r="AN2136" s="10" cm="1">
        <f t="array" ref="AN2136">Lair(100000000/($AM2136-$AL2136))</f>
        <v>3079.0365985467856</v>
      </c>
      <c r="AO2136" s="10">
        <f t="shared" ref="AO2136:AO2137" si="1441">100000000/($AM2136-$AL2136)</f>
        <v>3079.9309849064898</v>
      </c>
      <c r="AP2136" s="12">
        <v>436000000</v>
      </c>
      <c r="AQ2136" s="3">
        <v>0.80200000000000005</v>
      </c>
      <c r="AR2136" s="3">
        <f t="shared" ref="AR2136:AR2137" si="1442">LN(AU2136*100000000/($AM2136-$AL2136)/AP2136)</f>
        <v>-9.0282871445131399</v>
      </c>
      <c r="AS2136" s="13">
        <f t="shared" ref="AS2136:AS2137" si="1443">EXP(AR$4341*$AM2136+AR$4342)*$AP2136/(100000000/($AM2136-$AL2136))</f>
        <v>35.078052595507188</v>
      </c>
      <c r="AT2136" s="3">
        <f t="shared" ref="AT2136:AT2137" si="1444">LN(AS2136/$C2136)</f>
        <v>1.3603510753858878</v>
      </c>
      <c r="AU2136" s="16" cm="1">
        <f t="array" ref="AU2136">$C2136*EXP(poly_from_str(100000000/$E2136,AU$4342))</f>
        <v>16.982836027529611</v>
      </c>
      <c r="AV2136" s="13">
        <f t="shared" ref="AV2136:AV2137" si="1445">LN(AS2136/AU2136)</f>
        <v>0.72537246414061451</v>
      </c>
    </row>
    <row r="2137" spans="1:48" x14ac:dyDescent="0.25">
      <c r="A2137" t="s">
        <v>2942</v>
      </c>
      <c r="B2137" s="2" t="str">
        <f t="shared" si="1417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1437"/>
        <v>e</v>
      </c>
      <c r="N2137" t="str">
        <f t="shared" si="1438"/>
        <v>9/2</v>
      </c>
      <c r="O2137">
        <v>61357.04</v>
      </c>
      <c r="P2137" t="str">
        <f t="shared" si="1439"/>
        <v>o</v>
      </c>
      <c r="Q2137" t="str">
        <f t="shared" si="1440"/>
        <v>9/2</v>
      </c>
      <c r="R2137">
        <v>21</v>
      </c>
      <c r="AA2137" s="10">
        <f t="shared" si="1422"/>
        <v>3078.6849999999999</v>
      </c>
      <c r="AB2137" s="3">
        <f t="shared" si="1423"/>
        <v>32471.97</v>
      </c>
      <c r="AC2137" s="3" cm="1">
        <f t="array" ref="AC2137">100000000/LvacE(AA2137)</f>
        <v>32471.967916226691</v>
      </c>
      <c r="AD2137" s="10">
        <f t="shared" si="1424"/>
        <v>1.0273674948269584E-2</v>
      </c>
      <c r="AE2137" s="10" t="b">
        <f t="shared" si="1425"/>
        <v>1</v>
      </c>
      <c r="AJ2137" t="s">
        <v>4742</v>
      </c>
      <c r="AK2137" t="s">
        <v>4903</v>
      </c>
      <c r="AL2137">
        <v>28885.14</v>
      </c>
      <c r="AM2137">
        <v>61357.04</v>
      </c>
      <c r="AN2137" s="10" cm="1">
        <f t="array" ref="AN2137">Lair(100000000/($AM2137-$AL2137))</f>
        <v>3078.6914343118933</v>
      </c>
      <c r="AO2137" s="10">
        <f t="shared" si="1441"/>
        <v>3079.5857341270453</v>
      </c>
      <c r="AP2137" s="12">
        <v>505000000</v>
      </c>
      <c r="AQ2137" s="3">
        <v>0.35499999999999998</v>
      </c>
      <c r="AR2137" s="3">
        <f t="shared" si="1442"/>
        <v>-7.1238966183271684</v>
      </c>
      <c r="AS2137" s="13">
        <f t="shared" si="1443"/>
        <v>145.05123812246282</v>
      </c>
      <c r="AT2137" s="3">
        <f t="shared" si="1444"/>
        <v>0.72859180431383919</v>
      </c>
      <c r="AU2137" s="16" cm="1">
        <f t="array" ref="AU2137">$C2137*EXP(poly_from_str(100000000/$E2137,AU$4342))</f>
        <v>132.1082951324519</v>
      </c>
      <c r="AV2137" s="13">
        <f t="shared" si="1445"/>
        <v>9.3465042465356807E-2</v>
      </c>
    </row>
    <row r="2138" spans="1:48" x14ac:dyDescent="0.25">
      <c r="A2138" t="s">
        <v>2943</v>
      </c>
      <c r="B2138" s="2" t="str">
        <f t="shared" si="1417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1422"/>
        <v>3078.6559999999999</v>
      </c>
      <c r="AB2138" s="3">
        <f t="shared" si="1423"/>
        <v>32472.27</v>
      </c>
      <c r="AC2138" s="3" cm="1">
        <f t="array" ref="AC2138">100000000/LvacE(AA2138)</f>
        <v>32472.273780099105</v>
      </c>
      <c r="AD2138" s="10">
        <f t="shared" si="1424"/>
        <v>1.0273774299580582E-2</v>
      </c>
      <c r="AE2138" s="10" t="b">
        <f t="shared" si="1425"/>
        <v>1</v>
      </c>
      <c r="AP2138"/>
      <c r="AQ2138"/>
      <c r="AU2138" s="16" cm="1">
        <f t="array" ref="AU2138">$C2138*EXP(poly_from_str(100000000/$E2138,AU$4342))</f>
        <v>0</v>
      </c>
    </row>
    <row r="2139" spans="1:48" x14ac:dyDescent="0.25">
      <c r="A2139" t="s">
        <v>2944</v>
      </c>
      <c r="B2139" s="2" t="str">
        <f t="shared" si="1417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1422"/>
        <v>3078.6309999999999</v>
      </c>
      <c r="AB2139" s="3">
        <f t="shared" si="1423"/>
        <v>32472.54</v>
      </c>
      <c r="AC2139" s="3" cm="1">
        <f t="array" ref="AC2139">100000000/LvacE(AA2139)</f>
        <v>32472.537460475814</v>
      </c>
      <c r="AD2139" s="10">
        <f t="shared" si="1424"/>
        <v>1.0273859949515842E-2</v>
      </c>
      <c r="AE2139" s="10" t="b">
        <f t="shared" si="1425"/>
        <v>1</v>
      </c>
      <c r="AP2139"/>
      <c r="AQ2139"/>
      <c r="AU2139" s="16" cm="1">
        <f t="array" ref="AU2139">$C2139*EXP(poly_from_str(100000000/$E2139,AU$4342))</f>
        <v>0</v>
      </c>
    </row>
    <row r="2140" spans="1:48" x14ac:dyDescent="0.25">
      <c r="A2140" t="s">
        <v>2945</v>
      </c>
      <c r="B2140" s="2" t="str">
        <f t="shared" si="1417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1422"/>
        <v>3076.232</v>
      </c>
      <c r="AB2140" s="3">
        <f t="shared" si="1423"/>
        <v>32497.86</v>
      </c>
      <c r="AC2140" s="3" cm="1">
        <f t="array" ref="AC2140">100000000/LvacE(AA2140)</f>
        <v>32497.860166046361</v>
      </c>
      <c r="AD2140" s="10">
        <f t="shared" si="1424"/>
        <v>1.0282088634089751E-2</v>
      </c>
      <c r="AE2140" s="10" t="b">
        <f t="shared" si="1425"/>
        <v>1</v>
      </c>
      <c r="AJ2140" t="s">
        <v>4805</v>
      </c>
      <c r="AK2140" t="s">
        <v>4879</v>
      </c>
      <c r="AL2140">
        <v>36640.379999999997</v>
      </c>
      <c r="AM2140">
        <v>69138.28</v>
      </c>
      <c r="AN2140" s="10" cm="1">
        <f t="array" ref="AN2140">Lair(100000000/($AM2140-$AL2140))</f>
        <v>3076.2282240692189</v>
      </c>
      <c r="AO2140" s="10">
        <f>100000000/($AM2140-$AL2140)</f>
        <v>3077.1219063385633</v>
      </c>
      <c r="AP2140" s="12">
        <v>12000000</v>
      </c>
      <c r="AQ2140" s="3">
        <v>6.5000000000000002E-2</v>
      </c>
      <c r="AR2140" s="3">
        <f>LN(AU2140*100000000/($AM2140-$AL2140)/AP2140)</f>
        <v>-5.5531237680095726</v>
      </c>
      <c r="AS2140" s="13">
        <f>EXP(AR$4341*$AM2140+AR$4342)*$AP2140/(100000000/($AM2140-$AL2140))</f>
        <v>1.9237545837910968</v>
      </c>
      <c r="AT2140" s="3">
        <f>LN(AS2140/$C2140)</f>
        <v>-1.4251627527743105</v>
      </c>
      <c r="AU2140" s="16" cm="1">
        <f t="array" ref="AU2140">$C2140*EXP(poly_from_str(100000000/$E2140,AU$4342))</f>
        <v>15.112820852283749</v>
      </c>
      <c r="AV2140" s="13">
        <f>LN(AS2140/AU2140)</f>
        <v>-2.0612646577303604</v>
      </c>
    </row>
    <row r="2141" spans="1:48" x14ac:dyDescent="0.25">
      <c r="A2141" t="s">
        <v>2946</v>
      </c>
      <c r="B2141" s="2" t="str">
        <f t="shared" si="1417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1422"/>
        <v>3076.0509999999999</v>
      </c>
      <c r="AB2141" s="3">
        <f t="shared" si="1423"/>
        <v>32499.77</v>
      </c>
      <c r="AC2141" s="3" cm="1">
        <f t="array" ref="AC2141">100000000/LvacE(AA2141)</f>
        <v>32499.772318493677</v>
      </c>
      <c r="AD2141" s="10">
        <f t="shared" si="1424"/>
        <v>1.0282710253908936E-2</v>
      </c>
      <c r="AE2141" s="10" t="b">
        <f t="shared" si="1425"/>
        <v>1</v>
      </c>
      <c r="AP2141"/>
      <c r="AQ2141"/>
      <c r="AU2141" s="16" cm="1">
        <f t="array" ref="AU2141">$C2141*EXP(poly_from_str(100000000/$E2141,AU$4342))</f>
        <v>0</v>
      </c>
    </row>
    <row r="2142" spans="1:48" x14ac:dyDescent="0.25">
      <c r="A2142" t="s">
        <v>2947</v>
      </c>
      <c r="B2142" s="2" t="str">
        <f t="shared" si="1417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1422"/>
        <v>3076.027</v>
      </c>
      <c r="AB2142" s="3">
        <f t="shared" si="1423"/>
        <v>32500.03</v>
      </c>
      <c r="AC2142" s="3" cm="1">
        <f t="array" ref="AC2142">100000000/LvacE(AA2142)</f>
        <v>32500.025880465753</v>
      </c>
      <c r="AD2142" s="10">
        <f t="shared" si="1424"/>
        <v>1.028279268687592E-2</v>
      </c>
      <c r="AE2142" s="10" t="b">
        <f t="shared" si="1425"/>
        <v>1</v>
      </c>
      <c r="AP2142"/>
      <c r="AQ2142"/>
      <c r="AU2142" s="16" cm="1">
        <f t="array" ref="AU2142">$C2142*EXP(poly_from_str(100000000/$E2142,AU$4342))</f>
        <v>0</v>
      </c>
    </row>
    <row r="2143" spans="1:48" x14ac:dyDescent="0.25">
      <c r="A2143" t="s">
        <v>2948</v>
      </c>
      <c r="B2143" s="2" t="str">
        <f t="shared" si="1417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1422"/>
        <v>3075.9929999999999</v>
      </c>
      <c r="AB2143" s="3">
        <f t="shared" si="1423"/>
        <v>32500.38</v>
      </c>
      <c r="AC2143" s="3" cm="1">
        <f t="array" ref="AC2143">100000000/LvacE(AA2143)</f>
        <v>32500.385100032279</v>
      </c>
      <c r="AD2143" s="10">
        <f t="shared" si="1424"/>
        <v>1.0282909470215356E-2</v>
      </c>
      <c r="AE2143" s="10" t="b">
        <f t="shared" si="1425"/>
        <v>1</v>
      </c>
      <c r="AP2143"/>
      <c r="AQ2143"/>
      <c r="AU2143" s="16" cm="1">
        <f t="array" ref="AU2143">$C2143*EXP(poly_from_str(100000000/$E2143,AU$4342))</f>
        <v>0</v>
      </c>
    </row>
    <row r="2144" spans="1:48" x14ac:dyDescent="0.25">
      <c r="A2144" t="s">
        <v>2949</v>
      </c>
      <c r="B2144" s="2" t="str">
        <f t="shared" si="1417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1422"/>
        <v>3075.962</v>
      </c>
      <c r="AB2144" s="3">
        <f t="shared" si="1423"/>
        <v>32500.71</v>
      </c>
      <c r="AC2144" s="3" cm="1">
        <f t="array" ref="AC2144">100000000/LvacE(AA2144)</f>
        <v>32500.712630675313</v>
      </c>
      <c r="AD2144" s="10">
        <f t="shared" si="1424"/>
        <v>1.0283015952517507E-2</v>
      </c>
      <c r="AE2144" s="10" t="b">
        <f t="shared" si="1425"/>
        <v>1</v>
      </c>
      <c r="AJ2144" t="s">
        <v>4774</v>
      </c>
      <c r="AK2144" t="s">
        <v>4935</v>
      </c>
      <c r="AL2144">
        <v>33466.410000000003</v>
      </c>
      <c r="AM2144">
        <v>65967.149999999994</v>
      </c>
      <c r="AN2144" s="10" cm="1">
        <f t="array" ref="AN2144">Lair(100000000/($AM2144-$AL2144))</f>
        <v>3075.9594044654482</v>
      </c>
      <c r="AO2144" s="10">
        <f>100000000/($AM2144-$AL2144)</f>
        <v>3076.8530193466372</v>
      </c>
      <c r="AP2144" s="12">
        <v>106000000</v>
      </c>
      <c r="AQ2144" s="3">
        <v>0.35299999999999998</v>
      </c>
      <c r="AR2144" s="3">
        <f>LN(AU2144*100000000/($AM2144-$AL2144)/AP2144)</f>
        <v>-7.8651730289494628</v>
      </c>
      <c r="AS2144" s="13">
        <f>EXP(AR$4341*$AM2144+AR$4342)*$AP2144/(100000000/($AM2144-$AL2144))</f>
        <v>21.560903497261144</v>
      </c>
      <c r="AT2144" s="3">
        <f>LN(AS2144/$C2144)</f>
        <v>1.1249715022883873</v>
      </c>
      <c r="AU2144" s="16" cm="1">
        <f t="array" ref="AU2144">$C2144*EXP(poly_from_str(100000000/$E2144,AU$4342))</f>
        <v>13.225066637233702</v>
      </c>
      <c r="AV2144" s="13">
        <f>LN(AS2144/AU2144)</f>
        <v>0.48876763487980479</v>
      </c>
    </row>
    <row r="2145" spans="1:48" x14ac:dyDescent="0.25">
      <c r="A2145" t="s">
        <v>2950</v>
      </c>
      <c r="B2145" s="2" t="str">
        <f t="shared" si="1417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1422"/>
        <v>3075.174</v>
      </c>
      <c r="AB2145" s="3">
        <f t="shared" si="1423"/>
        <v>32509.040000000001</v>
      </c>
      <c r="AC2145" s="3" cm="1">
        <f t="array" ref="AC2145">100000000/LvacE(AA2145)</f>
        <v>32509.040465489496</v>
      </c>
      <c r="AD2145" s="10">
        <f t="shared" si="1424"/>
        <v>1.0285723745305063E-2</v>
      </c>
      <c r="AE2145" s="10" t="b">
        <f t="shared" si="1425"/>
        <v>1</v>
      </c>
      <c r="AP2145"/>
      <c r="AQ2145"/>
      <c r="AU2145" s="16" cm="1">
        <f t="array" ref="AU2145">$C2145*EXP(poly_from_str(100000000/$E2145,AU$4342))</f>
        <v>1.8898467976271422</v>
      </c>
    </row>
    <row r="2146" spans="1:48" x14ac:dyDescent="0.25">
      <c r="A2146" t="s">
        <v>2951</v>
      </c>
      <c r="B2146" s="2" t="str">
        <f t="shared" si="1417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1422"/>
        <v>3073.1750000000002</v>
      </c>
      <c r="AB2146" s="3">
        <f t="shared" si="1423"/>
        <v>32530.19</v>
      </c>
      <c r="AC2146" s="3" cm="1">
        <f t="array" ref="AC2146">100000000/LvacE(AA2146)</f>
        <v>32530.18569123025</v>
      </c>
      <c r="AD2146" s="10">
        <f t="shared" si="1424"/>
        <v>1.0292602225911354E-2</v>
      </c>
      <c r="AE2146" s="10" t="b">
        <f t="shared" si="1425"/>
        <v>1</v>
      </c>
      <c r="AP2146"/>
      <c r="AQ2146"/>
      <c r="AU2146" s="16" cm="1">
        <f t="array" ref="AU2146">$C2146*EXP(poly_from_str(100000000/$E2146,AU$4342))</f>
        <v>0</v>
      </c>
    </row>
    <row r="2147" spans="1:48" x14ac:dyDescent="0.25">
      <c r="A2147" t="s">
        <v>2952</v>
      </c>
      <c r="B2147" s="2" t="str">
        <f t="shared" si="1417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1422"/>
        <v>3073.1559999999999</v>
      </c>
      <c r="AB2147" s="3">
        <f t="shared" si="1423"/>
        <v>32530.39</v>
      </c>
      <c r="AC2147" s="3" cm="1">
        <f t="array" ref="AC2147">100000000/LvacE(AA2147)</f>
        <v>32530.386803330104</v>
      </c>
      <c r="AD2147" s="10">
        <f t="shared" si="1424"/>
        <v>1.0292667668567769E-2</v>
      </c>
      <c r="AE2147" s="10" t="b">
        <f t="shared" si="1425"/>
        <v>1</v>
      </c>
      <c r="AJ2147" t="s">
        <v>4810</v>
      </c>
      <c r="AK2147" t="s">
        <v>4923</v>
      </c>
      <c r="AL2147">
        <v>35801.120000000003</v>
      </c>
      <c r="AM2147">
        <v>68331.75</v>
      </c>
      <c r="AN2147" s="10" cm="1">
        <f t="array" ref="AN2147">Lair(100000000/($AM2147-$AL2147))</f>
        <v>3073.1330192781988</v>
      </c>
      <c r="AO2147" s="10">
        <f>100000000/($AM2147-$AL2147)</f>
        <v>3074.0259257198527</v>
      </c>
      <c r="AP2147" s="12">
        <v>20000000</v>
      </c>
      <c r="AQ2147" s="3">
        <v>6.4000000000000001E-2</v>
      </c>
      <c r="AR2147" s="3">
        <f>LN(AU2147*100000000/($AM2147-$AL2147)/AP2147)</f>
        <v>-5.9460725987637177</v>
      </c>
      <c r="AS2147" s="13">
        <f>EXP(AR$4341*$AM2147+AR$4342)*$AP2147/(100000000/($AM2147-$AL2147))</f>
        <v>3.4097484187917115</v>
      </c>
      <c r="AT2147" s="3">
        <f>LN(AS2147/$C2147)</f>
        <v>-0.97058606624292265</v>
      </c>
      <c r="AU2147" s="16" cm="1">
        <f t="array" ref="AU2147">$C2147*EXP(poly_from_str(100000000/$E2147,AU$4342))</f>
        <v>17.020642545640648</v>
      </c>
      <c r="AV2147" s="13">
        <f>LN(AS2147/AU2147)</f>
        <v>-1.6077883637271451</v>
      </c>
    </row>
    <row r="2148" spans="1:48" x14ac:dyDescent="0.25">
      <c r="A2148" t="s">
        <v>2953</v>
      </c>
      <c r="B2148" s="2" t="str">
        <f t="shared" si="1417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1422"/>
        <v>3071.6590000000001</v>
      </c>
      <c r="AB2148" s="3">
        <f t="shared" si="1423"/>
        <v>32546.240000000002</v>
      </c>
      <c r="AC2148" s="3" cm="1">
        <f t="array" ref="AC2148">100000000/LvacE(AA2148)</f>
        <v>32546.240139751644</v>
      </c>
      <c r="AD2148" s="10">
        <f t="shared" si="1424"/>
        <v>1.0297827678748137E-2</v>
      </c>
      <c r="AE2148" s="10" t="b">
        <f t="shared" si="1425"/>
        <v>1</v>
      </c>
      <c r="AP2148"/>
      <c r="AQ2148"/>
      <c r="AU2148" s="16" cm="1">
        <f t="array" ref="AU2148">$C2148*EXP(poly_from_str(100000000/$E2148,AU$4342))</f>
        <v>13.24471047275124</v>
      </c>
    </row>
    <row r="2149" spans="1:48" x14ac:dyDescent="0.25">
      <c r="A2149" t="s">
        <v>2954</v>
      </c>
      <c r="B2149" s="2" t="str">
        <f t="shared" si="1417"/>
        <v/>
      </c>
      <c r="C2149">
        <v>9</v>
      </c>
      <c r="D2149" t="s">
        <v>1156</v>
      </c>
      <c r="E2149">
        <v>32556.69</v>
      </c>
      <c r="R2149">
        <v>21</v>
      </c>
      <c r="S2149" t="s">
        <v>22</v>
      </c>
      <c r="AA2149" s="10">
        <f t="shared" si="1422"/>
        <v>3070.6729999999998</v>
      </c>
      <c r="AB2149" s="3">
        <f t="shared" si="1423"/>
        <v>32556.69</v>
      </c>
      <c r="AC2149" s="3" cm="1">
        <f t="array" ref="AC2149">100000000/LvacE(AA2149)</f>
        <v>32556.690392690369</v>
      </c>
      <c r="AD2149" s="10">
        <f t="shared" si="1424"/>
        <v>1.0301230445685747E-2</v>
      </c>
      <c r="AE2149" s="10" t="b">
        <f t="shared" si="1425"/>
        <v>1</v>
      </c>
      <c r="AP2149"/>
      <c r="AQ2149"/>
      <c r="AU2149" s="16" cm="1">
        <f t="array" ref="AU2149">$C2149*EXP(poly_from_str(100000000/$E2149,AU$4342))</f>
        <v>17.03406155454849</v>
      </c>
    </row>
    <row r="2150" spans="1:48" x14ac:dyDescent="0.25">
      <c r="A2150" t="s">
        <v>2955</v>
      </c>
      <c r="B2150" s="2" t="str">
        <f t="shared" si="1417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1422"/>
        <v>3070.2460000000001</v>
      </c>
      <c r="AB2150" s="3">
        <f t="shared" si="1423"/>
        <v>32561.22</v>
      </c>
      <c r="AC2150" s="3" cm="1">
        <f t="array" ref="AC2150">100000000/LvacE(AA2150)</f>
        <v>32561.218091979412</v>
      </c>
      <c r="AD2150" s="10">
        <f t="shared" si="1424"/>
        <v>1.0302705075094865E-2</v>
      </c>
      <c r="AE2150" s="10" t="b">
        <f t="shared" si="1425"/>
        <v>1</v>
      </c>
      <c r="AP2150"/>
      <c r="AQ2150"/>
      <c r="AU2150" s="16" cm="1">
        <f t="array" ref="AU2150">$C2150*EXP(poly_from_str(100000000/$E2150,AU$4342))</f>
        <v>0</v>
      </c>
    </row>
    <row r="2151" spans="1:48" x14ac:dyDescent="0.25">
      <c r="A2151" t="s">
        <v>2956</v>
      </c>
      <c r="B2151" s="2" t="str">
        <f t="shared" si="1417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2957</v>
      </c>
      <c r="T2151">
        <v>1</v>
      </c>
      <c r="U2151" s="4" t="s">
        <v>4668</v>
      </c>
      <c r="V2151">
        <f>$O2151-$L2151</f>
        <v>32561.94</v>
      </c>
      <c r="W2151">
        <f>$E2151-V2151</f>
        <v>-0.21999999999752617</v>
      </c>
      <c r="AA2151" s="10">
        <f t="shared" si="1422"/>
        <v>3070.1990000000001</v>
      </c>
      <c r="AB2151" s="3">
        <f t="shared" si="1423"/>
        <v>32561.72</v>
      </c>
      <c r="AC2151" s="3" cm="1">
        <f t="array" ref="AC2151">100000000/LvacE(AA2151)</f>
        <v>32561.716533942468</v>
      </c>
      <c r="AD2151" s="10">
        <f t="shared" si="1424"/>
        <v>1.0302867425522331E-2</v>
      </c>
      <c r="AE2151" s="10" t="b">
        <f t="shared" si="1425"/>
        <v>1</v>
      </c>
      <c r="AJ2151" t="s">
        <v>4718</v>
      </c>
      <c r="AK2151" t="s">
        <v>4726</v>
      </c>
      <c r="AL2151">
        <v>27604.26</v>
      </c>
      <c r="AM2151">
        <v>60166.2</v>
      </c>
      <c r="AN2151" s="10" cm="1">
        <f t="array" ref="AN2151">Lair(100000000/($AM2151-$AL2151))</f>
        <v>3070.1779239000439</v>
      </c>
      <c r="AO2151" s="10">
        <f>100000000/($AM2151-$AL2151)</f>
        <v>3071.0700898042319</v>
      </c>
      <c r="AU2151" s="16" cm="1">
        <f t="array" ref="AU2151">$C2151*EXP(poly_from_str(100000000/$E2151,AU$4342))</f>
        <v>7.5717569229403558</v>
      </c>
    </row>
    <row r="2152" spans="1:48" x14ac:dyDescent="0.25">
      <c r="A2152" t="s">
        <v>2958</v>
      </c>
      <c r="B2152" s="2" t="str">
        <f t="shared" si="1417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1422"/>
        <v>3069.9540000000002</v>
      </c>
      <c r="AB2152" s="3">
        <f t="shared" si="1423"/>
        <v>32564.31</v>
      </c>
      <c r="AC2152" s="3" cm="1">
        <f t="array" ref="AC2152">100000000/LvacE(AA2152)</f>
        <v>32564.3150423568</v>
      </c>
      <c r="AD2152" s="10">
        <f t="shared" si="1424"/>
        <v>1.0303713841047259E-2</v>
      </c>
      <c r="AE2152" s="10" t="b">
        <f t="shared" si="1425"/>
        <v>1</v>
      </c>
      <c r="AP2152"/>
      <c r="AQ2152"/>
      <c r="AU2152" s="16" cm="1">
        <f t="array" ref="AU2152">$C2152*EXP(poly_from_str(100000000/$E2152,AU$4342))</f>
        <v>0</v>
      </c>
    </row>
    <row r="2153" spans="1:48" x14ac:dyDescent="0.25">
      <c r="A2153" t="s">
        <v>2959</v>
      </c>
      <c r="B2153" s="2" t="str">
        <f t="shared" si="1417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1422"/>
        <v>3069.9250000000002</v>
      </c>
      <c r="AB2153" s="3">
        <f t="shared" si="1423"/>
        <v>32564.62</v>
      </c>
      <c r="AC2153" s="3" cm="1">
        <f t="array" ref="AC2153">100000000/LvacE(AA2153)</f>
        <v>32564.622648354205</v>
      </c>
      <c r="AD2153" s="10">
        <f t="shared" si="1424"/>
        <v>1.0303814042420287E-2</v>
      </c>
      <c r="AE2153" s="10" t="b">
        <f t="shared" si="1425"/>
        <v>1</v>
      </c>
      <c r="AP2153"/>
      <c r="AQ2153"/>
      <c r="AU2153" s="16" cm="1">
        <f t="array" ref="AU2153">$C2153*EXP(poly_from_str(100000000/$E2153,AU$4342))</f>
        <v>0</v>
      </c>
    </row>
    <row r="2154" spans="1:48" x14ac:dyDescent="0.25">
      <c r="A2154" t="s">
        <v>2960</v>
      </c>
      <c r="B2154" s="2" t="str">
        <f t="shared" si="1417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1422"/>
        <v>3069.8820000000001</v>
      </c>
      <c r="AB2154" s="3">
        <f t="shared" si="1423"/>
        <v>32565.08</v>
      </c>
      <c r="AC2154" s="3" cm="1">
        <f t="array" ref="AC2154">100000000/LvacE(AA2154)</f>
        <v>32565.078764495229</v>
      </c>
      <c r="AD2154" s="10">
        <f t="shared" si="1424"/>
        <v>1.0303962622096749E-2</v>
      </c>
      <c r="AE2154" s="10" t="b">
        <f t="shared" si="1425"/>
        <v>1</v>
      </c>
      <c r="AP2154"/>
      <c r="AQ2154"/>
      <c r="AU2154" s="16" cm="1">
        <f t="array" ref="AU2154">$C2154*EXP(poly_from_str(100000000/$E2154,AU$4342))</f>
        <v>15.144906028177834</v>
      </c>
    </row>
    <row r="2155" spans="1:48" x14ac:dyDescent="0.25">
      <c r="A2155" t="s">
        <v>2961</v>
      </c>
      <c r="B2155" s="2" t="str">
        <f t="shared" si="1417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1422"/>
        <v>3069.6010000000001</v>
      </c>
      <c r="AB2155" s="3">
        <f t="shared" si="1423"/>
        <v>32568.06</v>
      </c>
      <c r="AC2155" s="3" cm="1">
        <f t="array" ref="AC2155">100000000/LvacE(AA2155)</f>
        <v>32568.059745030961</v>
      </c>
      <c r="AD2155" s="10">
        <f t="shared" si="1424"/>
        <v>1.0304933726733696E-2</v>
      </c>
      <c r="AE2155" s="10" t="b">
        <f t="shared" si="1425"/>
        <v>1</v>
      </c>
      <c r="AJ2155" t="s">
        <v>4702</v>
      </c>
      <c r="AK2155" t="s">
        <v>4881</v>
      </c>
      <c r="AL2155">
        <v>39024.269999999997</v>
      </c>
      <c r="AM2155">
        <v>71592.34</v>
      </c>
      <c r="AN2155" s="10" cm="1">
        <f t="array" ref="AN2155">Lair(100000000/($AM2155-$AL2155))</f>
        <v>3069.600028316408</v>
      </c>
      <c r="AO2155" s="10">
        <f>100000000/($AM2155-$AL2155)</f>
        <v>3070.492049421412</v>
      </c>
      <c r="AP2155" s="12">
        <v>72800000</v>
      </c>
      <c r="AQ2155" s="3">
        <v>0.248</v>
      </c>
      <c r="AR2155" s="3">
        <f>LN(AU2155*100000000/($AM2155-$AL2155)/AP2155)</f>
        <v>-8.0490360568786876</v>
      </c>
      <c r="AS2155" s="13">
        <f>EXP(AR$4341*$AM2155+AR$4342)*$AP2155/(100000000/($AM2155-$AL2155))</f>
        <v>9.7286557498082988</v>
      </c>
      <c r="AT2155" s="3">
        <f>LN(AS2155/$C2155)</f>
        <v>0.88878137032387727</v>
      </c>
      <c r="AU2155" s="16" cm="1">
        <f t="array" ref="AU2155">$C2155*EXP(poly_from_str(100000000/$E2155,AU$4342))</f>
        <v>7.5730610517556629</v>
      </c>
      <c r="AV2155" s="13">
        <f>LN(AS2155/AU2155)</f>
        <v>0.25047837957834779</v>
      </c>
    </row>
    <row r="2156" spans="1:48" x14ac:dyDescent="0.25">
      <c r="A2156" t="s">
        <v>2962</v>
      </c>
      <c r="B2156" s="2" t="str">
        <f t="shared" si="1417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1422"/>
        <v>3069.3969999999999</v>
      </c>
      <c r="AB2156" s="3">
        <f t="shared" si="1423"/>
        <v>32570.22</v>
      </c>
      <c r="AC2156" s="3" cm="1">
        <f t="array" ref="AC2156">100000000/LvacE(AA2156)</f>
        <v>32570.22421518241</v>
      </c>
      <c r="AD2156" s="10">
        <f t="shared" si="1424"/>
        <v>1.0305638895063494E-2</v>
      </c>
      <c r="AE2156" s="10" t="b">
        <f t="shared" si="1425"/>
        <v>1</v>
      </c>
      <c r="AP2156"/>
      <c r="AQ2156"/>
      <c r="AU2156" s="16" cm="1">
        <f t="array" ref="AU2156">$C2156*EXP(poly_from_str(100000000/$E2156,AU$4342))</f>
        <v>0</v>
      </c>
    </row>
    <row r="2157" spans="1:48" x14ac:dyDescent="0.25">
      <c r="A2157" t="s">
        <v>2963</v>
      </c>
      <c r="B2157" s="2" t="str">
        <f t="shared" si="1417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1422"/>
        <v>3069.3580000000002</v>
      </c>
      <c r="AB2157" s="3">
        <f t="shared" si="1423"/>
        <v>32570.639999999999</v>
      </c>
      <c r="AC2157" s="3" cm="1">
        <f t="array" ref="AC2157">100000000/LvacE(AA2157)</f>
        <v>32570.638043704443</v>
      </c>
      <c r="AD2157" s="10">
        <f t="shared" si="1424"/>
        <v>1.0305773722665203E-2</v>
      </c>
      <c r="AE2157" s="10" t="b">
        <f t="shared" si="1425"/>
        <v>1</v>
      </c>
      <c r="AP2157"/>
      <c r="AQ2157"/>
      <c r="AU2157" s="16" cm="1">
        <f t="array" ref="AU2157">$C2157*EXP(poly_from_str(100000000/$E2157,AU$4342))</f>
        <v>0</v>
      </c>
    </row>
    <row r="2158" spans="1:48" x14ac:dyDescent="0.25">
      <c r="A2158" t="s">
        <v>2964</v>
      </c>
      <c r="B2158" s="2" t="str">
        <f t="shared" si="1417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1446">$G2158&amp;""</f>
        <v>e</v>
      </c>
      <c r="N2158" t="str">
        <f t="shared" ref="N2158:N2159" si="1447">$H2158&amp;""</f>
        <v>3/2</v>
      </c>
      <c r="O2158">
        <v>65909.440000000002</v>
      </c>
      <c r="P2158" t="str">
        <f t="shared" ref="P2158:P2159" si="1448">$J2158&amp;""</f>
        <v>o</v>
      </c>
      <c r="Q2158" t="str">
        <f t="shared" ref="Q2158:Q2159" si="1449">$K2158&amp;""</f>
        <v>5/2</v>
      </c>
      <c r="R2158">
        <v>21</v>
      </c>
      <c r="AA2158" s="10">
        <f t="shared" si="1422"/>
        <v>3069.3110000000001</v>
      </c>
      <c r="AB2158" s="3">
        <f t="shared" si="1423"/>
        <v>32571.14</v>
      </c>
      <c r="AC2158" s="3" cm="1">
        <f t="array" ref="AC2158">100000000/LvacE(AA2158)</f>
        <v>32571.136774101153</v>
      </c>
      <c r="AD2158" s="10">
        <f t="shared" si="1424"/>
        <v>1.0305936214039756E-2</v>
      </c>
      <c r="AE2158" s="10" t="b">
        <f t="shared" si="1425"/>
        <v>1</v>
      </c>
      <c r="AJ2158" t="s">
        <v>4974</v>
      </c>
      <c r="AK2158" t="s">
        <v>4907</v>
      </c>
      <c r="AL2158">
        <v>33338.370000000003</v>
      </c>
      <c r="AM2158">
        <v>65909.440000000002</v>
      </c>
      <c r="AN2158" s="10" cm="1">
        <f t="array" ref="AN2158">Lair(100000000/($AM2158-$AL2158))</f>
        <v>3069.3172875667606</v>
      </c>
      <c r="AO2158" s="10">
        <f t="shared" ref="AO2158:AO2159" si="1450">100000000/($AM2158-$AL2158)</f>
        <v>3070.2092378297675</v>
      </c>
      <c r="AP2158" s="12">
        <v>45400000</v>
      </c>
      <c r="AQ2158" s="3">
        <v>0.44900000000000001</v>
      </c>
      <c r="AR2158" s="3">
        <f t="shared" ref="AR2158:AR2159" si="1451">LN(AU2158*100000000/($AM2158-$AL2158)/AP2158)</f>
        <v>-6.8836953733537181</v>
      </c>
      <c r="AS2158" s="13">
        <f t="shared" ref="AS2158:AS2159" si="1452">EXP(AR$4341*$AM2158+AR$4342)*$AP2158/(100000000/($AM2158-$AL2158))</f>
        <v>9.2947267531178515</v>
      </c>
      <c r="AT2158" s="3">
        <f t="shared" ref="AT2158:AT2159" si="1453">LN(AS2158/$C2158)</f>
        <v>0.15000568187134736</v>
      </c>
      <c r="AU2158" s="16" cm="1">
        <f t="array" ref="AU2158">$C2158*EXP(poly_from_str(100000000/$E2158,AU$4342))</f>
        <v>15.147360551503027</v>
      </c>
      <c r="AV2158" s="13">
        <f t="shared" ref="AV2158:AV2159" si="1454">LN(AS2158/AU2158)</f>
        <v>-0.48837907220304699</v>
      </c>
    </row>
    <row r="2159" spans="1:48" x14ac:dyDescent="0.25">
      <c r="A2159" t="s">
        <v>2965</v>
      </c>
      <c r="B2159" s="2" t="str">
        <f t="shared" si="1417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1446"/>
        <v>e</v>
      </c>
      <c r="N2159" t="str">
        <f t="shared" si="1447"/>
        <v>9/2</v>
      </c>
      <c r="O2159">
        <v>71021.100000000006</v>
      </c>
      <c r="P2159" t="str">
        <f t="shared" si="1448"/>
        <v>o</v>
      </c>
      <c r="Q2159" t="str">
        <f t="shared" si="1449"/>
        <v>9/2</v>
      </c>
      <c r="R2159">
        <v>21</v>
      </c>
      <c r="AA2159" s="10">
        <f t="shared" si="1422"/>
        <v>3069.1579999999999</v>
      </c>
      <c r="AB2159" s="3">
        <f t="shared" si="1423"/>
        <v>32572.76</v>
      </c>
      <c r="AC2159" s="3" cm="1">
        <f t="array" ref="AC2159">100000000/LvacE(AA2159)</f>
        <v>32572.760406500583</v>
      </c>
      <c r="AD2159" s="10">
        <f t="shared" si="1424"/>
        <v>1.030646522702653E-2</v>
      </c>
      <c r="AE2159" s="10" t="b">
        <f t="shared" si="1425"/>
        <v>1</v>
      </c>
      <c r="AJ2159" t="s">
        <v>4816</v>
      </c>
      <c r="AK2159" t="s">
        <v>4922</v>
      </c>
      <c r="AL2159">
        <v>38448.379999999997</v>
      </c>
      <c r="AM2159">
        <v>71021.100000000006</v>
      </c>
      <c r="AN2159" s="10" cm="1">
        <f t="array" ref="AN2159">Lair(100000000/($AM2159-$AL2159))</f>
        <v>3069.1618023536471</v>
      </c>
      <c r="AO2159" s="10">
        <f t="shared" si="1450"/>
        <v>3070.0537136597736</v>
      </c>
      <c r="AP2159" s="12">
        <v>25100000</v>
      </c>
      <c r="AQ2159" s="3">
        <v>0.251</v>
      </c>
      <c r="AR2159" s="3">
        <f t="shared" si="1451"/>
        <v>-6.1732762297757402</v>
      </c>
      <c r="AS2159" s="13">
        <f t="shared" si="1452"/>
        <v>3.5016703628687385</v>
      </c>
      <c r="AT2159" s="3">
        <f t="shared" si="1453"/>
        <v>-0.94398447615283287</v>
      </c>
      <c r="AU2159" s="16" cm="1">
        <f t="array" ref="AU2159">$C2159*EXP(poly_from_str(100000000/$E2159,AU$4342))</f>
        <v>17.041504974347102</v>
      </c>
      <c r="AV2159" s="13">
        <f t="shared" si="1454"/>
        <v>-1.5824117364085859</v>
      </c>
    </row>
    <row r="2160" spans="1:48" x14ac:dyDescent="0.25">
      <c r="A2160" t="s">
        <v>2966</v>
      </c>
      <c r="B2160" s="2" t="str">
        <f t="shared" si="1417"/>
        <v/>
      </c>
      <c r="C2160">
        <v>9</v>
      </c>
      <c r="D2160" t="s">
        <v>1156</v>
      </c>
      <c r="E2160">
        <v>32573.93</v>
      </c>
      <c r="R2160">
        <v>21</v>
      </c>
      <c r="S2160" t="s">
        <v>22</v>
      </c>
      <c r="AA2160" s="10">
        <f t="shared" si="1422"/>
        <v>3069.0479999999998</v>
      </c>
      <c r="AB2160" s="3">
        <f t="shared" si="1423"/>
        <v>32573.93</v>
      </c>
      <c r="AC2160" s="3" cm="1">
        <f t="array" ref="AC2160">100000000/LvacE(AA2160)</f>
        <v>32573.927823937451</v>
      </c>
      <c r="AD2160" s="10">
        <f t="shared" si="1424"/>
        <v>1.0306845612049316E-2</v>
      </c>
      <c r="AE2160" s="10" t="b">
        <f t="shared" si="1425"/>
        <v>1</v>
      </c>
      <c r="AP2160"/>
      <c r="AQ2160"/>
      <c r="AU2160" s="16" cm="1">
        <f t="array" ref="AU2160">$C2160*EXP(poly_from_str(100000000/$E2160,AU$4342))</f>
        <v>17.042024490832915</v>
      </c>
    </row>
    <row r="2161" spans="1:48" x14ac:dyDescent="0.25">
      <c r="A2161" t="s">
        <v>2967</v>
      </c>
      <c r="B2161" s="2" t="str">
        <f t="shared" si="1417"/>
        <v/>
      </c>
      <c r="C2161">
        <v>9</v>
      </c>
      <c r="D2161" t="s">
        <v>1156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1422"/>
        <v>3068.3829999999998</v>
      </c>
      <c r="AB2161" s="3">
        <f t="shared" si="1423"/>
        <v>32580.99</v>
      </c>
      <c r="AC2161" s="3" cm="1">
        <f t="array" ref="AC2161">100000000/LvacE(AA2161)</f>
        <v>32580.987175436247</v>
      </c>
      <c r="AD2161" s="10">
        <f t="shared" si="1424"/>
        <v>1.0309146083692331E-2</v>
      </c>
      <c r="AE2161" s="10" t="b">
        <f t="shared" si="1425"/>
        <v>1</v>
      </c>
      <c r="AJ2161" t="s">
        <v>4728</v>
      </c>
      <c r="AK2161" t="s">
        <v>4835</v>
      </c>
      <c r="AL2161">
        <v>35384.17</v>
      </c>
      <c r="AM2161">
        <v>67965.47</v>
      </c>
      <c r="AN2161" s="10" cm="1">
        <f t="array" ref="AN2161">Lair(100000000/($AM2161-$AL2161))</f>
        <v>3068.3535331011117</v>
      </c>
      <c r="AO2161" s="10">
        <f>100000000/($AM2161-$AL2161)</f>
        <v>3069.2452419025635</v>
      </c>
      <c r="AP2161" s="12">
        <v>793000000</v>
      </c>
      <c r="AQ2161" s="3">
        <v>0.8</v>
      </c>
      <c r="AR2161" s="3">
        <f>LN(AU2161*100000000/($AM2161-$AL2161)/AP2161)</f>
        <v>-9.626284353630286</v>
      </c>
      <c r="AS2161" s="13">
        <f>EXP(AR$4341*$AM2161+AR$4342)*$AP2161/(100000000/($AM2161-$AL2161))</f>
        <v>139.18082451723811</v>
      </c>
      <c r="AT2161" s="3">
        <f>LN(AS2161/$C2161)</f>
        <v>2.7385494061701228</v>
      </c>
      <c r="AU2161" s="16" cm="1">
        <f t="array" ref="AU2161">$C2161*EXP(poly_from_str(100000000/$E2161,AU$4342))</f>
        <v>17.045094763079838</v>
      </c>
      <c r="AV2161" s="13">
        <f>LN(AS2161/AU2161)</f>
        <v>2.0999115183496575</v>
      </c>
    </row>
    <row r="2162" spans="1:48" x14ac:dyDescent="0.25">
      <c r="A2162" t="s">
        <v>2968</v>
      </c>
      <c r="B2162" s="2" t="str">
        <f t="shared" si="1417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1422"/>
        <v>3067.28</v>
      </c>
      <c r="AB2162" s="3">
        <f t="shared" si="1423"/>
        <v>32592.7</v>
      </c>
      <c r="AC2162" s="3" cm="1">
        <f t="array" ref="AC2162">100000000/LvacE(AA2162)</f>
        <v>32592.702893569956</v>
      </c>
      <c r="AD2162" s="10">
        <f t="shared" si="1424"/>
        <v>1.0312965052680218E-2</v>
      </c>
      <c r="AE2162" s="10" t="b">
        <f t="shared" si="1425"/>
        <v>1</v>
      </c>
      <c r="AP2162"/>
      <c r="AQ2162"/>
      <c r="AU2162" s="16" cm="1">
        <f t="array" ref="AU2162">$C2162*EXP(poly_from_str(100000000/$E2162,AU$4342))</f>
        <v>7.5777523731697682</v>
      </c>
    </row>
    <row r="2163" spans="1:48" x14ac:dyDescent="0.25">
      <c r="A2163" t="s">
        <v>2969</v>
      </c>
      <c r="B2163" s="2" t="str">
        <f t="shared" si="1417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1422"/>
        <v>3066.739</v>
      </c>
      <c r="AB2163" s="3">
        <f t="shared" si="1423"/>
        <v>32598.45</v>
      </c>
      <c r="AC2163" s="3" cm="1">
        <f t="array" ref="AC2163">100000000/LvacE(AA2163)</f>
        <v>32598.452305194147</v>
      </c>
      <c r="AD2163" s="10">
        <f t="shared" si="1424"/>
        <v>1.0314839688867254E-2</v>
      </c>
      <c r="AE2163" s="10" t="b">
        <f t="shared" si="1425"/>
        <v>1</v>
      </c>
      <c r="AP2163"/>
      <c r="AQ2163"/>
      <c r="AU2163" s="16" cm="1">
        <f t="array" ref="AU2163">$C2163*EXP(poly_from_str(100000000/$E2163,AU$4342))</f>
        <v>0</v>
      </c>
    </row>
    <row r="2164" spans="1:48" x14ac:dyDescent="0.25">
      <c r="A2164" t="s">
        <v>2970</v>
      </c>
      <c r="B2164" s="2" t="str">
        <f t="shared" si="1417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1422"/>
        <v>3066.71</v>
      </c>
      <c r="AB2164" s="3">
        <f t="shared" si="1423"/>
        <v>32598.76</v>
      </c>
      <c r="AC2164" s="3" cm="1">
        <f t="array" ref="AC2164">100000000/LvacE(AA2164)</f>
        <v>32598.760556441983</v>
      </c>
      <c r="AD2164" s="10">
        <f t="shared" si="1424"/>
        <v>1.0314940205699591E-2</v>
      </c>
      <c r="AE2164" s="10" t="b">
        <f t="shared" si="1425"/>
        <v>1</v>
      </c>
      <c r="AJ2164" t="s">
        <v>4788</v>
      </c>
      <c r="AK2164" t="s">
        <v>4840</v>
      </c>
      <c r="AL2164">
        <v>30994.55</v>
      </c>
      <c r="AM2164">
        <v>63593.35</v>
      </c>
      <c r="AN2164" s="10" cm="1">
        <f t="array" ref="AN2164">Lair(100000000/($AM2164-$AL2164))</f>
        <v>3066.7062841421598</v>
      </c>
      <c r="AO2164" s="10">
        <f>100000000/($AM2164-$AL2164)</f>
        <v>3067.5975802790285</v>
      </c>
      <c r="AP2164" s="12">
        <v>1000000000</v>
      </c>
      <c r="AQ2164" s="3">
        <v>0.69099999999999995</v>
      </c>
      <c r="AR2164" s="3">
        <f>LN(AU2164*100000000/($AM2164-$AL2164)/AP2164)</f>
        <v>-7.0449181664918452</v>
      </c>
      <c r="AS2164" s="13">
        <f>EXP(AR$4341*$AM2164+AR$4342)*$AP2164/(100000000/($AM2164-$AL2164))</f>
        <v>243.8020082743721</v>
      </c>
      <c r="AT2164" s="3">
        <f>LN(AS2164/$C2164)</f>
        <v>0.48572116030161544</v>
      </c>
      <c r="AU2164" s="16" cm="1">
        <f t="array" ref="AU2164">$C2164*EXP(poly_from_str(100000000/$E2164,AU$4342))</f>
        <v>284.20553277435147</v>
      </c>
      <c r="AV2164" s="13">
        <f>LN(AS2164/AU2164)</f>
        <v>-0.15334122896567956</v>
      </c>
    </row>
    <row r="2165" spans="1:48" x14ac:dyDescent="0.25">
      <c r="A2165" t="s">
        <v>2971</v>
      </c>
      <c r="B2165" s="2" t="str">
        <f t="shared" si="1417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1422"/>
        <v>3063.8440000000001</v>
      </c>
      <c r="AB2165" s="3">
        <f t="shared" si="1423"/>
        <v>32629.25</v>
      </c>
      <c r="AC2165" s="3" cm="1">
        <f t="array" ref="AC2165">100000000/LvacE(AA2165)</f>
        <v>32629.253066114699</v>
      </c>
      <c r="AD2165" s="10">
        <f t="shared" si="1424"/>
        <v>1.0324888125197416E-2</v>
      </c>
      <c r="AE2165" s="10" t="b">
        <f t="shared" si="1425"/>
        <v>1</v>
      </c>
      <c r="AP2165"/>
      <c r="AQ2165"/>
      <c r="AU2165" s="16" cm="1">
        <f t="array" ref="AU2165">$C2165*EXP(poly_from_str(100000000/$E2165,AU$4342))</f>
        <v>1.8959013495663752</v>
      </c>
    </row>
    <row r="2166" spans="1:48" x14ac:dyDescent="0.25">
      <c r="A2166" t="s">
        <v>2972</v>
      </c>
      <c r="B2166" s="2" t="str">
        <f t="shared" si="1417"/>
        <v/>
      </c>
      <c r="C2166">
        <v>7</v>
      </c>
      <c r="D2166" t="s">
        <v>1156</v>
      </c>
      <c r="E2166">
        <v>32631.46</v>
      </c>
      <c r="R2166">
        <v>21</v>
      </c>
      <c r="S2166" t="s">
        <v>22</v>
      </c>
      <c r="AA2166" s="10">
        <f t="shared" si="1422"/>
        <v>3063.6370000000002</v>
      </c>
      <c r="AB2166" s="3">
        <f t="shared" si="1423"/>
        <v>32631.46</v>
      </c>
      <c r="AC2166" s="3" cm="1">
        <f t="array" ref="AC2166">100000000/LvacE(AA2166)</f>
        <v>32631.45763007124</v>
      </c>
      <c r="AD2166" s="10">
        <f t="shared" si="1424"/>
        <v>1.0325607705820115E-2</v>
      </c>
      <c r="AE2166" s="10" t="b">
        <f t="shared" si="1425"/>
        <v>1</v>
      </c>
      <c r="AP2166"/>
      <c r="AQ2166"/>
      <c r="AU2166" s="16" cm="1">
        <f t="array" ref="AU2166">$C2166*EXP(poly_from_str(100000000/$E2166,AU$4342))</f>
        <v>13.27185459821658</v>
      </c>
    </row>
    <row r="2167" spans="1:48" x14ac:dyDescent="0.25">
      <c r="A2167" t="s">
        <v>2973</v>
      </c>
      <c r="B2167" s="2" t="str">
        <f t="shared" si="1417"/>
        <v/>
      </c>
      <c r="C2167">
        <v>9</v>
      </c>
      <c r="D2167" t="s">
        <v>1156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1455">$G2167&amp;""</f>
        <v>e</v>
      </c>
      <c r="N2167" t="str">
        <f t="shared" ref="N2167:N2168" si="1456">$H2167&amp;""</f>
        <v>9/2</v>
      </c>
      <c r="O2167">
        <v>61357.04</v>
      </c>
      <c r="P2167" t="str">
        <f t="shared" ref="P2167:P2168" si="1457">$J2167&amp;""</f>
        <v>o</v>
      </c>
      <c r="Q2167" t="str">
        <f t="shared" ref="Q2167:Q2168" si="1458">$K2167&amp;""</f>
        <v>9/2</v>
      </c>
      <c r="R2167">
        <v>21</v>
      </c>
      <c r="AA2167" s="10">
        <f t="shared" si="1422"/>
        <v>3063.1779999999999</v>
      </c>
      <c r="AB2167" s="3">
        <f t="shared" si="1423"/>
        <v>32636.35</v>
      </c>
      <c r="AC2167" s="3" cm="1">
        <f t="array" ref="AC2167">100000000/LvacE(AA2167)</f>
        <v>32636.347073781904</v>
      </c>
      <c r="AD2167" s="10">
        <f t="shared" si="1424"/>
        <v>1.0327203818025252E-2</v>
      </c>
      <c r="AE2167" s="10" t="b">
        <f t="shared" si="1425"/>
        <v>1</v>
      </c>
      <c r="AJ2167" t="s">
        <v>4708</v>
      </c>
      <c r="AK2167" t="s">
        <v>4903</v>
      </c>
      <c r="AL2167">
        <v>28720.71</v>
      </c>
      <c r="AM2167">
        <v>61357.04</v>
      </c>
      <c r="AN2167" s="10" cm="1">
        <f t="array" ref="AN2167">Lair(100000000/($AM2167-$AL2167))</f>
        <v>3063.1795975060581</v>
      </c>
      <c r="AO2167" s="10">
        <f t="shared" ref="AO2167:AO2168" si="1459">100000000/($AM2167-$AL2167)</f>
        <v>3064.0700103228519</v>
      </c>
      <c r="AP2167" s="12">
        <v>222000000</v>
      </c>
      <c r="AQ2167" s="3">
        <v>0.219</v>
      </c>
      <c r="AR2167" s="3">
        <f t="shared" ref="AR2167:AR2168" si="1460">LN(AU2167*100000000/($AM2167-$AL2167)/AP2167)</f>
        <v>-8.3536399175864187</v>
      </c>
      <c r="AS2167" s="13">
        <f t="shared" ref="AS2167:AS2168" si="1461">EXP(AR$4341*$AM2167+AR$4342)*$AP2167/(100000000/($AM2167-$AL2167))</f>
        <v>64.087990075359144</v>
      </c>
      <c r="AT2167" s="3">
        <f t="shared" ref="AT2167:AT2168" si="1462">LN(AS2167/$C2167)</f>
        <v>1.9630324067170029</v>
      </c>
      <c r="AU2167" s="16" cm="1">
        <f t="array" ref="AU2167">$C2167*EXP(poly_from_str(100000000/$E2167,AU$4342))</f>
        <v>17.065325261486844</v>
      </c>
      <c r="AV2167" s="13">
        <f t="shared" ref="AV2167:AV2168" si="1463">LN(AS2167/AU2167)</f>
        <v>1.3232083417246066</v>
      </c>
    </row>
    <row r="2168" spans="1:48" x14ac:dyDescent="0.25">
      <c r="A2168" t="s">
        <v>2974</v>
      </c>
      <c r="B2168" s="2" t="str">
        <f t="shared" si="1417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1455"/>
        <v>e</v>
      </c>
      <c r="N2168" t="str">
        <f t="shared" si="1456"/>
        <v>5/2</v>
      </c>
      <c r="O2168">
        <v>78463.600000000006</v>
      </c>
      <c r="P2168" t="str">
        <f t="shared" si="1457"/>
        <v>o</v>
      </c>
      <c r="Q2168" t="str">
        <f t="shared" si="1458"/>
        <v>7/2</v>
      </c>
      <c r="R2168">
        <v>21</v>
      </c>
      <c r="AA2168" s="10">
        <f t="shared" si="1422"/>
        <v>3061.277</v>
      </c>
      <c r="AB2168" s="3">
        <f t="shared" si="1423"/>
        <v>32656.61</v>
      </c>
      <c r="AC2168" s="3" cm="1">
        <f t="array" ref="AC2168">100000000/LvacE(AA2168)</f>
        <v>32656.612863684339</v>
      </c>
      <c r="AD2168" s="10">
        <f t="shared" si="1424"/>
        <v>1.0333821941576071E-2</v>
      </c>
      <c r="AE2168" s="10" t="b">
        <f t="shared" si="1425"/>
        <v>1</v>
      </c>
      <c r="AJ2168" t="s">
        <v>4972</v>
      </c>
      <c r="AK2168" t="s">
        <v>4926</v>
      </c>
      <c r="AL2168">
        <v>45807.1</v>
      </c>
      <c r="AM2168">
        <v>78463.600000000006</v>
      </c>
      <c r="AN2168" s="10" cm="1">
        <f t="array" ref="AN2168">Lair(100000000/($AM2168-$AL2168))</f>
        <v>3061.2875754041447</v>
      </c>
      <c r="AO2168" s="10">
        <f t="shared" si="1459"/>
        <v>3062.1775144305107</v>
      </c>
      <c r="AP2168" s="12">
        <v>834000000</v>
      </c>
      <c r="AQ2168" s="3">
        <v>0.83699999999999997</v>
      </c>
      <c r="AR2168" s="3">
        <f t="shared" si="1460"/>
        <v>-9.6774799548572208</v>
      </c>
      <c r="AS2168" s="13">
        <f t="shared" si="1461"/>
        <v>66.728952940453638</v>
      </c>
      <c r="AT2168" s="3">
        <f t="shared" si="1462"/>
        <v>2.0034143584694331</v>
      </c>
      <c r="AU2168" s="16" cm="1">
        <f t="array" ref="AU2168">$C2168*EXP(poly_from_str(100000000/$E2168,AU$4342))</f>
        <v>17.071022878044257</v>
      </c>
      <c r="AV2168" s="13">
        <f t="shared" si="1463"/>
        <v>1.3632564782378065</v>
      </c>
    </row>
    <row r="2169" spans="1:48" x14ac:dyDescent="0.25">
      <c r="A2169" t="s">
        <v>2975</v>
      </c>
      <c r="B2169" s="2" t="str">
        <f t="shared" si="1417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1422"/>
        <v>3061.2220000000002</v>
      </c>
      <c r="AB2169" s="3">
        <f t="shared" si="1423"/>
        <v>32657.200000000001</v>
      </c>
      <c r="AC2169" s="3" cm="1">
        <f t="array" ref="AC2169">100000000/LvacE(AA2169)</f>
        <v>32657.199570992012</v>
      </c>
      <c r="AD2169" s="10">
        <f t="shared" si="1424"/>
        <v>1.0334013601593091E-2</v>
      </c>
      <c r="AE2169" s="10" t="b">
        <f t="shared" si="1425"/>
        <v>1</v>
      </c>
      <c r="AP2169"/>
      <c r="AQ2169"/>
      <c r="AU2169" s="16" cm="1">
        <f t="array" ref="AU2169">$C2169*EXP(poly_from_str(100000000/$E2169,AU$4342))</f>
        <v>0</v>
      </c>
    </row>
    <row r="2170" spans="1:48" x14ac:dyDescent="0.25">
      <c r="A2170" t="s">
        <v>2976</v>
      </c>
      <c r="B2170" s="2" t="str">
        <f t="shared" si="1417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1422"/>
        <v>3061.1770000000001</v>
      </c>
      <c r="AB2170" s="3">
        <f t="shared" si="1423"/>
        <v>32657.68</v>
      </c>
      <c r="AC2170" s="3" cm="1">
        <f t="array" ref="AC2170">100000000/LvacE(AA2170)</f>
        <v>32657.67961992398</v>
      </c>
      <c r="AD2170" s="10">
        <f t="shared" si="1424"/>
        <v>1.0334170422018063E-2</v>
      </c>
      <c r="AE2170" s="10" t="b">
        <f t="shared" si="1425"/>
        <v>1</v>
      </c>
      <c r="AP2170"/>
      <c r="AQ2170"/>
      <c r="AU2170" s="16" cm="1">
        <f t="array" ref="AU2170">$C2170*EXP(poly_from_str(100000000/$E2170,AU$4342))</f>
        <v>0</v>
      </c>
    </row>
    <row r="2171" spans="1:48" x14ac:dyDescent="0.25">
      <c r="A2171" t="s">
        <v>2977</v>
      </c>
      <c r="B2171" s="2" t="str">
        <f t="shared" si="1417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1422"/>
        <v>3061.1419999999998</v>
      </c>
      <c r="AB2171" s="3">
        <f t="shared" si="1423"/>
        <v>32658.05</v>
      </c>
      <c r="AC2171" s="3" cm="1">
        <f t="array" ref="AC2171">100000000/LvacE(AA2171)</f>
        <v>32658.053001072527</v>
      </c>
      <c r="AD2171" s="10">
        <f t="shared" si="1424"/>
        <v>1.0334292398241005E-2</v>
      </c>
      <c r="AE2171" s="10" t="b">
        <f t="shared" si="1425"/>
        <v>1</v>
      </c>
      <c r="AP2171"/>
      <c r="AQ2171"/>
      <c r="AU2171" s="16" cm="1">
        <f t="array" ref="AU2171">$C2171*EXP(poly_from_str(100000000/$E2171,AU$4342))</f>
        <v>0</v>
      </c>
    </row>
    <row r="2172" spans="1:48" x14ac:dyDescent="0.25">
      <c r="A2172" t="s">
        <v>2978</v>
      </c>
      <c r="B2172" s="2" t="str">
        <f t="shared" si="1417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1422"/>
        <v>3061.06</v>
      </c>
      <c r="AB2172" s="3">
        <f t="shared" si="1423"/>
        <v>32658.93</v>
      </c>
      <c r="AC2172" s="3" cm="1">
        <f t="array" ref="AC2172">100000000/LvacE(AA2172)</f>
        <v>32658.927813196897</v>
      </c>
      <c r="AD2172" s="10">
        <f t="shared" si="1424"/>
        <v>1.03345781874901E-2</v>
      </c>
      <c r="AE2172" s="10" t="b">
        <f t="shared" si="1425"/>
        <v>1</v>
      </c>
      <c r="AP2172"/>
      <c r="AQ2172"/>
      <c r="AU2172" s="16" cm="1">
        <f t="array" ref="AU2172">$C2172*EXP(poly_from_str(100000000/$E2172,AU$4342))</f>
        <v>13.277924291701847</v>
      </c>
    </row>
    <row r="2173" spans="1:48" x14ac:dyDescent="0.25">
      <c r="A2173" t="s">
        <v>2979</v>
      </c>
      <c r="B2173" s="2" t="str">
        <f t="shared" si="1417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1422"/>
        <v>3058.9639999999999</v>
      </c>
      <c r="AB2173" s="3">
        <f t="shared" si="1423"/>
        <v>32681.3</v>
      </c>
      <c r="AC2173" s="3" cm="1">
        <f t="array" ref="AC2173">100000000/LvacE(AA2173)</f>
        <v>32681.304784650711</v>
      </c>
      <c r="AD2173" s="10">
        <f t="shared" si="1424"/>
        <v>1.0341891042956164E-2</v>
      </c>
      <c r="AE2173" s="10" t="b">
        <f t="shared" si="1425"/>
        <v>1</v>
      </c>
      <c r="AP2173"/>
      <c r="AQ2173"/>
      <c r="AU2173" s="16" cm="1">
        <f t="array" ref="AU2173">$C2173*EXP(poly_from_str(100000000/$E2173,AU$4342))</f>
        <v>0</v>
      </c>
    </row>
    <row r="2174" spans="1:48" x14ac:dyDescent="0.25">
      <c r="A2174" t="s">
        <v>2980</v>
      </c>
      <c r="B2174" s="2" t="str">
        <f t="shared" si="1417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1422"/>
        <v>3058.9360000000001</v>
      </c>
      <c r="AB2174" s="3">
        <f t="shared" si="1423"/>
        <v>32681.599999999999</v>
      </c>
      <c r="AC2174" s="3" cm="1">
        <f t="array" ref="AC2174">100000000/LvacE(AA2174)</f>
        <v>32681.603921208171</v>
      </c>
      <c r="AD2174" s="10">
        <f t="shared" si="1424"/>
        <v>1.0341988835531075E-2</v>
      </c>
      <c r="AE2174" s="10" t="b">
        <f t="shared" si="1425"/>
        <v>1</v>
      </c>
      <c r="AP2174"/>
      <c r="AQ2174"/>
      <c r="AU2174" s="16" cm="1">
        <f t="array" ref="AU2174">$C2174*EXP(poly_from_str(100000000/$E2174,AU$4342))</f>
        <v>0</v>
      </c>
    </row>
    <row r="2175" spans="1:48" x14ac:dyDescent="0.25">
      <c r="A2175" t="s">
        <v>2981</v>
      </c>
      <c r="B2175" s="2" t="str">
        <f t="shared" si="1417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1422"/>
        <v>3058.9009999999998</v>
      </c>
      <c r="AB2175" s="3">
        <f t="shared" si="1423"/>
        <v>32681.98</v>
      </c>
      <c r="AC2175" s="3" cm="1">
        <f t="array" ref="AC2175">100000000/LvacE(AA2175)</f>
        <v>32681.977849605595</v>
      </c>
      <c r="AD2175" s="10">
        <f t="shared" si="1424"/>
        <v>1.0342111080026061E-2</v>
      </c>
      <c r="AE2175" s="10" t="b">
        <f t="shared" si="1425"/>
        <v>1</v>
      </c>
      <c r="AJ2175" t="s">
        <v>4774</v>
      </c>
      <c r="AK2175" t="s">
        <v>4694</v>
      </c>
      <c r="AL2175">
        <v>33466.410000000003</v>
      </c>
      <c r="AM2175">
        <v>66148.399999999994</v>
      </c>
      <c r="AN2175" s="10" cm="1">
        <f t="array" ref="AN2175">Lair(100000000/($AM2175-$AL2175))</f>
        <v>3058.8998576770477</v>
      </c>
      <c r="AO2175" s="10">
        <f>100000000/($AM2175-$AL2175)</f>
        <v>3059.7891988829329</v>
      </c>
      <c r="AP2175" s="12">
        <v>2020000000</v>
      </c>
      <c r="AQ2175" s="3">
        <v>0.88500000000000001</v>
      </c>
      <c r="AR2175" s="3">
        <f>LN(AU2175*100000000/($AM2175-$AL2175)/AP2175)</f>
        <v>-7.7491265603964452</v>
      </c>
      <c r="AS2175" s="13">
        <f>EXP(AR$4341*$AM2175+AR$4342)*$AP2175/(100000000/($AM2175-$AL2175))</f>
        <v>407.58700770959581</v>
      </c>
      <c r="AT2175" s="3">
        <f>LN(AS2175/$C2175)</f>
        <v>0.99961913164516514</v>
      </c>
      <c r="AU2175" s="16" cm="1">
        <f t="array" ref="AU2175">$C2175*EXP(poly_from_str(100000000/$E2175,AU$4342))</f>
        <v>284.61445775914962</v>
      </c>
      <c r="AV2175" s="13">
        <f>LN(AS2175/AU2175)</f>
        <v>0.35911894109785103</v>
      </c>
    </row>
    <row r="2176" spans="1:48" x14ac:dyDescent="0.25">
      <c r="A2176" t="s">
        <v>2982</v>
      </c>
      <c r="B2176" s="2" t="str">
        <f t="shared" si="1417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1422"/>
        <v>3058.393</v>
      </c>
      <c r="AB2176" s="3">
        <f t="shared" si="1423"/>
        <v>32687.41</v>
      </c>
      <c r="AC2176" s="3" cm="1">
        <f t="array" ref="AC2176">100000000/LvacE(AA2176)</f>
        <v>32687.406116721089</v>
      </c>
      <c r="AD2176" s="10">
        <f t="shared" si="1424"/>
        <v>1.0343885844088886E-2</v>
      </c>
      <c r="AE2176" s="10" t="b">
        <f t="shared" si="1425"/>
        <v>1</v>
      </c>
      <c r="AP2176"/>
      <c r="AQ2176"/>
      <c r="AU2176" s="16" cm="1">
        <f t="array" ref="AU2176">$C2176*EXP(poly_from_str(100000000/$E2176,AU$4342))</f>
        <v>1.8975479980126868</v>
      </c>
    </row>
    <row r="2177" spans="1:48" x14ac:dyDescent="0.25">
      <c r="A2177" t="s">
        <v>2983</v>
      </c>
      <c r="B2177" s="2" t="str">
        <f t="shared" si="1417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1422"/>
        <v>3058.2950000000001</v>
      </c>
      <c r="AB2177" s="3">
        <f t="shared" si="1423"/>
        <v>32688.45</v>
      </c>
      <c r="AC2177" s="3" cm="1">
        <f t="array" ref="AC2177">100000000/LvacE(AA2177)</f>
        <v>32688.45350959431</v>
      </c>
      <c r="AD2177" s="10">
        <f t="shared" si="1424"/>
        <v>1.0344228321596562E-2</v>
      </c>
      <c r="AE2177" s="10" t="b">
        <f t="shared" si="1425"/>
        <v>1</v>
      </c>
      <c r="AP2177"/>
      <c r="AQ2177"/>
      <c r="AU2177" s="16" cm="1">
        <f t="array" ref="AU2177">$C2177*EXP(poly_from_str(100000000/$E2177,AU$4342))</f>
        <v>1.8975698185464502</v>
      </c>
    </row>
    <row r="2178" spans="1:48" x14ac:dyDescent="0.25">
      <c r="A2178" t="s">
        <v>2984</v>
      </c>
      <c r="B2178" s="2" t="str">
        <f t="shared" ref="B2178:B2241" si="1464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1422"/>
        <v>3057.6689999999999</v>
      </c>
      <c r="AB2178" s="3">
        <f t="shared" si="1423"/>
        <v>32695.15</v>
      </c>
      <c r="AC2178" s="3" cm="1">
        <f t="array" ref="AC2178">100000000/LvacE(AA2178)</f>
        <v>32695.145582837926</v>
      </c>
      <c r="AD2178" s="10">
        <f t="shared" si="1424"/>
        <v>1.0346416761074846E-2</v>
      </c>
      <c r="AE2178" s="10" t="b">
        <f t="shared" si="1425"/>
        <v>1</v>
      </c>
      <c r="AP2178"/>
      <c r="AQ2178"/>
      <c r="AU2178" s="16" cm="1">
        <f t="array" ref="AU2178">$C2178*EXP(poly_from_str(100000000/$E2178,AU$4342))</f>
        <v>1.8977039702758653</v>
      </c>
    </row>
    <row r="2179" spans="1:48" x14ac:dyDescent="0.25">
      <c r="A2179" t="s">
        <v>2985</v>
      </c>
      <c r="B2179" s="2" t="str">
        <f t="shared" si="1464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1465">$G2179&amp;""</f>
        <v>e</v>
      </c>
      <c r="N2179" t="str">
        <f t="shared" ref="N2179:N2181" si="1466">$H2179&amp;""</f>
        <v>9/2</v>
      </c>
      <c r="O2179">
        <v>68525.62</v>
      </c>
      <c r="P2179" t="str">
        <f t="shared" ref="P2179:P2181" si="1467">$J2179&amp;""</f>
        <v>o</v>
      </c>
      <c r="Q2179" t="str">
        <f t="shared" ref="Q2179:Q2181" si="1468">$K2179&amp;""</f>
        <v>11/2</v>
      </c>
      <c r="R2179">
        <v>21</v>
      </c>
      <c r="AA2179" s="10">
        <f t="shared" ref="AA2179:AA2242" si="1469">ROUND($A2179,3)+0</f>
        <v>3057.48</v>
      </c>
      <c r="AB2179" s="3">
        <f t="shared" ref="AB2179:AB2242" si="1470">ROUND($E2179,2)+0</f>
        <v>32697.17</v>
      </c>
      <c r="AC2179" s="3" cm="1">
        <f t="array" ref="AC2179">100000000/LvacE(AA2179)</f>
        <v>32697.166571598511</v>
      </c>
      <c r="AD2179" s="10">
        <f t="shared" ref="AD2179:AD2242" si="1471">0.0005/$AA2179*AC2179+0.005</f>
        <v>1.0347077752200916E-2</v>
      </c>
      <c r="AE2179" s="10" t="b">
        <f t="shared" ref="AE2179:AE2242" si="1472">ABS(AB2179-AC2179)&lt;AD2179</f>
        <v>1</v>
      </c>
      <c r="AJ2179" t="s">
        <v>4773</v>
      </c>
      <c r="AK2179" t="s">
        <v>4869</v>
      </c>
      <c r="AL2179">
        <v>35828.46</v>
      </c>
      <c r="AM2179">
        <v>68525.62</v>
      </c>
      <c r="AN2179" s="10" cm="1">
        <f t="array" ref="AN2179">Lair(100000000/($AM2179-$AL2179))</f>
        <v>3057.480609485222</v>
      </c>
      <c r="AO2179" s="10">
        <f t="shared" ref="AO2179:AO2181" si="1473">100000000/($AM2179-$AL2179)</f>
        <v>3058.36959540217</v>
      </c>
      <c r="AP2179" s="12">
        <v>197000000</v>
      </c>
      <c r="AQ2179" s="3">
        <v>0.36699999999999999</v>
      </c>
      <c r="AR2179" s="3">
        <f t="shared" ref="AR2179:AR2181" si="1474">LN(AU2179*100000000/($AM2179-$AL2179)/AP2179)</f>
        <v>-8.4865020147556205</v>
      </c>
      <c r="AS2179" s="13">
        <f t="shared" ref="AS2179:AS2181" si="1475">EXP(AR$4341*$AM2179+AR$4342)*$AP2179/(100000000/($AM2179-$AL2179))</f>
        <v>33.270355253990331</v>
      </c>
      <c r="AT2179" s="3">
        <f t="shared" ref="AT2179:AT2181" si="1476">LN(AS2179/$C2179)</f>
        <v>1.5587566188257982</v>
      </c>
      <c r="AU2179" s="16" cm="1">
        <f t="array" ref="AU2179">$C2179*EXP(poly_from_str(100000000/$E2179,AU$4342))</f>
        <v>13.284195640760547</v>
      </c>
      <c r="AV2179" s="13">
        <f t="shared" ref="AV2179:AV2181" si="1477">LN(AS2179/AU2179)</f>
        <v>0.91809173692608836</v>
      </c>
    </row>
    <row r="2180" spans="1:48" x14ac:dyDescent="0.25">
      <c r="A2180" t="s">
        <v>2986</v>
      </c>
      <c r="B2180" s="2" t="str">
        <f t="shared" si="1464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1465"/>
        <v>e</v>
      </c>
      <c r="N2180" t="str">
        <f t="shared" si="1466"/>
        <v>9/2</v>
      </c>
      <c r="O2180">
        <v>71736.45</v>
      </c>
      <c r="P2180" t="str">
        <f t="shared" si="1467"/>
        <v>o</v>
      </c>
      <c r="Q2180" t="str">
        <f t="shared" si="1468"/>
        <v>11/2</v>
      </c>
      <c r="R2180">
        <v>21</v>
      </c>
      <c r="AA2180" s="10">
        <f t="shared" si="1469"/>
        <v>3056.08</v>
      </c>
      <c r="AB2180" s="3">
        <f t="shared" si="1470"/>
        <v>32712.14</v>
      </c>
      <c r="AC2180" s="3" cm="1">
        <f t="array" ref="AC2180">100000000/LvacE(AA2180)</f>
        <v>32712.144641923562</v>
      </c>
      <c r="AD2180" s="10">
        <f t="shared" si="1471"/>
        <v>1.0351977801942941E-2</v>
      </c>
      <c r="AE2180" s="10" t="b">
        <f t="shared" si="1472"/>
        <v>1</v>
      </c>
      <c r="AJ2180" t="s">
        <v>4702</v>
      </c>
      <c r="AK2180" t="s">
        <v>4875</v>
      </c>
      <c r="AL2180">
        <v>39024.269999999997</v>
      </c>
      <c r="AM2180">
        <v>71736.45</v>
      </c>
      <c r="AN2180" s="10" cm="1">
        <f t="array" ref="AN2180">Lair(100000000/($AM2180-$AL2180))</f>
        <v>3056.0766915605745</v>
      </c>
      <c r="AO2180" s="10">
        <f t="shared" si="1473"/>
        <v>3056.9653260650925</v>
      </c>
      <c r="AP2180" s="12">
        <v>186000000</v>
      </c>
      <c r="AQ2180" s="3">
        <v>0.66300000000000003</v>
      </c>
      <c r="AR2180" s="3">
        <f t="shared" si="1474"/>
        <v>-8.4293714035845486</v>
      </c>
      <c r="AS2180" s="13">
        <f t="shared" si="1475"/>
        <v>24.697612683060896</v>
      </c>
      <c r="AT2180" s="3">
        <f t="shared" si="1476"/>
        <v>1.2607964373998075</v>
      </c>
      <c r="AU2180" s="16" cm="1">
        <f t="array" ref="AU2180">$C2180*EXP(poly_from_str(100000000/$E2180,AU$4342))</f>
        <v>13.285960135346597</v>
      </c>
      <c r="AV2180" s="13">
        <f t="shared" si="1477"/>
        <v>0.61999873771735603</v>
      </c>
    </row>
    <row r="2181" spans="1:48" x14ac:dyDescent="0.25">
      <c r="A2181" t="s">
        <v>2987</v>
      </c>
      <c r="B2181" s="2" t="str">
        <f t="shared" si="1464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1465"/>
        <v>e</v>
      </c>
      <c r="N2181" t="str">
        <f t="shared" si="1466"/>
        <v>9/2</v>
      </c>
      <c r="O2181">
        <v>61605.66</v>
      </c>
      <c r="P2181" t="str">
        <f t="shared" si="1467"/>
        <v>o</v>
      </c>
      <c r="Q2181" t="str">
        <f t="shared" si="1468"/>
        <v>7/2</v>
      </c>
      <c r="R2181">
        <v>21</v>
      </c>
      <c r="AA2181" s="10">
        <f t="shared" si="1469"/>
        <v>3055.299</v>
      </c>
      <c r="AB2181" s="3">
        <f t="shared" si="1470"/>
        <v>32720.51</v>
      </c>
      <c r="AC2181" s="3" cm="1">
        <f t="array" ref="AC2181">100000000/LvacE(AA2181)</f>
        <v>32720.506229613242</v>
      </c>
      <c r="AD2181" s="10">
        <f t="shared" si="1471"/>
        <v>1.0354714257035602E-2</v>
      </c>
      <c r="AE2181" s="10" t="b">
        <f t="shared" si="1472"/>
        <v>1</v>
      </c>
      <c r="AJ2181" t="s">
        <v>4742</v>
      </c>
      <c r="AK2181" t="s">
        <v>4822</v>
      </c>
      <c r="AL2181">
        <v>28885.14</v>
      </c>
      <c r="AM2181">
        <v>61605.66</v>
      </c>
      <c r="AN2181" s="10" cm="1">
        <f t="array" ref="AN2181">Lair(100000000/($AM2181-$AL2181))</f>
        <v>3055.2977090955455</v>
      </c>
      <c r="AO2181" s="10">
        <f t="shared" si="1473"/>
        <v>3056.1861486308894</v>
      </c>
      <c r="AP2181" s="12">
        <v>442000000</v>
      </c>
      <c r="AQ2181" s="3">
        <v>0.27600000000000002</v>
      </c>
      <c r="AR2181" s="3">
        <f t="shared" si="1474"/>
        <v>-6.9925429304672884</v>
      </c>
      <c r="AS2181" s="13">
        <f t="shared" si="1475"/>
        <v>125.56300667349331</v>
      </c>
      <c r="AT2181" s="3">
        <f t="shared" si="1476"/>
        <v>0.58431243574706682</v>
      </c>
      <c r="AU2181" s="16" cm="1">
        <f t="array" ref="AU2181">$C2181*EXP(poly_from_str(100000000/$E2181,AU$4342))</f>
        <v>132.86777338718821</v>
      </c>
      <c r="AV2181" s="13">
        <f t="shared" si="1477"/>
        <v>-5.6546770836830636E-2</v>
      </c>
    </row>
    <row r="2182" spans="1:48" x14ac:dyDescent="0.25">
      <c r="A2182" t="s">
        <v>2988</v>
      </c>
      <c r="B2182" s="2" t="str">
        <f t="shared" si="1464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1469"/>
        <v>3055.268</v>
      </c>
      <c r="AB2182" s="3">
        <f t="shared" si="1470"/>
        <v>32720.84</v>
      </c>
      <c r="AC2182" s="3" cm="1">
        <f t="array" ref="AC2182">100000000/LvacE(AA2182)</f>
        <v>32720.838211820253</v>
      </c>
      <c r="AD2182" s="10">
        <f t="shared" si="1471"/>
        <v>1.0354822917632799E-2</v>
      </c>
      <c r="AE2182" s="10" t="b">
        <f t="shared" si="1472"/>
        <v>1</v>
      </c>
      <c r="AP2182"/>
      <c r="AQ2182"/>
      <c r="AU2182" s="16" cm="1">
        <f t="array" ref="AU2182">$C2182*EXP(poly_from_str(100000000/$E2182,AU$4342))</f>
        <v>0</v>
      </c>
    </row>
    <row r="2183" spans="1:48" x14ac:dyDescent="0.25">
      <c r="A2183" t="s">
        <v>2989</v>
      </c>
      <c r="B2183" s="2" t="str">
        <f t="shared" si="1464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1469"/>
        <v>3055.2420000000002</v>
      </c>
      <c r="AB2183" s="3">
        <f t="shared" si="1470"/>
        <v>32721.119999999999</v>
      </c>
      <c r="AC2183" s="3" cm="1">
        <f t="array" ref="AC2183">100000000/LvacE(AA2183)</f>
        <v>32721.116653704285</v>
      </c>
      <c r="AD2183" s="10">
        <f t="shared" si="1471"/>
        <v>1.0354914054877533E-2</v>
      </c>
      <c r="AE2183" s="10" t="b">
        <f t="shared" si="1472"/>
        <v>1</v>
      </c>
      <c r="AP2183"/>
      <c r="AQ2183"/>
      <c r="AU2183" s="16" cm="1">
        <f t="array" ref="AU2183">$C2183*EXP(poly_from_str(100000000/$E2183,AU$4342))</f>
        <v>0</v>
      </c>
    </row>
    <row r="2184" spans="1:48" x14ac:dyDescent="0.25">
      <c r="A2184" t="s">
        <v>2990</v>
      </c>
      <c r="B2184" s="2" t="str">
        <f t="shared" si="1464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1469"/>
        <v>3055.0160000000001</v>
      </c>
      <c r="AB2184" s="3">
        <f t="shared" si="1470"/>
        <v>32723.54</v>
      </c>
      <c r="AC2184" s="3" cm="1">
        <f t="array" ref="AC2184">100000000/LvacE(AA2184)</f>
        <v>32723.537155864826</v>
      </c>
      <c r="AD2184" s="10">
        <f t="shared" si="1471"/>
        <v>1.0355706345869355E-2</v>
      </c>
      <c r="AE2184" s="10" t="b">
        <f t="shared" si="1472"/>
        <v>1</v>
      </c>
      <c r="AJ2184" t="s">
        <v>4697</v>
      </c>
      <c r="AK2184" t="s">
        <v>4821</v>
      </c>
      <c r="AL2184">
        <v>29835.09</v>
      </c>
      <c r="AM2184">
        <v>62558.67</v>
      </c>
      <c r="AN2184" s="10" cm="1">
        <f t="array" ref="AN2184">Lair(100000000/($AM2184-$AL2184))</f>
        <v>3055.0119949520481</v>
      </c>
      <c r="AO2184" s="10">
        <f>100000000/($AM2184-$AL2184)</f>
        <v>3055.9003629798453</v>
      </c>
      <c r="AP2184" s="12">
        <v>18300000</v>
      </c>
      <c r="AQ2184" s="3">
        <v>0.108</v>
      </c>
      <c r="AR2184" s="3">
        <f>LN(AU2184*100000000/($AM2184-$AL2184)/AP2184)</f>
        <v>-6.4472649412963943</v>
      </c>
      <c r="AS2184" s="13">
        <f>EXP(AR$4341*$AM2184+AR$4342)*$AP2184/(100000000/($AM2184-$AL2184))</f>
        <v>4.8402775196371666</v>
      </c>
      <c r="AT2184" s="3">
        <f>LN(AS2184/$C2184)</f>
        <v>-3.2465854581354717E-2</v>
      </c>
      <c r="AU2184" s="16" cm="1">
        <f t="array" ref="AU2184">$C2184*EXP(poly_from_str(100000000/$E2184,AU$4342))</f>
        <v>9.4907451638922922</v>
      </c>
      <c r="AV2184" s="13">
        <f>LN(AS2184/AU2184)</f>
        <v>-0.67334507264457377</v>
      </c>
    </row>
    <row r="2185" spans="1:48" x14ac:dyDescent="0.25">
      <c r="A2185" t="s">
        <v>2991</v>
      </c>
      <c r="B2185" s="2" t="str">
        <f t="shared" si="1464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1469"/>
        <v>3053.8969999999999</v>
      </c>
      <c r="AB2185" s="3">
        <f t="shared" si="1470"/>
        <v>32735.53</v>
      </c>
      <c r="AC2185" s="3" cm="1">
        <f t="array" ref="AC2185">100000000/LvacE(AA2185)</f>
        <v>32735.527132554536</v>
      </c>
      <c r="AD2185" s="10">
        <f t="shared" si="1471"/>
        <v>1.0359631829847983E-2</v>
      </c>
      <c r="AE2185" s="10" t="b">
        <f t="shared" si="1472"/>
        <v>1</v>
      </c>
      <c r="AP2185"/>
      <c r="AQ2185"/>
      <c r="AU2185" s="16" cm="1">
        <f t="array" ref="AU2185">$C2185*EXP(poly_from_str(100000000/$E2185,AU$4342))</f>
        <v>1.8982770413483352</v>
      </c>
    </row>
    <row r="2186" spans="1:48" x14ac:dyDescent="0.25">
      <c r="A2186" t="s">
        <v>2992</v>
      </c>
      <c r="B2186" s="2" t="str">
        <f t="shared" si="1464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1469"/>
        <v>3053.4749999999999</v>
      </c>
      <c r="AB2186" s="3">
        <f t="shared" si="1470"/>
        <v>32740.05</v>
      </c>
      <c r="AC2186" s="3" cm="1">
        <f t="array" ref="AC2186">100000000/LvacE(AA2186)</f>
        <v>32740.051103512149</v>
      </c>
      <c r="AD2186" s="10">
        <f t="shared" si="1471"/>
        <v>1.0361113338657128E-2</v>
      </c>
      <c r="AE2186" s="10" t="b">
        <f t="shared" si="1472"/>
        <v>1</v>
      </c>
      <c r="AP2186"/>
      <c r="AQ2186"/>
      <c r="AU2186" s="16" cm="1">
        <f t="array" ref="AU2186">$C2186*EXP(poly_from_str(100000000/$E2186,AU$4342))</f>
        <v>7.5932642349968846</v>
      </c>
    </row>
    <row r="2187" spans="1:48" x14ac:dyDescent="0.25">
      <c r="A2187" t="s">
        <v>2993</v>
      </c>
      <c r="B2187" s="2" t="str">
        <f t="shared" si="1464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1469"/>
        <v>3053.2730000000001</v>
      </c>
      <c r="AB2187" s="3">
        <f t="shared" si="1470"/>
        <v>32742.22</v>
      </c>
      <c r="AC2187" s="3" cm="1">
        <f t="array" ref="AC2187">100000000/LvacE(AA2187)</f>
        <v>32742.217048732386</v>
      </c>
      <c r="AD2187" s="10">
        <f t="shared" si="1471"/>
        <v>1.0361822714302388E-2</v>
      </c>
      <c r="AE2187" s="10" t="b">
        <f t="shared" si="1472"/>
        <v>1</v>
      </c>
      <c r="AP2187"/>
      <c r="AQ2187"/>
      <c r="AU2187" s="16" cm="1">
        <f t="array" ref="AU2187">$C2187*EXP(poly_from_str(100000000/$E2187,AU$4342))</f>
        <v>15.186663946922199</v>
      </c>
    </row>
    <row r="2188" spans="1:48" x14ac:dyDescent="0.25">
      <c r="A2188" t="s">
        <v>2994</v>
      </c>
      <c r="B2188" s="2" t="str">
        <f t="shared" si="1464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1469"/>
        <v>3053.2089999999998</v>
      </c>
      <c r="AB2188" s="3">
        <f t="shared" si="1470"/>
        <v>32742.9</v>
      </c>
      <c r="AC2188" s="3" cm="1">
        <f t="array" ref="AC2188">100000000/LvacE(AA2188)</f>
        <v>32742.903348584176</v>
      </c>
      <c r="AD2188" s="10">
        <f t="shared" si="1471"/>
        <v>1.0362047496352882E-2</v>
      </c>
      <c r="AE2188" s="10" t="b">
        <f t="shared" si="1472"/>
        <v>1</v>
      </c>
      <c r="AP2188"/>
      <c r="AQ2188"/>
      <c r="AU2188" s="16" cm="1">
        <f t="array" ref="AU2188">$C2188*EXP(poly_from_str(100000000/$E2188,AU$4342))</f>
        <v>15.186704481277586</v>
      </c>
    </row>
    <row r="2189" spans="1:48" x14ac:dyDescent="0.25">
      <c r="A2189" t="s">
        <v>2995</v>
      </c>
      <c r="B2189" s="2" t="str">
        <f t="shared" si="1464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1469"/>
        <v>3051.0189999999998</v>
      </c>
      <c r="AB2189" s="3">
        <f t="shared" si="1470"/>
        <v>32766.400000000001</v>
      </c>
      <c r="AC2189" s="3" cm="1">
        <f t="array" ref="AC2189">100000000/LvacE(AA2189)</f>
        <v>32766.405019913604</v>
      </c>
      <c r="AD2189" s="10">
        <f t="shared" si="1471"/>
        <v>1.0369747782611908E-2</v>
      </c>
      <c r="AE2189" s="10" t="b">
        <f t="shared" si="1472"/>
        <v>1</v>
      </c>
      <c r="AJ2189" t="s">
        <v>4793</v>
      </c>
      <c r="AK2189" t="s">
        <v>4951</v>
      </c>
      <c r="AL2189">
        <v>36642.129999999997</v>
      </c>
      <c r="AM2189">
        <v>69408.509999999995</v>
      </c>
      <c r="AN2189" s="10" cm="1">
        <f t="array" ref="AN2189">Lair(100000000/($AM2189-$AL2189))</f>
        <v>3051.0213247918673</v>
      </c>
      <c r="AO2189" s="10">
        <f>100000000/($AM2189-$AL2189)</f>
        <v>3051.9086942164499</v>
      </c>
      <c r="AP2189" s="12">
        <v>7830000</v>
      </c>
      <c r="AQ2189" s="3">
        <v>2.4E-2</v>
      </c>
      <c r="AR2189" s="3"/>
      <c r="AS2189" s="13">
        <f>EXP(AR$4341*$AM2189+AR$4342)*$AP2189/(100000000/($AM2189-$AL2189))</f>
        <v>1.2402119358887616</v>
      </c>
      <c r="AT2189" s="3"/>
      <c r="AU2189" s="16" cm="1">
        <f t="array" ref="AU2189">$C2189*EXP(poly_from_str(100000000/$E2189,AU$4342))</f>
        <v>3.7968856714021162</v>
      </c>
    </row>
    <row r="2190" spans="1:48" x14ac:dyDescent="0.25">
      <c r="A2190" t="s">
        <v>2996</v>
      </c>
      <c r="B2190" s="2" t="str">
        <f t="shared" si="1464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1469"/>
        <v>3050.335</v>
      </c>
      <c r="AB2190" s="3">
        <f t="shared" si="1470"/>
        <v>32773.75</v>
      </c>
      <c r="AC2190" s="3" cm="1">
        <f t="array" ref="AC2190">100000000/LvacE(AA2190)</f>
        <v>32773.752183375698</v>
      </c>
      <c r="AD2190" s="10">
        <f t="shared" si="1471"/>
        <v>1.0372156203068795E-2</v>
      </c>
      <c r="AE2190" s="10" t="b">
        <f t="shared" si="1472"/>
        <v>1</v>
      </c>
      <c r="AP2190"/>
      <c r="AQ2190"/>
      <c r="AU2190" s="16" cm="1">
        <f t="array" ref="AU2190">$C2190*EXP(poly_from_str(100000000/$E2190,AU$4342))</f>
        <v>0</v>
      </c>
    </row>
    <row r="2191" spans="1:48" x14ac:dyDescent="0.25">
      <c r="A2191" t="s">
        <v>2997</v>
      </c>
      <c r="B2191" s="2" t="str">
        <f t="shared" si="1464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1469"/>
        <v>3050.3029999999999</v>
      </c>
      <c r="AB2191" s="3">
        <f t="shared" si="1470"/>
        <v>32774.1</v>
      </c>
      <c r="AC2191" s="3" cm="1">
        <f t="array" ref="AC2191">100000000/LvacE(AA2191)</f>
        <v>32774.095990998867</v>
      </c>
      <c r="AD2191" s="10">
        <f t="shared" si="1471"/>
        <v>1.0372268917382776E-2</v>
      </c>
      <c r="AE2191" s="10" t="b">
        <f t="shared" si="1472"/>
        <v>1</v>
      </c>
      <c r="AJ2191" t="s">
        <v>4788</v>
      </c>
      <c r="AK2191" t="s">
        <v>4850</v>
      </c>
      <c r="AL2191">
        <v>30994.55</v>
      </c>
      <c r="AM2191">
        <v>63768.66</v>
      </c>
      <c r="AN2191" s="10" cm="1">
        <f t="array" ref="AN2191">Lair(100000000/($AM2191-$AL2191))</f>
        <v>3050.3016911104787</v>
      </c>
      <c r="AO2191" s="10">
        <f>100000000/($AM2191-$AL2191)</f>
        <v>3051.1888804913392</v>
      </c>
      <c r="AP2191" s="12">
        <v>923000000</v>
      </c>
      <c r="AQ2191" s="3">
        <v>0.65400000000000003</v>
      </c>
      <c r="AR2191" s="3">
        <f>LN(AU2191*100000000/($AM2191-$AL2191)/AP2191)</f>
        <v>-7.1913250430037907</v>
      </c>
      <c r="AS2191" s="13">
        <f>EXP(AR$4341*$AM2191+AR$4342)*$AP2191/(100000000/($AM2191-$AL2191))</f>
        <v>223.28240468797887</v>
      </c>
      <c r="AT2191" s="3">
        <f>LN(AS2191/$C2191)</f>
        <v>0.62094561621953348</v>
      </c>
      <c r="AU2191" s="16" cm="1">
        <f t="array" ref="AU2191">$C2191*EXP(poly_from_str(100000000/$E2191,AU$4342))</f>
        <v>227.81369299512178</v>
      </c>
      <c r="AV2191" s="13">
        <f>LN(AS2191/AU2191)</f>
        <v>-2.0090799928961477E-2</v>
      </c>
    </row>
    <row r="2192" spans="1:48" x14ac:dyDescent="0.25">
      <c r="A2192" t="s">
        <v>2998</v>
      </c>
      <c r="B2192" s="2" t="str">
        <f t="shared" si="1464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1469"/>
        <v>3050.087</v>
      </c>
      <c r="AB2192" s="3">
        <f t="shared" si="1470"/>
        <v>32776.42</v>
      </c>
      <c r="AC2192" s="3" cm="1">
        <f t="array" ref="AC2192">100000000/LvacE(AA2192)</f>
        <v>32776.416881136203</v>
      </c>
      <c r="AD2192" s="10">
        <f t="shared" si="1471"/>
        <v>1.0373029831794341E-2</v>
      </c>
      <c r="AE2192" s="10" t="b">
        <f t="shared" si="1472"/>
        <v>1</v>
      </c>
      <c r="AP2192"/>
      <c r="AQ2192"/>
      <c r="AU2192" s="16" cm="1">
        <f t="array" ref="AU2192">$C2192*EXP(poly_from_str(100000000/$E2192,AU$4342))</f>
        <v>0</v>
      </c>
    </row>
    <row r="2193" spans="1:48" x14ac:dyDescent="0.25">
      <c r="A2193" t="s">
        <v>2999</v>
      </c>
      <c r="B2193" s="2" t="str">
        <f t="shared" si="1464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1469"/>
        <v>3050.06</v>
      </c>
      <c r="AB2193" s="3">
        <f t="shared" si="1470"/>
        <v>32776.71</v>
      </c>
      <c r="AC2193" s="3" cm="1">
        <f t="array" ref="AC2193">100000000/LvacE(AA2193)</f>
        <v>32776.707015515058</v>
      </c>
      <c r="AD2193" s="10">
        <f t="shared" si="1471"/>
        <v>1.0373124957462322E-2</v>
      </c>
      <c r="AE2193" s="10" t="b">
        <f t="shared" si="1472"/>
        <v>1</v>
      </c>
      <c r="AP2193"/>
      <c r="AQ2193"/>
      <c r="AU2193" s="16" cm="1">
        <f t="array" ref="AU2193">$C2193*EXP(poly_from_str(100000000/$E2193,AU$4342))</f>
        <v>0</v>
      </c>
    </row>
    <row r="2194" spans="1:48" x14ac:dyDescent="0.25">
      <c r="A2194" t="s">
        <v>3000</v>
      </c>
      <c r="B2194" s="2" t="str">
        <f t="shared" si="1464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1469"/>
        <v>3050.018</v>
      </c>
      <c r="AB2194" s="3">
        <f t="shared" si="1470"/>
        <v>32777.160000000003</v>
      </c>
      <c r="AC2194" s="3" cm="1">
        <f t="array" ref="AC2194">100000000/LvacE(AA2194)</f>
        <v>32777.158345869357</v>
      </c>
      <c r="AD2194" s="10">
        <f t="shared" si="1471"/>
        <v>1.0373272935744863E-2</v>
      </c>
      <c r="AE2194" s="10" t="b">
        <f t="shared" si="1472"/>
        <v>1</v>
      </c>
      <c r="AP2194"/>
      <c r="AQ2194"/>
      <c r="AU2194" s="16" cm="1">
        <f t="array" ref="AU2194">$C2194*EXP(poly_from_str(100000000/$E2194,AU$4342))</f>
        <v>15.187561596648262</v>
      </c>
    </row>
    <row r="2195" spans="1:48" x14ac:dyDescent="0.25">
      <c r="A2195" t="s">
        <v>3001</v>
      </c>
      <c r="B2195" s="2" t="str">
        <f t="shared" si="1464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1469"/>
        <v>3048.07</v>
      </c>
      <c r="AB2195" s="3">
        <f t="shared" si="1470"/>
        <v>32798.1</v>
      </c>
      <c r="AC2195" s="3" cm="1">
        <f t="array" ref="AC2195">100000000/LvacE(AA2195)</f>
        <v>32798.10514322931</v>
      </c>
      <c r="AD2195" s="10">
        <f t="shared" si="1471"/>
        <v>1.0380143032021789E-2</v>
      </c>
      <c r="AE2195" s="10" t="b">
        <f t="shared" si="1472"/>
        <v>1</v>
      </c>
      <c r="AJ2195" t="s">
        <v>4939</v>
      </c>
      <c r="AK2195" t="s">
        <v>4884</v>
      </c>
      <c r="AL2195">
        <v>50227.79</v>
      </c>
      <c r="AM2195">
        <v>83025.91</v>
      </c>
      <c r="AN2195" s="10" cm="1">
        <f t="array" ref="AN2195">Lair(100000000/($AM2195-$AL2195))</f>
        <v>3048.0686142387208</v>
      </c>
      <c r="AO2195" s="10">
        <f>100000000/($AM2195-$AL2195)</f>
        <v>3048.9552449957496</v>
      </c>
      <c r="AP2195" s="12">
        <v>187000000</v>
      </c>
      <c r="AQ2195" s="3">
        <v>0.33800000000000002</v>
      </c>
      <c r="AR2195" s="3">
        <f>LN(AU2195*100000000/($AM2195-$AL2195)/AP2195)</f>
        <v>-8.3036289421950737</v>
      </c>
      <c r="AS2195" s="13">
        <f>EXP(AR$4341*$AM2195+AR$4342)*$AP2195/(100000000/($AM2195-$AL2195))</f>
        <v>10.670200400533826</v>
      </c>
      <c r="AT2195" s="3">
        <f>LN(AS2195/$C2195)</f>
        <v>0.28801330513822349</v>
      </c>
      <c r="AU2195" s="16" cm="1">
        <f t="array" ref="AU2195">$C2195*EXP(poly_from_str(100000000/$E2195,AU$4342))</f>
        <v>15.186941766770046</v>
      </c>
      <c r="AV2195" s="13">
        <f>LN(AS2195/AU2195)</f>
        <v>-0.35298111750974037</v>
      </c>
    </row>
    <row r="2196" spans="1:48" x14ac:dyDescent="0.25">
      <c r="A2196" t="s">
        <v>3002</v>
      </c>
      <c r="B2196" s="2" t="str">
        <f t="shared" si="1464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1469"/>
        <v>3048</v>
      </c>
      <c r="AB2196" s="3">
        <f t="shared" si="1470"/>
        <v>32798.86</v>
      </c>
      <c r="AC2196" s="3" cm="1">
        <f t="array" ref="AC2196">100000000/LvacE(AA2196)</f>
        <v>32798.858349866197</v>
      </c>
      <c r="AD2196" s="10">
        <f t="shared" si="1471"/>
        <v>1.0380390149256267E-2</v>
      </c>
      <c r="AE2196" s="10" t="b">
        <f t="shared" si="1472"/>
        <v>1</v>
      </c>
      <c r="AP2196"/>
      <c r="AQ2196"/>
      <c r="AU2196" s="16" cm="1">
        <f t="array" ref="AU2196">$C2196*EXP(poly_from_str(100000000/$E2196,AU$4342))</f>
        <v>0</v>
      </c>
    </row>
    <row r="2197" spans="1:48" x14ac:dyDescent="0.25">
      <c r="A2197" t="s">
        <v>3003</v>
      </c>
      <c r="B2197" s="2" t="str">
        <f t="shared" si="1464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1469"/>
        <v>3047.9430000000002</v>
      </c>
      <c r="AB2197" s="3">
        <f t="shared" si="1470"/>
        <v>32799.47</v>
      </c>
      <c r="AC2197" s="3" cm="1">
        <f t="array" ref="AC2197">100000000/LvacE(AA2197)</f>
        <v>32799.471700824404</v>
      </c>
      <c r="AD2197" s="10">
        <f t="shared" si="1471"/>
        <v>1.0380591385866535E-2</v>
      </c>
      <c r="AE2197" s="10" t="b">
        <f t="shared" si="1472"/>
        <v>1</v>
      </c>
      <c r="AP2197"/>
      <c r="AQ2197"/>
      <c r="AU2197" s="16" cm="1">
        <f t="array" ref="AU2197">$C2197*EXP(poly_from_str(100000000/$E2197,AU$4342))</f>
        <v>0</v>
      </c>
    </row>
    <row r="2198" spans="1:48" x14ac:dyDescent="0.25">
      <c r="A2198" t="s">
        <v>3004</v>
      </c>
      <c r="B2198" s="2" t="str">
        <f t="shared" si="1464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1469"/>
        <v>3047.9180000000001</v>
      </c>
      <c r="AB2198" s="3">
        <f t="shared" si="1470"/>
        <v>32799.74</v>
      </c>
      <c r="AC2198" s="3" cm="1">
        <f t="array" ref="AC2198">100000000/LvacE(AA2198)</f>
        <v>32799.740721639486</v>
      </c>
      <c r="AD2198" s="10">
        <f t="shared" si="1471"/>
        <v>1.0380679651099452E-2</v>
      </c>
      <c r="AE2198" s="10" t="b">
        <f t="shared" si="1472"/>
        <v>1</v>
      </c>
      <c r="AP2198"/>
      <c r="AQ2198"/>
      <c r="AU2198" s="16" cm="1">
        <f t="array" ref="AU2198">$C2198*EXP(poly_from_str(100000000/$E2198,AU$4342))</f>
        <v>0</v>
      </c>
    </row>
    <row r="2199" spans="1:48" x14ac:dyDescent="0.25">
      <c r="A2199" t="s">
        <v>3005</v>
      </c>
      <c r="B2199" s="2" t="str">
        <f t="shared" si="1464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1469"/>
        <v>3047.7890000000002</v>
      </c>
      <c r="AB2199" s="3">
        <f t="shared" si="1470"/>
        <v>32801.129999999997</v>
      </c>
      <c r="AC2199" s="3" cm="1">
        <f t="array" ref="AC2199">100000000/LvacE(AA2199)</f>
        <v>32801.128939181261</v>
      </c>
      <c r="AD2199" s="10">
        <f t="shared" si="1471"/>
        <v>1.0381135134220457E-2</v>
      </c>
      <c r="AE2199" s="10" t="b">
        <f t="shared" si="1472"/>
        <v>1</v>
      </c>
      <c r="AP2199"/>
      <c r="AQ2199"/>
      <c r="AU2199" s="16" cm="1">
        <f t="array" ref="AU2199">$C2199*EXP(poly_from_str(100000000/$E2199,AU$4342))</f>
        <v>5.6950425994606135</v>
      </c>
    </row>
    <row r="2200" spans="1:48" x14ac:dyDescent="0.25">
      <c r="A2200" t="s">
        <v>3006</v>
      </c>
      <c r="B2200" s="2" t="str">
        <f t="shared" si="1464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1469"/>
        <v>3047.7739999999999</v>
      </c>
      <c r="AB2200" s="3">
        <f t="shared" si="1470"/>
        <v>32801.29</v>
      </c>
      <c r="AC2200" s="3" cm="1">
        <f t="array" ref="AC2200">100000000/LvacE(AA2200)</f>
        <v>32801.290367451853</v>
      </c>
      <c r="AD2200" s="10">
        <f t="shared" si="1471"/>
        <v>1.0381188101127554E-2</v>
      </c>
      <c r="AE2200" s="10" t="b">
        <f t="shared" si="1472"/>
        <v>1</v>
      </c>
      <c r="AP2200"/>
      <c r="AQ2200"/>
      <c r="AU2200" s="16" cm="1">
        <f t="array" ref="AU2200">$C2200*EXP(poly_from_str(100000000/$E2200,AU$4342))</f>
        <v>9.4917320203781301</v>
      </c>
    </row>
    <row r="2201" spans="1:48" x14ac:dyDescent="0.25">
      <c r="A2201" t="s">
        <v>3007</v>
      </c>
      <c r="B2201" s="2" t="str">
        <f t="shared" si="1464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1469"/>
        <v>3047.277</v>
      </c>
      <c r="AB2201" s="3">
        <f t="shared" si="1470"/>
        <v>32806.639999999999</v>
      </c>
      <c r="AC2201" s="3" cm="1">
        <f t="array" ref="AC2201">100000000/LvacE(AA2201)</f>
        <v>32806.639922762028</v>
      </c>
      <c r="AD2201" s="10">
        <f t="shared" si="1471"/>
        <v>1.0382943513629058E-2</v>
      </c>
      <c r="AE2201" s="10" t="b">
        <f t="shared" si="1472"/>
        <v>1</v>
      </c>
      <c r="AP2201"/>
      <c r="AQ2201"/>
      <c r="AU2201" s="16" cm="1">
        <f t="array" ref="AU2201">$C2201*EXP(poly_from_str(100000000/$E2201,AU$4342))</f>
        <v>7.5932200354328794</v>
      </c>
    </row>
    <row r="2202" spans="1:48" x14ac:dyDescent="0.25">
      <c r="A2202" t="s">
        <v>3008</v>
      </c>
      <c r="B2202" s="2" t="str">
        <f t="shared" si="1464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1469"/>
        <v>3047.0450000000001</v>
      </c>
      <c r="AB2202" s="3">
        <f t="shared" si="1470"/>
        <v>32809.14</v>
      </c>
      <c r="AC2202" s="3" cm="1">
        <f t="array" ref="AC2202">100000000/LvacE(AA2202)</f>
        <v>32809.137696888851</v>
      </c>
      <c r="AD2202" s="10">
        <f t="shared" si="1471"/>
        <v>1.0383763235674047E-2</v>
      </c>
      <c r="AE2202" s="10" t="b">
        <f t="shared" si="1472"/>
        <v>1</v>
      </c>
      <c r="AP2202"/>
      <c r="AQ2202"/>
      <c r="AU2202" s="16" cm="1">
        <f t="array" ref="AU2202">$C2202*EXP(poly_from_str(100000000/$E2202,AU$4342))</f>
        <v>0</v>
      </c>
    </row>
    <row r="2203" spans="1:48" x14ac:dyDescent="0.25">
      <c r="A2203" t="s">
        <v>3009</v>
      </c>
      <c r="B2203" s="2" t="str">
        <f t="shared" si="1464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1469"/>
        <v>3047.0160000000001</v>
      </c>
      <c r="AB2203" s="3">
        <f t="shared" si="1470"/>
        <v>32809.449999999997</v>
      </c>
      <c r="AC2203" s="3" cm="1">
        <f t="array" ref="AC2203">100000000/LvacE(AA2203)</f>
        <v>32809.449945396969</v>
      </c>
      <c r="AD2203" s="10">
        <f t="shared" si="1471"/>
        <v>1.0383865714094866E-2</v>
      </c>
      <c r="AE2203" s="10" t="b">
        <f t="shared" si="1472"/>
        <v>1</v>
      </c>
      <c r="AP2203"/>
      <c r="AQ2203"/>
      <c r="AU2203" s="16" cm="1">
        <f t="array" ref="AU2203">$C2203*EXP(poly_from_str(100000000/$E2203,AU$4342))</f>
        <v>0</v>
      </c>
    </row>
    <row r="2204" spans="1:48" x14ac:dyDescent="0.25">
      <c r="A2204" t="s">
        <v>3010</v>
      </c>
      <c r="B2204" s="2" t="str">
        <f t="shared" si="1464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1469"/>
        <v>3046.9830000000002</v>
      </c>
      <c r="AB2204" s="3">
        <f t="shared" si="1470"/>
        <v>32809.81</v>
      </c>
      <c r="AC2204" s="3" cm="1">
        <f t="array" ref="AC2204">100000000/LvacE(AA2204)</f>
        <v>32809.805269894299</v>
      </c>
      <c r="AD2204" s="10">
        <f t="shared" si="1471"/>
        <v>1.0383982331029464E-2</v>
      </c>
      <c r="AE2204" s="10" t="b">
        <f t="shared" si="1472"/>
        <v>1</v>
      </c>
      <c r="AJ2204" t="s">
        <v>4750</v>
      </c>
      <c r="AK2204" t="s">
        <v>4860</v>
      </c>
      <c r="AL2204">
        <v>38726.5</v>
      </c>
      <c r="AM2204">
        <v>71536.38</v>
      </c>
      <c r="AN2204" s="10" cm="1">
        <f t="array" ref="AN2204">Lair(100000000/($AM2204-$AL2204))</f>
        <v>3046.9760546961816</v>
      </c>
      <c r="AO2204" s="10">
        <f>100000000/($AM2204-$AL2204)</f>
        <v>3047.8624121758444</v>
      </c>
      <c r="AP2204" s="12">
        <v>1320000000</v>
      </c>
      <c r="AQ2204" s="3">
        <v>0.77</v>
      </c>
      <c r="AR2204" s="3">
        <f>LN(AU2204*100000000/($AM2204-$AL2204)/AP2204)</f>
        <v>-8.0892598469673285</v>
      </c>
      <c r="AS2204" s="13">
        <f>EXP(AR$4341*$AM2204+AR$4342)*$AP2204/(100000000/($AM2204-$AL2204))</f>
        <v>178.45629717723176</v>
      </c>
      <c r="AT2204" s="3">
        <f>LN(AS2204/$C2204)</f>
        <v>0.93584849545266291</v>
      </c>
      <c r="AU2204" s="16" cm="1">
        <f t="array" ref="AU2204">$C2204*EXP(poly_from_str(100000000/$E2204,AU$4342))</f>
        <v>132.87940016068976</v>
      </c>
      <c r="AV2204" s="13">
        <f>LN(AS2204/AU2204)</f>
        <v>0.29490178635008391</v>
      </c>
    </row>
    <row r="2205" spans="1:48" x14ac:dyDescent="0.25">
      <c r="A2205" t="s">
        <v>3011</v>
      </c>
      <c r="B2205" s="2" t="str">
        <f t="shared" si="1464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1469"/>
        <v>3045.875</v>
      </c>
      <c r="AB2205" s="3">
        <f t="shared" si="1470"/>
        <v>32821.74</v>
      </c>
      <c r="AC2205" s="3" cm="1">
        <f t="array" ref="AC2205">100000000/LvacE(AA2205)</f>
        <v>32821.740027905689</v>
      </c>
      <c r="AD2205" s="10">
        <f t="shared" si="1471"/>
        <v>1.0387900033308275E-2</v>
      </c>
      <c r="AE2205" s="10" t="b">
        <f t="shared" si="1472"/>
        <v>1</v>
      </c>
      <c r="AP2205"/>
      <c r="AQ2205"/>
      <c r="AU2205" s="16" cm="1">
        <f t="array" ref="AU2205">$C2205*EXP(poly_from_str(100000000/$E2205,AU$4342))</f>
        <v>0</v>
      </c>
    </row>
    <row r="2206" spans="1:48" x14ac:dyDescent="0.25">
      <c r="A2206" t="s">
        <v>3012</v>
      </c>
      <c r="B2206" s="2" t="str">
        <f t="shared" si="1464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1469"/>
        <v>3045.846</v>
      </c>
      <c r="AB2206" s="3">
        <f t="shared" si="1470"/>
        <v>32822.050000000003</v>
      </c>
      <c r="AC2206" s="3" cm="1">
        <f t="array" ref="AC2206">100000000/LvacE(AA2206)</f>
        <v>32822.052516329539</v>
      </c>
      <c r="AD2206" s="10">
        <f t="shared" si="1471"/>
        <v>1.0388002629865322E-2</v>
      </c>
      <c r="AE2206" s="10" t="b">
        <f t="shared" si="1472"/>
        <v>1</v>
      </c>
      <c r="AP2206"/>
      <c r="AQ2206"/>
      <c r="AU2206" s="16" cm="1">
        <f t="array" ref="AU2206">$C2206*EXP(poly_from_str(100000000/$E2206,AU$4342))</f>
        <v>0</v>
      </c>
    </row>
    <row r="2207" spans="1:48" x14ac:dyDescent="0.25">
      <c r="A2207" t="s">
        <v>3013</v>
      </c>
      <c r="B2207" s="2" t="str">
        <f t="shared" si="1464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1469"/>
        <v>3045.8119999999999</v>
      </c>
      <c r="AB2207" s="3">
        <f t="shared" si="1470"/>
        <v>32822.42</v>
      </c>
      <c r="AC2207" s="3" cm="1">
        <f t="array" ref="AC2207">100000000/LvacE(AA2207)</f>
        <v>32822.418889645262</v>
      </c>
      <c r="AD2207" s="10">
        <f t="shared" si="1471"/>
        <v>1.0388122919215838E-2</v>
      </c>
      <c r="AE2207" s="10" t="b">
        <f t="shared" si="1472"/>
        <v>1</v>
      </c>
      <c r="AJ2207" t="s">
        <v>4788</v>
      </c>
      <c r="AK2207" t="s">
        <v>4928</v>
      </c>
      <c r="AL2207">
        <v>30994.55</v>
      </c>
      <c r="AM2207">
        <v>63816.91</v>
      </c>
      <c r="AN2207" s="10" cm="1">
        <f t="array" ref="AN2207">Lair(100000000/($AM2207-$AL2207))</f>
        <v>3045.8174600059697</v>
      </c>
      <c r="AO2207" s="10">
        <f>100000000/($AM2207-$AL2207)</f>
        <v>3046.7035277170808</v>
      </c>
      <c r="AP2207" s="12">
        <v>1080000000</v>
      </c>
      <c r="AQ2207" s="3">
        <v>0.72</v>
      </c>
      <c r="AR2207" s="3">
        <f>LN(AU2207*100000000/($AM2207-$AL2207)/AP2207)</f>
        <v>-7.5323658439792416</v>
      </c>
      <c r="AS2207" s="13">
        <f>EXP(AR$4341*$AM2207+AR$4342)*$AP2207/(100000000/($AM2207-$AL2207))</f>
        <v>260.70110368256366</v>
      </c>
      <c r="AT2207" s="3">
        <f>LN(AS2207/$C2207)</f>
        <v>0.95820436847736179</v>
      </c>
      <c r="AU2207" s="16" cm="1">
        <f t="array" ref="AU2207">$C2207*EXP(poly_from_str(100000000/$E2207,AU$4342))</f>
        <v>189.81417354193562</v>
      </c>
      <c r="AV2207" s="13">
        <f>LN(AS2207/AU2207)</f>
        <v>0.31732899488209726</v>
      </c>
    </row>
    <row r="2208" spans="1:48" x14ac:dyDescent="0.25">
      <c r="A2208" t="s">
        <v>3014</v>
      </c>
      <c r="B2208" s="2" t="str">
        <f t="shared" si="1464"/>
        <v/>
      </c>
      <c r="C2208">
        <v>3</v>
      </c>
      <c r="D2208" t="s">
        <v>1156</v>
      </c>
      <c r="E2208">
        <v>32832.6</v>
      </c>
      <c r="R2208">
        <v>21</v>
      </c>
      <c r="S2208" t="s">
        <v>22</v>
      </c>
      <c r="AA2208" s="10">
        <f t="shared" si="1469"/>
        <v>3044.8670000000002</v>
      </c>
      <c r="AB2208" s="3">
        <f t="shared" si="1470"/>
        <v>32832.6</v>
      </c>
      <c r="AC2208" s="3" cm="1">
        <f t="array" ref="AC2208">100000000/LvacE(AA2208)</f>
        <v>32832.605186545879</v>
      </c>
      <c r="AD2208" s="10">
        <f t="shared" si="1471"/>
        <v>1.0391467868144304E-2</v>
      </c>
      <c r="AE2208" s="10" t="b">
        <f t="shared" si="1472"/>
        <v>1</v>
      </c>
      <c r="AP2208"/>
      <c r="AQ2208"/>
      <c r="AU2208" s="16" cm="1">
        <f t="array" ref="AU2208">$C2208*EXP(poly_from_str(100000000/$E2208,AU$4342))</f>
        <v>5.6940113570802957</v>
      </c>
    </row>
    <row r="2209" spans="1:48" x14ac:dyDescent="0.25">
      <c r="A2209" t="s">
        <v>3015</v>
      </c>
      <c r="B2209" s="2" t="str">
        <f t="shared" si="1464"/>
        <v/>
      </c>
      <c r="C2209">
        <v>2</v>
      </c>
      <c r="D2209" t="s">
        <v>1156</v>
      </c>
      <c r="E2209">
        <v>32835.71</v>
      </c>
      <c r="R2209">
        <v>21</v>
      </c>
      <c r="S2209" t="s">
        <v>22</v>
      </c>
      <c r="AA2209" s="10">
        <f t="shared" si="1469"/>
        <v>3044.5790000000002</v>
      </c>
      <c r="AB2209" s="3">
        <f t="shared" si="1470"/>
        <v>32835.71</v>
      </c>
      <c r="AC2209" s="3" cm="1">
        <f t="array" ref="AC2209">100000000/LvacE(AA2209)</f>
        <v>32835.710838926774</v>
      </c>
      <c r="AD2209" s="10">
        <f t="shared" si="1471"/>
        <v>1.0392487900449745E-2</v>
      </c>
      <c r="AE2209" s="10" t="b">
        <f t="shared" si="1472"/>
        <v>1</v>
      </c>
      <c r="AP2209"/>
      <c r="AQ2209"/>
      <c r="AU2209" s="16" cm="1">
        <f t="array" ref="AU2209">$C2209*EXP(poly_from_str(100000000/$E2209,AU$4342))</f>
        <v>3.7959130862250836</v>
      </c>
    </row>
    <row r="2210" spans="1:48" x14ac:dyDescent="0.25">
      <c r="A2210" t="s">
        <v>3016</v>
      </c>
      <c r="B2210" s="2" t="str">
        <f t="shared" si="1464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1469"/>
        <v>3044.1689999999999</v>
      </c>
      <c r="AB2210" s="3">
        <f t="shared" si="1470"/>
        <v>32840.129999999997</v>
      </c>
      <c r="AC2210" s="3" cm="1">
        <f t="array" ref="AC2210">100000000/LvacE(AA2210)</f>
        <v>32840.133093841272</v>
      </c>
      <c r="AD2210" s="10">
        <f t="shared" si="1471"/>
        <v>1.0393940529228384E-2</v>
      </c>
      <c r="AE2210" s="10" t="b">
        <f t="shared" si="1472"/>
        <v>1</v>
      </c>
      <c r="AP2210"/>
      <c r="AQ2210"/>
      <c r="AU2210" s="16" cm="1">
        <f t="array" ref="AU2210">$C2210*EXP(poly_from_str(100000000/$E2210,AU$4342))</f>
        <v>13.285197075610792</v>
      </c>
    </row>
    <row r="2211" spans="1:48" x14ac:dyDescent="0.25">
      <c r="A2211" t="s">
        <v>3017</v>
      </c>
      <c r="B2211" s="2" t="str">
        <f t="shared" si="1464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1469"/>
        <v>3043.77</v>
      </c>
      <c r="AB2211" s="3">
        <f t="shared" si="1470"/>
        <v>32844.44</v>
      </c>
      <c r="AC2211" s="3" cm="1">
        <f t="array" ref="AC2211">100000000/LvacE(AA2211)</f>
        <v>32844.437846661815</v>
      </c>
      <c r="AD2211" s="10">
        <f t="shared" si="1471"/>
        <v>1.0395354748660678E-2</v>
      </c>
      <c r="AE2211" s="10" t="b">
        <f t="shared" si="1472"/>
        <v>1</v>
      </c>
      <c r="AP2211"/>
      <c r="AQ2211"/>
      <c r="AU2211" s="16" cm="1">
        <f t="array" ref="AU2211">$C2211*EXP(poly_from_str(100000000/$E2211,AU$4342))</f>
        <v>1.8978111840626963</v>
      </c>
    </row>
    <row r="2212" spans="1:48" x14ac:dyDescent="0.25">
      <c r="A2212" t="s">
        <v>3018</v>
      </c>
      <c r="B2212" s="2" t="str">
        <f t="shared" si="1464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1469"/>
        <v>3043.598</v>
      </c>
      <c r="AB2212" s="3">
        <f t="shared" si="1470"/>
        <v>32846.29</v>
      </c>
      <c r="AC2212" s="3" cm="1">
        <f t="array" ref="AC2212">100000000/LvacE(AA2212)</f>
        <v>32846.293877696065</v>
      </c>
      <c r="AD2212" s="10">
        <f t="shared" si="1471"/>
        <v>1.0395964558673004E-2</v>
      </c>
      <c r="AE2212" s="10" t="b">
        <f t="shared" si="1472"/>
        <v>1</v>
      </c>
      <c r="AJ2212" t="s">
        <v>4770</v>
      </c>
      <c r="AK2212" t="s">
        <v>4755</v>
      </c>
      <c r="AL2212">
        <v>35024.49</v>
      </c>
      <c r="AM2212">
        <v>67870.759999999995</v>
      </c>
      <c r="AN2212" s="10" cm="1">
        <f t="array" ref="AN2212">Lair(100000000/($AM2212-$AL2212))</f>
        <v>3043.6002076621721</v>
      </c>
      <c r="AO2212" s="10">
        <f>100000000/($AM2212-$AL2212)</f>
        <v>3044.4857209052966</v>
      </c>
      <c r="AP2212" s="12">
        <v>207000000</v>
      </c>
      <c r="AQ2212" s="3">
        <v>0.36599999999999999</v>
      </c>
      <c r="AR2212" s="3">
        <f>LN(AU2212*100000000/($AM2212-$AL2212)/AP2212)</f>
        <v>-8.2892337898608783</v>
      </c>
      <c r="AS2212" s="13">
        <f>EXP(AR$4341*$AM2212+AR$4342)*$AP2212/(100000000/($AM2212-$AL2212))</f>
        <v>36.887654241675229</v>
      </c>
      <c r="AT2212" s="3">
        <f>LN(AS2212/$C2212)</f>
        <v>1.4106523443317609</v>
      </c>
      <c r="AU2212" s="16" cm="1">
        <f t="array" ref="AU2212">$C2212*EXP(poly_from_str(100000000/$E2212,AU$4342))</f>
        <v>17.080001709686112</v>
      </c>
      <c r="AV2212" s="13">
        <f>LN(AS2212/AU2212)</f>
        <v>0.76996863320884312</v>
      </c>
    </row>
    <row r="2213" spans="1:48" x14ac:dyDescent="0.25">
      <c r="A2213" t="s">
        <v>3019</v>
      </c>
      <c r="B2213" s="2" t="str">
        <f t="shared" si="1464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1469"/>
        <v>3043.01</v>
      </c>
      <c r="AB2213" s="3">
        <f t="shared" si="1470"/>
        <v>32852.639999999999</v>
      </c>
      <c r="AC2213" s="3" cm="1">
        <f t="array" ref="AC2213">100000000/LvacE(AA2213)</f>
        <v>32852.640498599489</v>
      </c>
      <c r="AD2213" s="10">
        <f t="shared" si="1471"/>
        <v>1.0398050039040208E-2</v>
      </c>
      <c r="AE2213" s="10" t="b">
        <f t="shared" si="1472"/>
        <v>1</v>
      </c>
      <c r="AP2213"/>
      <c r="AQ2213"/>
      <c r="AU2213" s="16" cm="1">
        <f t="array" ref="AU2213">$C2213*EXP(poly_from_str(100000000/$E2213,AU$4342))</f>
        <v>7.5906301534086262</v>
      </c>
    </row>
    <row r="2214" spans="1:48" x14ac:dyDescent="0.25">
      <c r="A2214">
        <v>3042.35</v>
      </c>
      <c r="B2214" s="2" t="str">
        <f t="shared" si="1464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1469"/>
        <v>3042.35</v>
      </c>
      <c r="AB2214" s="3">
        <f t="shared" si="1470"/>
        <v>32859.769999999997</v>
      </c>
      <c r="AC2214" s="3" cm="1">
        <f t="array" ref="AC2214">100000000/LvacE(AA2214)</f>
        <v>32859.767178779133</v>
      </c>
      <c r="AD2214" s="10">
        <f t="shared" si="1471"/>
        <v>1.040039232481127E-2</v>
      </c>
      <c r="AE2214" s="10" t="b">
        <f t="shared" si="1472"/>
        <v>1</v>
      </c>
      <c r="AJ2214" t="s">
        <v>4828</v>
      </c>
      <c r="AK2214" t="s">
        <v>4840</v>
      </c>
      <c r="AL2214">
        <v>30733.53</v>
      </c>
      <c r="AM2214">
        <v>63593.35</v>
      </c>
      <c r="AN2214" s="10" cm="1">
        <f t="array" ref="AN2214">Lair(100000000/($AM2214-$AL2214))</f>
        <v>3042.3451043338969</v>
      </c>
      <c r="AO2214" s="10">
        <f>100000000/($AM2214-$AL2214)</f>
        <v>3043.2303037569895</v>
      </c>
      <c r="AP2214" s="12">
        <v>651000000</v>
      </c>
      <c r="AQ2214" s="3">
        <v>0.39400000000000002</v>
      </c>
      <c r="AR2214" s="3">
        <f>LN(AU2214*100000000/($AM2214-$AL2214)/AP2214)</f>
        <v>-7.0276324327740074</v>
      </c>
      <c r="AS2214" s="13">
        <f>EXP(AR$4341*$AM2214+AR$4342)*$AP2214/(100000000/($AM2214-$AL2214))</f>
        <v>159.98594610859541</v>
      </c>
      <c r="AT2214" s="3">
        <f>LN(AS2214/$C2214)</f>
        <v>0.46991578856657745</v>
      </c>
      <c r="AU2214" s="16" cm="1">
        <f t="array" ref="AU2214">$C2214*EXP(poly_from_str(100000000/$E2214,AU$4342))</f>
        <v>189.75104760551622</v>
      </c>
      <c r="AV2214" s="13">
        <f>LN(AS2214/AU2214)</f>
        <v>-0.17062696268351754</v>
      </c>
    </row>
    <row r="2215" spans="1:48" x14ac:dyDescent="0.25">
      <c r="A2215">
        <v>3042.3090000000002</v>
      </c>
      <c r="B2215" s="2" t="str">
        <f t="shared" si="1464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1469"/>
        <v>3042.3090000000002</v>
      </c>
      <c r="AB2215" s="3">
        <f t="shared" si="1470"/>
        <v>32860.21</v>
      </c>
      <c r="AC2215" s="3" cm="1">
        <f t="array" ref="AC2215">100000000/LvacE(AA2215)</f>
        <v>32860.209998792809</v>
      </c>
      <c r="AD2215" s="10">
        <f t="shared" si="1471"/>
        <v>1.0400537880733484E-2</v>
      </c>
      <c r="AE2215" s="10" t="b">
        <f t="shared" si="1472"/>
        <v>1</v>
      </c>
      <c r="AP2215"/>
      <c r="AQ2215"/>
      <c r="AU2215" s="16" cm="1">
        <f t="array" ref="AU2215">$C2215*EXP(poly_from_str(100000000/$E2215,AU$4342))</f>
        <v>0</v>
      </c>
    </row>
    <row r="2216" spans="1:48" x14ac:dyDescent="0.25">
      <c r="A2216">
        <v>3042.2730000000001</v>
      </c>
      <c r="B2216" s="2" t="str">
        <f t="shared" si="1464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1469"/>
        <v>3042.2730000000001</v>
      </c>
      <c r="AB2216" s="3">
        <f t="shared" si="1470"/>
        <v>32860.6</v>
      </c>
      <c r="AC2216" s="3" cm="1">
        <f t="array" ref="AC2216">100000000/LvacE(AA2216)</f>
        <v>32860.598826206078</v>
      </c>
      <c r="AD2216" s="10">
        <f t="shared" si="1471"/>
        <v>1.0400665690785488E-2</v>
      </c>
      <c r="AE2216" s="10" t="b">
        <f t="shared" si="1472"/>
        <v>1</v>
      </c>
      <c r="AP2216"/>
      <c r="AQ2216"/>
      <c r="AU2216" s="16" cm="1">
        <f t="array" ref="AU2216">$C2216*EXP(poly_from_str(100000000/$E2216,AU$4342))</f>
        <v>0</v>
      </c>
    </row>
    <row r="2217" spans="1:48" x14ac:dyDescent="0.25">
      <c r="A2217">
        <v>3042.241</v>
      </c>
      <c r="B2217" s="2" t="str">
        <f t="shared" si="1464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1469"/>
        <v>3042.241</v>
      </c>
      <c r="AB2217" s="3">
        <f t="shared" si="1470"/>
        <v>32860.94</v>
      </c>
      <c r="AC2217" s="3" cm="1">
        <f t="array" ref="AC2217">100000000/LvacE(AA2217)</f>
        <v>32860.944458298247</v>
      </c>
      <c r="AD2217" s="10">
        <f t="shared" si="1471"/>
        <v>1.0400779303529577E-2</v>
      </c>
      <c r="AE2217" s="10" t="b">
        <f t="shared" si="1472"/>
        <v>1</v>
      </c>
      <c r="AP2217"/>
      <c r="AQ2217"/>
      <c r="AU2217" s="16" cm="1">
        <f t="array" ref="AU2217">$C2217*EXP(poly_from_str(100000000/$E2217,AU$4342))</f>
        <v>0</v>
      </c>
    </row>
    <row r="2218" spans="1:48" x14ac:dyDescent="0.25">
      <c r="A2218">
        <v>3041.855</v>
      </c>
      <c r="B2218" s="2" t="str">
        <f t="shared" si="1464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1469"/>
        <v>3041.855</v>
      </c>
      <c r="AB2218" s="3">
        <f t="shared" si="1470"/>
        <v>32865.11</v>
      </c>
      <c r="AC2218" s="3" cm="1">
        <f t="array" ref="AC2218">100000000/LvacE(AA2218)</f>
        <v>32865.114218282804</v>
      </c>
      <c r="AD2218" s="10">
        <f t="shared" si="1471"/>
        <v>1.0402150039742658E-2</v>
      </c>
      <c r="AE2218" s="10" t="b">
        <f t="shared" si="1472"/>
        <v>1</v>
      </c>
      <c r="AP2218"/>
      <c r="AQ2218"/>
      <c r="AU2218" s="16" cm="1">
        <f t="array" ref="AU2218">$C2218*EXP(poly_from_str(100000000/$E2218,AU$4342))</f>
        <v>0</v>
      </c>
    </row>
    <row r="2219" spans="1:48" x14ac:dyDescent="0.25">
      <c r="A2219">
        <v>3041.82</v>
      </c>
      <c r="B2219" s="2" t="str">
        <f t="shared" si="1464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1469"/>
        <v>3041.82</v>
      </c>
      <c r="AB2219" s="3">
        <f t="shared" si="1470"/>
        <v>32865.49</v>
      </c>
      <c r="AC2219" s="3" cm="1">
        <f t="array" ref="AC2219">100000000/LvacE(AA2219)</f>
        <v>32865.492357653049</v>
      </c>
      <c r="AD2219" s="10">
        <f t="shared" si="1471"/>
        <v>1.0402274355098764E-2</v>
      </c>
      <c r="AE2219" s="10" t="b">
        <f t="shared" si="1472"/>
        <v>1</v>
      </c>
      <c r="AP2219"/>
      <c r="AQ2219"/>
      <c r="AU2219" s="16" cm="1">
        <f t="array" ref="AU2219">$C2219*EXP(poly_from_str(100000000/$E2219,AU$4342))</f>
        <v>0</v>
      </c>
    </row>
    <row r="2220" spans="1:48" x14ac:dyDescent="0.25">
      <c r="A2220">
        <v>3041.7809999999999</v>
      </c>
      <c r="B2220" s="2" t="str">
        <f t="shared" si="1464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1478">$G2220&amp;""</f>
        <v>e</v>
      </c>
      <c r="N2220" t="str">
        <f t="shared" ref="N2220:N2223" si="1479">$H2220&amp;""</f>
        <v>7/2</v>
      </c>
      <c r="O2220">
        <v>71592.34</v>
      </c>
      <c r="P2220" t="str">
        <f t="shared" ref="P2220:P2223" si="1480">$J2220&amp;""</f>
        <v>o</v>
      </c>
      <c r="Q2220" t="str">
        <f t="shared" ref="Q2220:Q2223" si="1481">$K2220&amp;""</f>
        <v>9/2</v>
      </c>
      <c r="R2220">
        <v>22</v>
      </c>
      <c r="AA2220" s="10">
        <f t="shared" si="1469"/>
        <v>3041.7809999999999</v>
      </c>
      <c r="AB2220" s="3">
        <f t="shared" si="1470"/>
        <v>32865.910000000003</v>
      </c>
      <c r="AC2220" s="3" cm="1">
        <f t="array" ref="AC2220">100000000/LvacE(AA2220)</f>
        <v>32865.913723201265</v>
      </c>
      <c r="AD2220" s="10">
        <f t="shared" si="1471"/>
        <v>1.0402412882978964E-2</v>
      </c>
      <c r="AE2220" s="10" t="b">
        <f t="shared" si="1472"/>
        <v>1</v>
      </c>
      <c r="AJ2220" t="s">
        <v>4750</v>
      </c>
      <c r="AK2220" t="s">
        <v>4881</v>
      </c>
      <c r="AL2220">
        <v>38726.5</v>
      </c>
      <c r="AM2220">
        <v>71592.34</v>
      </c>
      <c r="AN2220" s="10" cm="1">
        <f t="array" ref="AN2220">Lair(100000000/($AM2220-$AL2220))</f>
        <v>3041.7878184955116</v>
      </c>
      <c r="AO2220" s="10">
        <f t="shared" ref="AO2220:AO2223" si="1482">100000000/($AM2220-$AL2220)</f>
        <v>3042.6728785876157</v>
      </c>
      <c r="AP2220" s="12">
        <v>994000000</v>
      </c>
      <c r="AQ2220" s="3">
        <v>0.81599999999999995</v>
      </c>
      <c r="AR2220" s="3">
        <f>LN(AU2220*100000000/($AM2220-$AL2220)/AP2220)</f>
        <v>-7.9619408380764849</v>
      </c>
      <c r="AS2220" s="13">
        <f t="shared" ref="AS2220:AS2223" si="1483">EXP(AR$4341*$AM2220+AR$4342)*$AP2220/(100000000/($AM2220-$AL2220))</f>
        <v>134.04806676664415</v>
      </c>
      <c r="AT2220" s="3">
        <f t="shared" ref="AT2220:AT2223" si="1484">LN(AS2220/$C2220)</f>
        <v>0.80385388062252139</v>
      </c>
      <c r="AU2220" s="16" cm="1">
        <f t="array" ref="AU2220">$C2220*EXP(poly_from_str(100000000/$E2220,AU$4342))</f>
        <v>113.84242803807133</v>
      </c>
      <c r="AV2220" s="13">
        <f>LN(AS2220/AU2220)</f>
        <v>0.16338316077614462</v>
      </c>
    </row>
    <row r="2221" spans="1:48" x14ac:dyDescent="0.25">
      <c r="A2221">
        <v>3040.9380000000001</v>
      </c>
      <c r="B2221" s="2" t="str">
        <f t="shared" si="1464"/>
        <v/>
      </c>
      <c r="C2221">
        <v>60</v>
      </c>
      <c r="D2221" t="s">
        <v>1156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1478"/>
        <v>e</v>
      </c>
      <c r="N2221" t="str">
        <f t="shared" si="1479"/>
        <v>5/2</v>
      </c>
      <c r="O2221">
        <v>67395.320000000007</v>
      </c>
      <c r="P2221" t="str">
        <f t="shared" si="1480"/>
        <v>o</v>
      </c>
      <c r="Q2221" t="str">
        <f t="shared" si="1481"/>
        <v>5/2</v>
      </c>
      <c r="R2221">
        <v>22</v>
      </c>
      <c r="AA2221" s="10">
        <f t="shared" si="1469"/>
        <v>3040.9380000000001</v>
      </c>
      <c r="AB2221" s="3">
        <f t="shared" si="1470"/>
        <v>32875.019999999997</v>
      </c>
      <c r="AC2221" s="3" cm="1">
        <f t="array" ref="AC2221">100000000/LvacE(AA2221)</f>
        <v>32875.024343097903</v>
      </c>
      <c r="AD2221" s="10">
        <f t="shared" si="1471"/>
        <v>1.0405408519196694E-2</v>
      </c>
      <c r="AE2221" s="10" t="b">
        <f t="shared" si="1472"/>
        <v>1</v>
      </c>
      <c r="AJ2221" t="s">
        <v>4722</v>
      </c>
      <c r="AK2221" t="s">
        <v>4894</v>
      </c>
      <c r="AL2221">
        <v>34520.269999999997</v>
      </c>
      <c r="AM2221">
        <v>67395.320000000007</v>
      </c>
      <c r="AN2221" s="10" cm="1">
        <f t="array" ref="AN2221">Lair(100000000/($AM2221-$AL2221))</f>
        <v>3040.9356216737647</v>
      </c>
      <c r="AO2221" s="10">
        <f t="shared" si="1482"/>
        <v>3041.8204687141151</v>
      </c>
      <c r="AP2221" s="12">
        <v>10400000</v>
      </c>
      <c r="AQ2221" s="3">
        <v>3.5000000000000003E-2</v>
      </c>
      <c r="AR2221" s="3"/>
      <c r="AS2221" s="13">
        <f t="shared" si="1483"/>
        <v>1.9222953857956762</v>
      </c>
      <c r="AT2221" s="3"/>
      <c r="AU2221" s="16" cm="1">
        <f t="array" ref="AU2221">$C2221*EXP(poly_from_str(100000000/$E2221,AU$4342))</f>
        <v>113.82923494844408</v>
      </c>
    </row>
    <row r="2222" spans="1:48" x14ac:dyDescent="0.25">
      <c r="A2222">
        <v>3040.0169999999998</v>
      </c>
      <c r="B2222" s="2" t="str">
        <f t="shared" si="1464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1478"/>
        <v>e</v>
      </c>
      <c r="N2222" t="str">
        <f t="shared" si="1479"/>
        <v>9/2</v>
      </c>
      <c r="O2222">
        <v>61605.66</v>
      </c>
      <c r="P2222" t="str">
        <f t="shared" si="1480"/>
        <v>o</v>
      </c>
      <c r="Q2222" t="str">
        <f t="shared" si="1481"/>
        <v>7/2</v>
      </c>
      <c r="R2222">
        <v>22</v>
      </c>
      <c r="AA2222" s="10">
        <f t="shared" si="1469"/>
        <v>3040.0169999999998</v>
      </c>
      <c r="AB2222" s="3">
        <f t="shared" si="1470"/>
        <v>32884.980000000003</v>
      </c>
      <c r="AC2222" s="3" cm="1">
        <f t="array" ref="AC2222">100000000/LvacE(AA2222)</f>
        <v>32884.983713760492</v>
      </c>
      <c r="AD2222" s="10">
        <f t="shared" si="1471"/>
        <v>1.0408684180674071E-2</v>
      </c>
      <c r="AE2222" s="10" t="b">
        <f t="shared" si="1472"/>
        <v>1</v>
      </c>
      <c r="AJ2222" t="s">
        <v>4708</v>
      </c>
      <c r="AK2222" t="s">
        <v>4822</v>
      </c>
      <c r="AL2222">
        <v>28720.71</v>
      </c>
      <c r="AM2222">
        <v>61605.66</v>
      </c>
      <c r="AN2222" s="10" cm="1">
        <f t="array" ref="AN2222">Lair(100000000/($AM2222-$AL2222))</f>
        <v>3040.0201117989018</v>
      </c>
      <c r="AO2222" s="10">
        <f t="shared" si="1482"/>
        <v>3040.9047299752619</v>
      </c>
      <c r="AP2222" s="12">
        <v>260000000</v>
      </c>
      <c r="AQ2222" s="3">
        <v>0.216</v>
      </c>
      <c r="AR2222" s="3">
        <f t="shared" ref="AR2222:AR2223" si="1485">LN(AU2222*100000000/($AM2222-$AL2222)/AP2222)</f>
        <v>-6.4675708040775302</v>
      </c>
      <c r="AS2222" s="13">
        <f t="shared" si="1483"/>
        <v>74.231762825923255</v>
      </c>
      <c r="AT2222" s="3">
        <f t="shared" si="1484"/>
        <v>5.8696886958200384E-2</v>
      </c>
      <c r="AU2222" s="16" cm="1">
        <f t="array" ref="AU2222">$C2222*EXP(poly_from_str(100000000/$E2222,AU$4342))</f>
        <v>132.78231078289664</v>
      </c>
      <c r="AV2222" s="13">
        <f t="shared" ref="AV2222:AV2223" si="1486">LN(AS2222/AU2222)</f>
        <v>-0.581518897226589</v>
      </c>
    </row>
    <row r="2223" spans="1:48" x14ac:dyDescent="0.25">
      <c r="A2223">
        <v>3039.68</v>
      </c>
      <c r="B2223" s="2" t="str">
        <f t="shared" si="1464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1478"/>
        <v>e</v>
      </c>
      <c r="N2223" t="str">
        <f t="shared" si="1479"/>
        <v>9/2</v>
      </c>
      <c r="O2223">
        <v>78694.570000000007</v>
      </c>
      <c r="P2223" t="str">
        <f t="shared" si="1480"/>
        <v>o</v>
      </c>
      <c r="Q2223" t="str">
        <f t="shared" si="1481"/>
        <v>11/2</v>
      </c>
      <c r="R2223">
        <v>22</v>
      </c>
      <c r="AA2223" s="10">
        <f t="shared" si="1469"/>
        <v>3039.68</v>
      </c>
      <c r="AB2223" s="3">
        <f t="shared" si="1470"/>
        <v>32888.629999999997</v>
      </c>
      <c r="AC2223" s="3" cm="1">
        <f t="array" ref="AC2223">100000000/LvacE(AA2223)</f>
        <v>32888.629421527439</v>
      </c>
      <c r="AD2223" s="10">
        <f t="shared" si="1471"/>
        <v>1.0409883511015541E-2</v>
      </c>
      <c r="AE2223" s="10" t="b">
        <f t="shared" si="1472"/>
        <v>1</v>
      </c>
      <c r="AJ2223" t="s">
        <v>4802</v>
      </c>
      <c r="AK2223" t="s">
        <v>4885</v>
      </c>
      <c r="AL2223">
        <v>45805.95</v>
      </c>
      <c r="AM2223">
        <v>78694.570000000007</v>
      </c>
      <c r="AN2223" s="10" cm="1">
        <f t="array" ref="AN2223">Lair(100000000/($AM2223-$AL2223))</f>
        <v>3039.6808658429786</v>
      </c>
      <c r="AO2223" s="10">
        <f t="shared" si="1482"/>
        <v>3040.5653992171142</v>
      </c>
      <c r="AP2223" s="12">
        <v>18600000</v>
      </c>
      <c r="AQ2223" s="3">
        <v>0.23200000000000001</v>
      </c>
      <c r="AR2223" s="3">
        <f t="shared" si="1485"/>
        <v>-6.1328016192221613</v>
      </c>
      <c r="AS2223" s="13">
        <f t="shared" si="1483"/>
        <v>1.473022405622358</v>
      </c>
      <c r="AT2223" s="3">
        <f t="shared" si="1484"/>
        <v>-1.5585938008131397</v>
      </c>
      <c r="AU2223" s="16" cm="1">
        <f t="array" ref="AU2223">$C2223*EXP(poly_from_str(100000000/$E2223,AU$4342))</f>
        <v>13.277511716806314</v>
      </c>
      <c r="AV2223" s="13">
        <f t="shared" si="1486"/>
        <v>-2.1987554075276114</v>
      </c>
    </row>
    <row r="2224" spans="1:48" x14ac:dyDescent="0.25">
      <c r="A2224">
        <v>3037.616</v>
      </c>
      <c r="B2224" s="2" t="str">
        <f t="shared" si="1464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1469"/>
        <v>3037.616</v>
      </c>
      <c r="AB2224" s="3">
        <f t="shared" si="1470"/>
        <v>32910.980000000003</v>
      </c>
      <c r="AC2224" s="3" cm="1">
        <f t="array" ref="AC2224">100000000/LvacE(AA2224)</f>
        <v>32910.975677104172</v>
      </c>
      <c r="AD2224" s="10">
        <f t="shared" si="1471"/>
        <v>1.0417237675384935E-2</v>
      </c>
      <c r="AE2224" s="10" t="b">
        <f t="shared" si="1472"/>
        <v>1</v>
      </c>
      <c r="AP2224"/>
      <c r="AQ2224"/>
      <c r="AU2224" s="16" cm="1">
        <f t="array" ref="AU2224">$C2224*EXP(poly_from_str(100000000/$E2224,AU$4342))</f>
        <v>3.7921735281375364</v>
      </c>
    </row>
    <row r="2225" spans="1:48" x14ac:dyDescent="0.25">
      <c r="A2225">
        <v>3036.913</v>
      </c>
      <c r="B2225" s="2" t="str">
        <f t="shared" si="1464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1469"/>
        <v>3036.913</v>
      </c>
      <c r="AB2225" s="3">
        <f t="shared" si="1470"/>
        <v>32918.589999999997</v>
      </c>
      <c r="AC2225" s="3" cm="1">
        <f t="array" ref="AC2225">100000000/LvacE(AA2225)</f>
        <v>32918.593763271558</v>
      </c>
      <c r="AD2225" s="10">
        <f t="shared" si="1471"/>
        <v>1.0419745933332888E-2</v>
      </c>
      <c r="AE2225" s="10" t="b">
        <f t="shared" si="1472"/>
        <v>1</v>
      </c>
      <c r="AJ2225" t="s">
        <v>4765</v>
      </c>
      <c r="AK2225" t="s">
        <v>4886</v>
      </c>
      <c r="AL2225">
        <v>44903.42</v>
      </c>
      <c r="AM2225">
        <v>77822</v>
      </c>
      <c r="AN2225" s="10" cm="1">
        <f t="array" ref="AN2225">Lair(100000000/($AM2225-$AL2225))</f>
        <v>3036.9142648369166</v>
      </c>
      <c r="AO2225" s="10">
        <f>100000000/($AM2225-$AL2225)</f>
        <v>3037.7981067227079</v>
      </c>
      <c r="AP2225" s="12">
        <v>76900000</v>
      </c>
      <c r="AQ2225" s="3">
        <v>0.249</v>
      </c>
      <c r="AR2225" s="3">
        <f>LN(AU2225*100000000/($AM2225-$AL2225)/AP2225)</f>
        <v>-7.4200350804807425</v>
      </c>
      <c r="AS2225" s="13">
        <f>EXP(AR$4341*$AM2225+AR$4342)*$AP2225/(100000000/($AM2225-$AL2225))</f>
        <v>6.5081467224117775</v>
      </c>
      <c r="AT2225" s="3">
        <f>LN(AS2225/$C2225)</f>
        <v>-0.20638680764605025</v>
      </c>
      <c r="AU2225" s="16" cm="1">
        <f t="array" ref="AU2225">$C2225*EXP(poly_from_str(100000000/$E2225,AU$4342))</f>
        <v>15.166561891785616</v>
      </c>
      <c r="AV2225" s="13">
        <f>LN(AS2225/AU2225)</f>
        <v>-0.84603839499723199</v>
      </c>
    </row>
    <row r="2226" spans="1:48" x14ac:dyDescent="0.25">
      <c r="A2226">
        <v>3036.2130000000002</v>
      </c>
      <c r="B2226" s="2" t="str">
        <f t="shared" si="1464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1469"/>
        <v>3036.2130000000002</v>
      </c>
      <c r="AB2226" s="3">
        <f t="shared" si="1470"/>
        <v>32926.18</v>
      </c>
      <c r="AC2226" s="3" cm="1">
        <f t="array" ref="AC2226">100000000/LvacE(AA2226)</f>
        <v>32926.182844783543</v>
      </c>
      <c r="AD2226" s="10">
        <f t="shared" si="1471"/>
        <v>1.0422245218761585E-2</v>
      </c>
      <c r="AE2226" s="10" t="b">
        <f t="shared" si="1472"/>
        <v>1</v>
      </c>
      <c r="AP2226"/>
      <c r="AQ2226"/>
      <c r="AU2226" s="16" cm="1">
        <f t="array" ref="AU2226">$C2226*EXP(poly_from_str(100000000/$E2226,AU$4342))</f>
        <v>5.6866208160752452</v>
      </c>
    </row>
    <row r="2227" spans="1:48" x14ac:dyDescent="0.25">
      <c r="A2227">
        <v>3034.2809999999999</v>
      </c>
      <c r="B2227" s="2" t="str">
        <f t="shared" si="1464"/>
        <v/>
      </c>
      <c r="C2227" s="4">
        <v>10</v>
      </c>
      <c r="D2227" s="4" t="s">
        <v>4664</v>
      </c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2719</v>
      </c>
      <c r="T2227">
        <v>1</v>
      </c>
      <c r="U2227" s="4" t="s">
        <v>4671</v>
      </c>
      <c r="V2227" s="3">
        <f>$O2227-$L2227</f>
        <v>32947.119999999995</v>
      </c>
      <c r="AA2227" s="10">
        <f t="shared" si="1469"/>
        <v>3034.2809999999999</v>
      </c>
      <c r="AB2227" s="3">
        <f t="shared" si="1470"/>
        <v>32947.15</v>
      </c>
      <c r="AC2227" s="3" cm="1">
        <f t="array" ref="AC2227">100000000/LvacE(AA2227)</f>
        <v>32947.146877340849</v>
      </c>
      <c r="AD2227" s="10">
        <f t="shared" si="1471"/>
        <v>1.042915222376254E-2</v>
      </c>
      <c r="AE2227" s="10" t="b">
        <f t="shared" si="1472"/>
        <v>1</v>
      </c>
      <c r="AJ2227" t="s">
        <v>4807</v>
      </c>
      <c r="AK2227" t="s">
        <v>4934</v>
      </c>
      <c r="AL2227">
        <v>35291</v>
      </c>
      <c r="AM2227">
        <v>68238.12</v>
      </c>
      <c r="AN2227" s="10" cm="1">
        <f t="array" ref="AN2227">Lair(100000000/($AM2227-$AL2227))</f>
        <v>3034.2834704464408</v>
      </c>
      <c r="AO2227" s="10">
        <f>100000000/($AM2227-$AL2227)</f>
        <v>3035.1666549306892</v>
      </c>
      <c r="AP2227" s="12">
        <v>39700000</v>
      </c>
      <c r="AQ2227" s="3">
        <v>0.35199999999999998</v>
      </c>
      <c r="AR2227" s="3">
        <f>LN(AU2227*100000000/($AM2227-$AL2227)/AP2227)</f>
        <v>-6.5371979721075153</v>
      </c>
      <c r="AS2227" s="13">
        <f>EXP(AR$4341*$AM2227+AR$4342)*$AP2227/(100000000/($AM2227-$AL2227))</f>
        <v>6.9033430777679525</v>
      </c>
      <c r="AT2227" s="3">
        <f>LN(AS2227/$C2227)</f>
        <v>-0.37057929470066808</v>
      </c>
      <c r="AU2227" s="16" cm="1">
        <f t="array" ref="AU2227">$C2227*EXP(poly_from_str(100000000/$E2227,AU$4342))</f>
        <v>18.946934687881964</v>
      </c>
      <c r="AV2227" s="13">
        <f>LN(AS2227/AU2227)</f>
        <v>-1.0096363622554274</v>
      </c>
    </row>
    <row r="2228" spans="1:48" x14ac:dyDescent="0.25">
      <c r="A2228">
        <v>3034.2669999999998</v>
      </c>
      <c r="B2228" s="2" t="str">
        <f t="shared" si="1464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1469"/>
        <v>3034.2669999999998</v>
      </c>
      <c r="AB2228" s="3">
        <f t="shared" si="1470"/>
        <v>32947.300000000003</v>
      </c>
      <c r="AC2228" s="3" cm="1">
        <f t="array" ref="AC2228">100000000/LvacE(AA2228)</f>
        <v>32947.29888804147</v>
      </c>
      <c r="AD2228" s="10">
        <f t="shared" si="1471"/>
        <v>1.0429202322676526E-2</v>
      </c>
      <c r="AE2228" s="10" t="b">
        <f t="shared" si="1472"/>
        <v>1</v>
      </c>
      <c r="AP2228"/>
      <c r="AQ2228"/>
      <c r="AU2228" s="16" cm="1">
        <f t="array" ref="AU2228">$C2228*EXP(poly_from_str(100000000/$E2228,AU$4342))</f>
        <v>0</v>
      </c>
    </row>
    <row r="2229" spans="1:48" x14ac:dyDescent="0.25">
      <c r="A2229">
        <v>3034.2469999999998</v>
      </c>
      <c r="B2229" s="2" t="str">
        <f t="shared" si="1464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1487">$G2229&amp;""</f>
        <v>e</v>
      </c>
      <c r="N2229" t="str">
        <f t="shared" ref="N2229:N2230" si="1488">$H2229&amp;""</f>
        <v>5/2</v>
      </c>
      <c r="O2229">
        <v>68331.73</v>
      </c>
      <c r="P2229" t="str">
        <f t="shared" ref="P2229:P2230" si="1489">$J2229&amp;""</f>
        <v>o</v>
      </c>
      <c r="Q2229" t="str">
        <f t="shared" ref="Q2229:Q2230" si="1490">$K2229&amp;""</f>
        <v>7/2</v>
      </c>
      <c r="R2229">
        <v>22</v>
      </c>
      <c r="AA2229" s="10">
        <f t="shared" si="1469"/>
        <v>3034.2469999999998</v>
      </c>
      <c r="AB2229" s="3">
        <f t="shared" si="1470"/>
        <v>32947.519999999997</v>
      </c>
      <c r="AC2229" s="3" cm="1">
        <f t="array" ref="AC2229">100000000/LvacE(AA2229)</f>
        <v>32947.516048618381</v>
      </c>
      <c r="AD2229" s="10">
        <f t="shared" si="1471"/>
        <v>1.0429273893756572E-2</v>
      </c>
      <c r="AE2229" s="10" t="b">
        <f t="shared" si="1472"/>
        <v>1</v>
      </c>
      <c r="AJ2229" t="s">
        <v>4728</v>
      </c>
      <c r="AK2229" t="s">
        <v>4923</v>
      </c>
      <c r="AL2229">
        <v>35384.17</v>
      </c>
      <c r="AM2229">
        <v>68331.75</v>
      </c>
      <c r="AN2229" s="10" cm="1">
        <f t="array" ref="AN2229">Lair(100000000/($AM2229-$AL2229))</f>
        <v>3034.2411053349633</v>
      </c>
      <c r="AO2229" s="10">
        <f t="shared" ref="AO2229:AO2230" si="1491">100000000/($AM2229-$AL2229)</f>
        <v>3035.1242792338617</v>
      </c>
      <c r="AP2229" s="12">
        <v>528000000</v>
      </c>
      <c r="AQ2229" s="3">
        <v>0.748</v>
      </c>
      <c r="AR2229" s="3">
        <f t="shared" ref="AR2229:AR2230" si="1492">LN(AU2229*100000000/($AM2229-$AL2229)/AP2229)</f>
        <v>-6.9277408478863194</v>
      </c>
      <c r="AS2229" s="13">
        <f t="shared" ref="AS2229:AS2230" si="1493">EXP(AR$4341*$AM2229+AR$4342)*$AP2229/(100000000/($AM2229-$AL2229))</f>
        <v>91.171124338248433</v>
      </c>
      <c r="AT2229" s="3">
        <f t="shared" ref="AT2229:AT2230" si="1494">LN(AS2229/$C2229)</f>
        <v>1.2928557517458234E-2</v>
      </c>
      <c r="AU2229" s="16" cm="1">
        <f t="array" ref="AU2229">$C2229*EXP(poly_from_str(100000000/$E2229,AU$4342))</f>
        <v>170.52098058750187</v>
      </c>
      <c r="AV2229" s="13">
        <f t="shared" ref="AV2229:AV2230" si="1495">LN(AS2229/AU2229)</f>
        <v>-0.62612011460454331</v>
      </c>
    </row>
    <row r="2230" spans="1:48" x14ac:dyDescent="0.25">
      <c r="A2230">
        <v>3034.1439999999998</v>
      </c>
      <c r="B2230" s="2" t="str">
        <f t="shared" si="1464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1487"/>
        <v>e</v>
      </c>
      <c r="N2230" t="str">
        <f t="shared" si="1488"/>
        <v>13/2</v>
      </c>
      <c r="O2230">
        <v>83607.320000000007</v>
      </c>
      <c r="P2230" t="str">
        <f t="shared" si="1489"/>
        <v>o</v>
      </c>
      <c r="Q2230" t="str">
        <f t="shared" si="1490"/>
        <v>11/2</v>
      </c>
      <c r="R2230">
        <v>22</v>
      </c>
      <c r="AA2230" s="10">
        <f t="shared" si="1469"/>
        <v>3034.1439999999998</v>
      </c>
      <c r="AB2230" s="3">
        <f t="shared" si="1470"/>
        <v>32948.629999999997</v>
      </c>
      <c r="AC2230" s="3" cm="1">
        <f t="array" ref="AC2230">100000000/LvacE(AA2230)</f>
        <v>32948.634470923695</v>
      </c>
      <c r="AD2230" s="10">
        <f t="shared" si="1471"/>
        <v>1.0429642507231645E-2</v>
      </c>
      <c r="AE2230" s="10" t="b">
        <f t="shared" si="1472"/>
        <v>1</v>
      </c>
      <c r="AJ2230" t="s">
        <v>4921</v>
      </c>
      <c r="AK2230" t="s">
        <v>4924</v>
      </c>
      <c r="AL2230">
        <v>50658.720000000001</v>
      </c>
      <c r="AM2230">
        <v>83607.320000000007</v>
      </c>
      <c r="AN2230" s="10" cm="1">
        <f t="array" ref="AN2230">Lair(100000000/($AM2230-$AL2230))</f>
        <v>3034.1471695246769</v>
      </c>
      <c r="AO2230" s="10">
        <f t="shared" si="1491"/>
        <v>3035.0303199528958</v>
      </c>
      <c r="AP2230" s="12">
        <v>1350000000</v>
      </c>
      <c r="AQ2230" s="3">
        <v>0.436</v>
      </c>
      <c r="AR2230" s="3">
        <f t="shared" si="1492"/>
        <v>-10.169145779060313</v>
      </c>
      <c r="AS2230" s="13">
        <f t="shared" si="1493"/>
        <v>74.080381449753176</v>
      </c>
      <c r="AT2230" s="3">
        <f t="shared" si="1494"/>
        <v>2.1079261621481828</v>
      </c>
      <c r="AU2230" s="16" cm="1">
        <f t="array" ref="AU2230">$C2230*EXP(poly_from_str(100000000/$E2230,AU$4342))</f>
        <v>17.051666771195812</v>
      </c>
      <c r="AV2230" s="13">
        <f t="shared" si="1495"/>
        <v>1.4689027826914662</v>
      </c>
    </row>
    <row r="2231" spans="1:48" x14ac:dyDescent="0.25">
      <c r="A2231">
        <v>3034.11</v>
      </c>
      <c r="B2231" s="2" t="str">
        <f t="shared" si="1464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1469"/>
        <v>3034.11</v>
      </c>
      <c r="AB2231" s="3">
        <f t="shared" si="1470"/>
        <v>32949</v>
      </c>
      <c r="AC2231" s="3" cm="1">
        <f t="array" ref="AC2231">100000000/LvacE(AA2231)</f>
        <v>32949.003675537977</v>
      </c>
      <c r="AD2231" s="10">
        <f t="shared" si="1471"/>
        <v>1.0429764193707211E-2</v>
      </c>
      <c r="AE2231" s="10" t="b">
        <f t="shared" si="1472"/>
        <v>1</v>
      </c>
      <c r="AP2231"/>
      <c r="AQ2231"/>
      <c r="AU2231" s="16" cm="1">
        <f t="array" ref="AU2231">$C2231*EXP(poly_from_str(100000000/$E2231,AU$4342))</f>
        <v>0</v>
      </c>
    </row>
    <row r="2232" spans="1:48" x14ac:dyDescent="0.25">
      <c r="A2232">
        <v>3034.0770000000002</v>
      </c>
      <c r="B2232" s="2" t="str">
        <f t="shared" si="1464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1469"/>
        <v>3034.0770000000002</v>
      </c>
      <c r="AB2232" s="3">
        <f t="shared" si="1470"/>
        <v>32949.360000000001</v>
      </c>
      <c r="AC2232" s="3" cm="1">
        <f t="array" ref="AC2232">100000000/LvacE(AA2232)</f>
        <v>32949.362029105614</v>
      </c>
      <c r="AD2232" s="10">
        <f t="shared" si="1471"/>
        <v>1.0429882305080854E-2</v>
      </c>
      <c r="AE2232" s="10" t="b">
        <f t="shared" si="1472"/>
        <v>1</v>
      </c>
      <c r="AP2232"/>
      <c r="AQ2232"/>
      <c r="AU2232" s="16" cm="1">
        <f t="array" ref="AU2232">$C2232*EXP(poly_from_str(100000000/$E2232,AU$4342))</f>
        <v>0</v>
      </c>
    </row>
    <row r="2233" spans="1:48" x14ac:dyDescent="0.25">
      <c r="A2233">
        <v>3034.0479999999998</v>
      </c>
      <c r="B2233" s="2" t="str">
        <f t="shared" si="1464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1469"/>
        <v>3034.0479999999998</v>
      </c>
      <c r="AB2233" s="3">
        <f t="shared" si="1470"/>
        <v>32949.68</v>
      </c>
      <c r="AC2233" s="3" cm="1">
        <f t="array" ref="AC2233">100000000/LvacE(AA2233)</f>
        <v>32949.676952311966</v>
      </c>
      <c r="AD2233" s="10">
        <f t="shared" si="1471"/>
        <v>1.0429986103105813E-2</v>
      </c>
      <c r="AE2233" s="10" t="b">
        <f t="shared" si="1472"/>
        <v>1</v>
      </c>
      <c r="AP2233"/>
      <c r="AQ2233"/>
      <c r="AU2233" s="16" cm="1">
        <f t="array" ref="AU2233">$C2233*EXP(poly_from_str(100000000/$E2233,AU$4342))</f>
        <v>0</v>
      </c>
    </row>
    <row r="2234" spans="1:48" x14ac:dyDescent="0.25">
      <c r="A2234">
        <v>3033.346</v>
      </c>
      <c r="B2234" s="2" t="str">
        <f t="shared" si="1464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1469"/>
        <v>3033.346</v>
      </c>
      <c r="AB2234" s="3">
        <f t="shared" si="1470"/>
        <v>32957.300000000003</v>
      </c>
      <c r="AC2234" s="3" cm="1">
        <f t="array" ref="AC2234">100000000/LvacE(AA2234)</f>
        <v>32957.302102784583</v>
      </c>
      <c r="AD2234" s="10">
        <f t="shared" si="1471"/>
        <v>1.0432499639471491E-2</v>
      </c>
      <c r="AE2234" s="10" t="b">
        <f t="shared" si="1472"/>
        <v>1</v>
      </c>
      <c r="AP2234"/>
      <c r="AQ2234"/>
      <c r="AU2234" s="16" cm="1">
        <f t="array" ref="AU2234">$C2234*EXP(poly_from_str(100000000/$E2234,AU$4342))</f>
        <v>0</v>
      </c>
    </row>
    <row r="2235" spans="1:48" x14ac:dyDescent="0.25">
      <c r="A2235">
        <v>3033.3090000000002</v>
      </c>
      <c r="B2235" s="2" t="str">
        <f t="shared" si="1464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1469"/>
        <v>3033.3090000000002</v>
      </c>
      <c r="AB2235" s="3">
        <f t="shared" si="1470"/>
        <v>32957.699999999997</v>
      </c>
      <c r="AC2235" s="3" cm="1">
        <f t="array" ref="AC2235">100000000/LvacE(AA2235)</f>
        <v>32957.704096085916</v>
      </c>
      <c r="AD2235" s="10">
        <f t="shared" si="1471"/>
        <v>1.043263216772276E-2</v>
      </c>
      <c r="AE2235" s="10" t="b">
        <f t="shared" si="1472"/>
        <v>1</v>
      </c>
      <c r="AJ2235" t="s">
        <v>4975</v>
      </c>
      <c r="AK2235" t="s">
        <v>4903</v>
      </c>
      <c r="AL2235">
        <v>28399.43</v>
      </c>
      <c r="AM2235">
        <v>61357.04</v>
      </c>
      <c r="AN2235" s="10" cm="1">
        <f t="array" ref="AN2235">Lair(100000000/($AM2235-$AL2235))</f>
        <v>3033.3176557157817</v>
      </c>
      <c r="AO2235" s="10">
        <f>100000000/($AM2235-$AL2235)</f>
        <v>3034.2005988905144</v>
      </c>
      <c r="AP2235" s="12">
        <v>809000000</v>
      </c>
      <c r="AQ2235" s="3">
        <v>0.82199999999999995</v>
      </c>
      <c r="AR2235" s="3">
        <f>LN(AU2235*100000000/($AM2235-$AL2235)/AP2235)</f>
        <v>-7.2496252830852725</v>
      </c>
      <c r="AS2235" s="13">
        <f>EXP(AR$4341*$AM2235+AR$4342)*$AP2235/(100000000/($AM2235-$AL2235))</f>
        <v>235.8449563395742</v>
      </c>
      <c r="AT2235" s="3">
        <f>LN(AS2235/$C2235)</f>
        <v>0.85800443847885088</v>
      </c>
      <c r="AU2235" s="16" cm="1">
        <f t="array" ref="AU2235">$C2235*EXP(poly_from_str(100000000/$E2235,AU$4342))</f>
        <v>189.42267944924248</v>
      </c>
      <c r="AV2235" s="13">
        <f>LN(AS2235/AU2235)</f>
        <v>0.21919370722346115</v>
      </c>
    </row>
    <row r="2236" spans="1:48" x14ac:dyDescent="0.25">
      <c r="A2236">
        <v>3033.1660000000002</v>
      </c>
      <c r="B2236" s="2" t="str">
        <f t="shared" si="1464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1469"/>
        <v>3033.1660000000002</v>
      </c>
      <c r="AB2236" s="3">
        <f t="shared" si="1470"/>
        <v>32959.26</v>
      </c>
      <c r="AC2236" s="3" cm="1">
        <f t="array" ref="AC2236">100000000/LvacE(AA2236)</f>
        <v>32959.257838065212</v>
      </c>
      <c r="AD2236" s="10">
        <f t="shared" si="1471"/>
        <v>1.0433144417098373E-2</v>
      </c>
      <c r="AE2236" s="10" t="b">
        <f t="shared" si="1472"/>
        <v>1</v>
      </c>
      <c r="AP2236"/>
      <c r="AQ2236"/>
      <c r="AU2236" s="16" cm="1">
        <f t="array" ref="AU2236">$C2236*EXP(poly_from_str(100000000/$E2236,AU$4342))</f>
        <v>0</v>
      </c>
    </row>
    <row r="2237" spans="1:48" x14ac:dyDescent="0.25">
      <c r="A2237">
        <v>3033.134</v>
      </c>
      <c r="B2237" s="2" t="str">
        <f t="shared" si="1464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1469"/>
        <v>3033.134</v>
      </c>
      <c r="AB2237" s="3">
        <f t="shared" si="1470"/>
        <v>32959.61</v>
      </c>
      <c r="AC2237" s="3" cm="1">
        <f t="array" ref="AC2237">100000000/LvacE(AA2237)</f>
        <v>32959.60554863701</v>
      </c>
      <c r="AD2237" s="10">
        <f t="shared" si="1471"/>
        <v>1.0433259056249578E-2</v>
      </c>
      <c r="AE2237" s="10" t="b">
        <f t="shared" si="1472"/>
        <v>1</v>
      </c>
      <c r="AP2237"/>
      <c r="AQ2237"/>
      <c r="AU2237" s="16" cm="1">
        <f t="array" ref="AU2237">$C2237*EXP(poly_from_str(100000000/$E2237,AU$4342))</f>
        <v>0</v>
      </c>
    </row>
    <row r="2238" spans="1:48" x14ac:dyDescent="0.25">
      <c r="A2238">
        <v>3033.0990000000002</v>
      </c>
      <c r="B2238" s="2" t="str">
        <f t="shared" si="1464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1496">$G2238&amp;""</f>
        <v>e</v>
      </c>
      <c r="N2238" t="str">
        <f t="shared" ref="N2238:N2239" si="1497">$H2238&amp;""</f>
        <v>11/2</v>
      </c>
      <c r="O2238">
        <v>83607.320000000007</v>
      </c>
      <c r="P2238" t="str">
        <f t="shared" ref="P2238:P2239" si="1498">$J2238&amp;""</f>
        <v>o</v>
      </c>
      <c r="Q2238" t="str">
        <f t="shared" ref="Q2238:Q2239" si="1499">$K2238&amp;""</f>
        <v>11/2</v>
      </c>
      <c r="R2238">
        <v>22</v>
      </c>
      <c r="AA2238" s="10">
        <f t="shared" si="1469"/>
        <v>3033.0990000000002</v>
      </c>
      <c r="AB2238" s="3">
        <f t="shared" si="1470"/>
        <v>32959.99</v>
      </c>
      <c r="AC2238" s="3" cm="1">
        <f t="array" ref="AC2238">100000000/LvacE(AA2238)</f>
        <v>32959.985865475173</v>
      </c>
      <c r="AD2238" s="10">
        <f t="shared" si="1471"/>
        <v>1.0433384446975714E-2</v>
      </c>
      <c r="AE2238" s="10" t="b">
        <f t="shared" si="1472"/>
        <v>1</v>
      </c>
      <c r="AJ2238" t="s">
        <v>4937</v>
      </c>
      <c r="AK2238" t="s">
        <v>4924</v>
      </c>
      <c r="AL2238">
        <v>50647.35</v>
      </c>
      <c r="AM2238">
        <v>83607.320000000007</v>
      </c>
      <c r="AN2238" s="10" cm="1">
        <f t="array" ref="AN2238">Lair(100000000/($AM2238-$AL2238))</f>
        <v>3033.1004551286278</v>
      </c>
      <c r="AO2238" s="10">
        <f t="shared" ref="AO2238:AO2239" si="1500">100000000/($AM2238-$AL2238)</f>
        <v>3033.9833440382372</v>
      </c>
      <c r="AP2238" s="12">
        <v>1490000000</v>
      </c>
      <c r="AQ2238" s="3">
        <v>0.872</v>
      </c>
      <c r="AR2238" s="3">
        <f t="shared" ref="AR2238:AR2239" si="1501">LN(AU2238*100000000/($AM2238-$AL2238)/AP2238)</f>
        <v>-10.26843035163555</v>
      </c>
      <c r="AS2238" s="13">
        <f t="shared" ref="AS2238:AS2239" si="1502">EXP(AR$4341*$AM2238+AR$4342)*$AP2238/(100000000/($AM2238-$AL2238))</f>
        <v>81.79100632291032</v>
      </c>
      <c r="AT2238" s="3">
        <f t="shared" ref="AT2238:AT2239" si="1503">LN(AS2238/$C2238)</f>
        <v>2.2069427130751653</v>
      </c>
      <c r="AU2238" s="16" cm="1">
        <f t="array" ref="AU2238">$C2238*EXP(poly_from_str(100000000/$E2238,AU$4342))</f>
        <v>17.047097167766008</v>
      </c>
      <c r="AV2238" s="13">
        <f t="shared" ref="AV2238:AV2239" si="1504">LN(AS2238/AU2238)</f>
        <v>1.5681873552667018</v>
      </c>
    </row>
    <row r="2239" spans="1:48" x14ac:dyDescent="0.25">
      <c r="A2239">
        <v>3031.8820000000001</v>
      </c>
      <c r="B2239" s="2" t="str">
        <f t="shared" si="1464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1496"/>
        <v>e</v>
      </c>
      <c r="N2239" t="str">
        <f t="shared" si="1497"/>
        <v>9/2</v>
      </c>
      <c r="O2239">
        <v>68801.67</v>
      </c>
      <c r="P2239" t="str">
        <f t="shared" si="1498"/>
        <v>o</v>
      </c>
      <c r="Q2239" t="str">
        <f t="shared" si="1499"/>
        <v>7/2</v>
      </c>
      <c r="R2239">
        <v>22</v>
      </c>
      <c r="AA2239" s="10">
        <f t="shared" si="1469"/>
        <v>3031.8820000000001</v>
      </c>
      <c r="AB2239" s="3">
        <f t="shared" si="1470"/>
        <v>32973.22</v>
      </c>
      <c r="AC2239" s="3" cm="1">
        <f t="array" ref="AC2239">100000000/LvacE(AA2239)</f>
        <v>32973.215485702822</v>
      </c>
      <c r="AD2239" s="10">
        <f t="shared" si="1471"/>
        <v>1.043774716260442E-2</v>
      </c>
      <c r="AE2239" s="10" t="b">
        <f t="shared" si="1472"/>
        <v>1</v>
      </c>
      <c r="AJ2239" t="s">
        <v>4773</v>
      </c>
      <c r="AK2239" t="s">
        <v>4857</v>
      </c>
      <c r="AL2239">
        <v>35828.46</v>
      </c>
      <c r="AM2239">
        <v>68801.67</v>
      </c>
      <c r="AN2239" s="10" cm="1">
        <f t="array" ref="AN2239">Lair(100000000/($AM2239-$AL2239))</f>
        <v>3031.8824995046975</v>
      </c>
      <c r="AO2239" s="10">
        <f t="shared" si="1500"/>
        <v>3032.765084139518</v>
      </c>
      <c r="AP2239" s="12">
        <v>95900000</v>
      </c>
      <c r="AQ2239" s="3">
        <v>0.188</v>
      </c>
      <c r="AR2239" s="3">
        <f t="shared" si="1501"/>
        <v>-7.5259397485484536</v>
      </c>
      <c r="AS2239" s="13">
        <f t="shared" si="1502"/>
        <v>15.997933418753266</v>
      </c>
      <c r="AT2239" s="3">
        <f t="shared" si="1503"/>
        <v>0.57523497523359834</v>
      </c>
      <c r="AU2239" s="16" cm="1">
        <f t="array" ref="AU2239">$C2239*EXP(poly_from_str(100000000/$E2239,AU$4342))</f>
        <v>17.041418102511983</v>
      </c>
      <c r="AV2239" s="13">
        <f t="shared" si="1504"/>
        <v>-6.3187187346997922E-2</v>
      </c>
    </row>
    <row r="2240" spans="1:48" x14ac:dyDescent="0.25">
      <c r="A2240">
        <v>3031.75</v>
      </c>
      <c r="B2240" s="2" t="str">
        <f t="shared" si="1464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1469"/>
        <v>3031.75</v>
      </c>
      <c r="AB2240" s="3">
        <f t="shared" si="1470"/>
        <v>32974.65</v>
      </c>
      <c r="AC2240" s="3" cm="1">
        <f t="array" ref="AC2240">100000000/LvacE(AA2240)</f>
        <v>32974.651054189089</v>
      </c>
      <c r="AD2240" s="10">
        <f t="shared" si="1471"/>
        <v>1.043822067356957E-2</v>
      </c>
      <c r="AE2240" s="10" t="b">
        <f t="shared" si="1472"/>
        <v>1</v>
      </c>
      <c r="AP2240"/>
      <c r="AQ2240"/>
      <c r="AU2240" s="16" cm="1">
        <f t="array" ref="AU2240">$C2240*EXP(poly_from_str(100000000/$E2240,AU$4342))</f>
        <v>5.6802604224090709</v>
      </c>
    </row>
    <row r="2241" spans="1:48" x14ac:dyDescent="0.25">
      <c r="A2241">
        <v>3031.143</v>
      </c>
      <c r="B2241" s="2" t="str">
        <f t="shared" si="1464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1469"/>
        <v>3031.143</v>
      </c>
      <c r="AB2241" s="3">
        <f t="shared" si="1470"/>
        <v>32981.25</v>
      </c>
      <c r="AC2241" s="3" cm="1">
        <f t="array" ref="AC2241">100000000/LvacE(AA2241)</f>
        <v>32981.25410345311</v>
      </c>
      <c r="AD2241" s="10">
        <f t="shared" si="1471"/>
        <v>1.0440398902897869E-2</v>
      </c>
      <c r="AE2241" s="10" t="b">
        <f t="shared" si="1472"/>
        <v>1</v>
      </c>
      <c r="AP2241"/>
      <c r="AQ2241"/>
      <c r="AU2241" s="16" cm="1">
        <f t="array" ref="AU2241">$C2241*EXP(poly_from_str(100000000/$E2241,AU$4342))</f>
        <v>1.8930871037696757</v>
      </c>
    </row>
    <row r="2242" spans="1:48" x14ac:dyDescent="0.25">
      <c r="A2242">
        <v>3030.7170000000001</v>
      </c>
      <c r="B2242" s="2" t="str">
        <f t="shared" ref="B2242:B2305" si="1505">IF(OR(A2242=A2241,A2242=A2243),IF(B2241="",1,B2241+1),"")</f>
        <v/>
      </c>
      <c r="C2242">
        <v>2</v>
      </c>
      <c r="D2242" t="s">
        <v>1156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1469"/>
        <v>3030.7170000000001</v>
      </c>
      <c r="AB2242" s="3">
        <f t="shared" si="1470"/>
        <v>32985.89</v>
      </c>
      <c r="AC2242" s="3" cm="1">
        <f t="array" ref="AC2242">100000000/LvacE(AA2242)</f>
        <v>32985.889783313854</v>
      </c>
      <c r="AD2242" s="10">
        <f t="shared" si="1471"/>
        <v>1.0441928392409098E-2</v>
      </c>
      <c r="AE2242" s="10" t="b">
        <f t="shared" si="1472"/>
        <v>1</v>
      </c>
      <c r="AJ2242" t="s">
        <v>4974</v>
      </c>
      <c r="AK2242" t="s">
        <v>4834</v>
      </c>
      <c r="AL2242">
        <v>33338.370000000003</v>
      </c>
      <c r="AM2242">
        <v>66324.84</v>
      </c>
      <c r="AN2242" s="10" cm="1">
        <f t="array" ref="AN2242">Lair(100000000/($AM2242-$AL2242))</f>
        <v>3030.6636839729767</v>
      </c>
      <c r="AO2242" s="10">
        <f>100000000/($AM2242-$AL2242)</f>
        <v>3031.5459641483317</v>
      </c>
      <c r="AP2242" s="12">
        <v>462000000</v>
      </c>
      <c r="AQ2242" s="3">
        <v>0.79500000000000004</v>
      </c>
      <c r="AR2242" s="3">
        <f>LN(AU2242*100000000/($AM2242-$AL2242)/AP2242)</f>
        <v>-10.603018436879625</v>
      </c>
      <c r="AS2242" s="13">
        <f>EXP(AR$4341*$AM2242+AR$4342)*$AP2242/(100000000/($AM2242-$AL2242))</f>
        <v>92.851235290009797</v>
      </c>
      <c r="AT2242" s="3">
        <f>LN(AS2242/$C2242)</f>
        <v>3.8378514112968483</v>
      </c>
      <c r="AU2242" s="16" cm="1">
        <f t="array" ref="AU2242">$C2242*EXP(poly_from_str(100000000/$E2242,AU$4342))</f>
        <v>3.7856932396726553</v>
      </c>
      <c r="AV2242" s="13">
        <f>LN(AS2242/AU2242)</f>
        <v>3.1997695672671349</v>
      </c>
    </row>
    <row r="2243" spans="1:48" x14ac:dyDescent="0.25">
      <c r="A2243">
        <v>3029.9960000000001</v>
      </c>
      <c r="B2243" s="2" t="str">
        <f t="shared" si="1505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1506">ROUND($A2243,3)+0</f>
        <v>3029.9960000000001</v>
      </c>
      <c r="AB2243" s="3">
        <f t="shared" ref="AB2243:AB2306" si="1507">ROUND($E2243,2)+0</f>
        <v>32993.74</v>
      </c>
      <c r="AC2243" s="3" cm="1">
        <f t="array" ref="AC2243">100000000/LvacE(AA2243)</f>
        <v>32993.738586881853</v>
      </c>
      <c r="AD2243" s="10">
        <f t="shared" ref="AD2243:AD2306" si="1508">0.0005/$AA2243*AC2243+0.005</f>
        <v>1.0444518505450478E-2</v>
      </c>
      <c r="AE2243" s="10" t="b">
        <f t="shared" ref="AE2243:AE2306" si="1509">ABS(AB2243-AC2243)&lt;AD2243</f>
        <v>1</v>
      </c>
      <c r="AP2243"/>
      <c r="AQ2243"/>
      <c r="AU2243" s="16" cm="1">
        <f t="array" ref="AU2243">$C2243*EXP(poly_from_str(100000000/$E2243,AU$4342))</f>
        <v>11.354567041987803</v>
      </c>
    </row>
    <row r="2244" spans="1:48" x14ac:dyDescent="0.25">
      <c r="A2244">
        <v>3029.4029999999998</v>
      </c>
      <c r="B2244" s="2" t="str">
        <f t="shared" si="1505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1506"/>
        <v>3029.4029999999998</v>
      </c>
      <c r="AB2244" s="3">
        <f t="shared" si="1507"/>
        <v>33000.199999999997</v>
      </c>
      <c r="AC2244" s="3" cm="1">
        <f t="array" ref="AC2244">100000000/LvacE(AA2244)</f>
        <v>33000.196782699844</v>
      </c>
      <c r="AD2244" s="10">
        <f t="shared" si="1508"/>
        <v>1.0446650178715055E-2</v>
      </c>
      <c r="AE2244" s="10" t="b">
        <f t="shared" si="1509"/>
        <v>1</v>
      </c>
      <c r="AP2244"/>
      <c r="AQ2244"/>
      <c r="AU2244" s="16" cm="1">
        <f t="array" ref="AU2244">$C2244*EXP(poly_from_str(100000000/$E2244,AU$4342))</f>
        <v>0</v>
      </c>
    </row>
    <row r="2245" spans="1:48" x14ac:dyDescent="0.25">
      <c r="A2245">
        <v>3029.3760000000002</v>
      </c>
      <c r="B2245" s="2" t="str">
        <f t="shared" si="1505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1510">$G2245&amp;""</f>
        <v>e</v>
      </c>
      <c r="N2245" t="str">
        <f t="shared" ref="N2245:N2247" si="1511">$H2245&amp;""</f>
        <v>7/2</v>
      </c>
      <c r="O2245">
        <v>68801.67</v>
      </c>
      <c r="P2245" t="str">
        <f t="shared" ref="P2245:P2247" si="1512">$J2245&amp;""</f>
        <v>o</v>
      </c>
      <c r="Q2245" t="str">
        <f t="shared" ref="Q2245:Q2247" si="1513">$K2245&amp;""</f>
        <v>7/2</v>
      </c>
      <c r="R2245">
        <v>22</v>
      </c>
      <c r="AA2245" s="10">
        <f t="shared" si="1506"/>
        <v>3029.3760000000002</v>
      </c>
      <c r="AB2245" s="3">
        <f t="shared" si="1507"/>
        <v>33000.49</v>
      </c>
      <c r="AC2245" s="3" cm="1">
        <f t="array" ref="AC2245">100000000/LvacE(AA2245)</f>
        <v>33000.49089226441</v>
      </c>
      <c r="AD2245" s="10">
        <f t="shared" si="1508"/>
        <v>1.0446747266147288E-2</v>
      </c>
      <c r="AE2245" s="10" t="b">
        <f t="shared" si="1509"/>
        <v>1</v>
      </c>
      <c r="AJ2245" t="s">
        <v>4810</v>
      </c>
      <c r="AK2245" t="s">
        <v>4857</v>
      </c>
      <c r="AL2245">
        <v>35801.120000000003</v>
      </c>
      <c r="AM2245">
        <v>68801.67</v>
      </c>
      <c r="AN2245" s="10" cm="1">
        <f t="array" ref="AN2245">Lair(100000000/($AM2245-$AL2245))</f>
        <v>3029.3705689053245</v>
      </c>
      <c r="AO2245" s="10">
        <f t="shared" ref="AO2245:AO2247" si="1514">100000000/($AM2245-$AL2245)</f>
        <v>3030.2525260942625</v>
      </c>
      <c r="AP2245" s="12">
        <v>903000000</v>
      </c>
      <c r="AQ2245" s="3">
        <v>0.61099999999999999</v>
      </c>
      <c r="AR2245" s="3">
        <f t="shared" ref="AR2245:AR2247" si="1515">LN(AU2245*100000000/($AM2245-$AL2245)/AP2245)</f>
        <v>-7.3619977439819531</v>
      </c>
      <c r="AS2245" s="13">
        <f t="shared" ref="AS2245:AS2247" si="1516">EXP(AR$4341*$AM2245+AR$4342)*$AP2245/(100000000/($AM2245-$AL2245))</f>
        <v>150.76237752066683</v>
      </c>
      <c r="AT2245" s="3">
        <f t="shared" ref="AT2245:AT2247" si="1517">LN(AS2245/$C2245)</f>
        <v>0.41053475252174809</v>
      </c>
      <c r="AU2245" s="16" cm="1">
        <f t="array" ref="AU2245">$C2245*EXP(poly_from_str(100000000/$E2245,AU$4342))</f>
        <v>189.20557652619223</v>
      </c>
      <c r="AV2245" s="13">
        <f t="shared" ref="AV2245:AV2247" si="1518">LN(AS2245/AU2245)</f>
        <v>-0.22712919191349823</v>
      </c>
    </row>
    <row r="2246" spans="1:48" x14ac:dyDescent="0.25">
      <c r="A2246">
        <v>3027.9769999999999</v>
      </c>
      <c r="B2246" s="2" t="str">
        <f t="shared" si="1505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1510"/>
        <v>e</v>
      </c>
      <c r="N2246" t="str">
        <f t="shared" si="1511"/>
        <v>11/2</v>
      </c>
      <c r="O2246">
        <v>69686.259999999995</v>
      </c>
      <c r="P2246" t="str">
        <f t="shared" si="1512"/>
        <v>o</v>
      </c>
      <c r="Q2246" t="str">
        <f t="shared" si="1513"/>
        <v>9/2</v>
      </c>
      <c r="R2246">
        <v>22</v>
      </c>
      <c r="AA2246" s="10">
        <f t="shared" si="1506"/>
        <v>3027.9769999999999</v>
      </c>
      <c r="AB2246" s="3">
        <f t="shared" si="1507"/>
        <v>33015.74</v>
      </c>
      <c r="AC2246" s="3" cm="1">
        <f t="array" ref="AC2246">100000000/LvacE(AA2246)</f>
        <v>33015.73730115591</v>
      </c>
      <c r="AD2246" s="10">
        <f t="shared" si="1508"/>
        <v>1.0451781387566007E-2</v>
      </c>
      <c r="AE2246" s="10" t="b">
        <f t="shared" si="1509"/>
        <v>1</v>
      </c>
      <c r="AJ2246" t="s">
        <v>4772</v>
      </c>
      <c r="AK2246" t="s">
        <v>4838</v>
      </c>
      <c r="AL2246">
        <v>36670.57</v>
      </c>
      <c r="AM2246">
        <v>69686.259999999995</v>
      </c>
      <c r="AN2246" s="10" cm="1">
        <f t="array" ref="AN2246">Lair(100000000/($AM2246-$AL2246))</f>
        <v>3027.9813334167993</v>
      </c>
      <c r="AO2246" s="10">
        <f t="shared" si="1514"/>
        <v>3028.8629436489141</v>
      </c>
      <c r="AP2246" s="12">
        <v>3640000</v>
      </c>
      <c r="AQ2246" s="3">
        <v>0.123</v>
      </c>
      <c r="AR2246" s="3">
        <f t="shared" si="1515"/>
        <v>-5.7612064720232539</v>
      </c>
      <c r="AS2246" s="13">
        <f t="shared" si="1516"/>
        <v>0.56895105291122317</v>
      </c>
      <c r="AT2246" s="3">
        <f t="shared" si="1517"/>
        <v>-1.257108052119065</v>
      </c>
      <c r="AU2246" s="16" cm="1">
        <f t="array" ref="AU2246">$C2246*EXP(poly_from_str(100000000/$E2246,AU$4342))</f>
        <v>3.7823488503798495</v>
      </c>
      <c r="AV2246" s="13">
        <f t="shared" si="1518"/>
        <v>-1.8943060771977966</v>
      </c>
    </row>
    <row r="2247" spans="1:48" x14ac:dyDescent="0.25">
      <c r="A2247">
        <v>3027.4810000000002</v>
      </c>
      <c r="B2247" s="2" t="str">
        <f t="shared" si="1505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1510"/>
        <v>e</v>
      </c>
      <c r="N2247" t="str">
        <f t="shared" si="1511"/>
        <v>5/2</v>
      </c>
      <c r="O2247">
        <v>66681.14</v>
      </c>
      <c r="P2247" t="str">
        <f t="shared" si="1512"/>
        <v>o</v>
      </c>
      <c r="Q2247" t="str">
        <f t="shared" si="1513"/>
        <v>5/2</v>
      </c>
      <c r="R2247">
        <v>22</v>
      </c>
      <c r="AA2247" s="10">
        <f t="shared" si="1506"/>
        <v>3027.4810000000002</v>
      </c>
      <c r="AB2247" s="3">
        <f t="shared" si="1507"/>
        <v>33021.15</v>
      </c>
      <c r="AC2247" s="3" cm="1">
        <f t="array" ref="AC2247">100000000/LvacE(AA2247)</f>
        <v>33021.146130254827</v>
      </c>
      <c r="AD2247" s="10">
        <f t="shared" si="1508"/>
        <v>1.0453567855628957E-2</v>
      </c>
      <c r="AE2247" s="10" t="b">
        <f t="shared" si="1509"/>
        <v>1</v>
      </c>
      <c r="AJ2247" t="s">
        <v>4895</v>
      </c>
      <c r="AK2247" t="s">
        <v>4851</v>
      </c>
      <c r="AL2247">
        <v>33659.99</v>
      </c>
      <c r="AM2247">
        <v>66681.14</v>
      </c>
      <c r="AN2247" s="10" cm="1">
        <f t="array" ref="AN2247">Lair(100000000/($AM2247-$AL2247))</f>
        <v>3027.4806402908707</v>
      </c>
      <c r="AO2247" s="10">
        <f t="shared" si="1514"/>
        <v>3028.3621254862414</v>
      </c>
      <c r="AP2247" s="12">
        <v>502000000</v>
      </c>
      <c r="AQ2247" s="3">
        <v>0.44500000000000001</v>
      </c>
      <c r="AR2247" s="3">
        <f t="shared" si="1515"/>
        <v>-8.385575685165513</v>
      </c>
      <c r="AS2247" s="13">
        <f t="shared" si="1516"/>
        <v>98.331600726852869</v>
      </c>
      <c r="AT2247" s="3">
        <f t="shared" si="1517"/>
        <v>1.59261317423557</v>
      </c>
      <c r="AU2247" s="16" cm="1">
        <f t="array" ref="AU2247">$C2247*EXP(poly_from_str(100000000/$E2247,AU$4342))</f>
        <v>37.816964293528059</v>
      </c>
      <c r="AV2247" s="13">
        <f t="shared" si="1518"/>
        <v>0.95558765500642906</v>
      </c>
    </row>
    <row r="2248" spans="1:48" x14ac:dyDescent="0.25">
      <c r="A2248">
        <v>3027.4319999999998</v>
      </c>
      <c r="B2248" s="2" t="str">
        <f t="shared" si="1505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1506"/>
        <v>3027.4319999999998</v>
      </c>
      <c r="AB2248" s="3">
        <f t="shared" si="1507"/>
        <v>33021.68</v>
      </c>
      <c r="AC2248" s="3" cm="1">
        <f t="array" ref="AC2248">100000000/LvacE(AA2248)</f>
        <v>33021.680566411516</v>
      </c>
      <c r="AD2248" s="10">
        <f t="shared" si="1508"/>
        <v>1.0453744389041855E-2</v>
      </c>
      <c r="AE2248" s="10" t="b">
        <f t="shared" si="1509"/>
        <v>1</v>
      </c>
      <c r="AP2248"/>
      <c r="AQ2248"/>
      <c r="AU2248" s="16" cm="1">
        <f t="array" ref="AU2248">$C2248*EXP(poly_from_str(100000000/$E2248,AU$4342))</f>
        <v>0</v>
      </c>
    </row>
    <row r="2249" spans="1:48" x14ac:dyDescent="0.25">
      <c r="A2249">
        <v>3027.1039999999998</v>
      </c>
      <c r="B2249" s="2" t="str">
        <f t="shared" si="1505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1506"/>
        <v>3027.1039999999998</v>
      </c>
      <c r="AB2249" s="3">
        <f t="shared" si="1507"/>
        <v>33025.26</v>
      </c>
      <c r="AC2249" s="3" cm="1">
        <f t="array" ref="AC2249">100000000/LvacE(AA2249)</f>
        <v>33025.258462111873</v>
      </c>
      <c r="AD2249" s="10">
        <f t="shared" si="1508"/>
        <v>1.0454926302847851E-2</v>
      </c>
      <c r="AE2249" s="10" t="b">
        <f t="shared" si="1509"/>
        <v>1</v>
      </c>
      <c r="AP2249"/>
      <c r="AQ2249"/>
      <c r="AU2249" s="16" cm="1">
        <f t="array" ref="AU2249">$C2249*EXP(poly_from_str(100000000/$E2249,AU$4342))</f>
        <v>3.7811913049582015</v>
      </c>
    </row>
    <row r="2250" spans="1:48" x14ac:dyDescent="0.25">
      <c r="A2250">
        <v>3027.069</v>
      </c>
      <c r="B2250" s="2" t="str">
        <f t="shared" si="1505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1506"/>
        <v>3027.069</v>
      </c>
      <c r="AB2250" s="3">
        <f t="shared" si="1507"/>
        <v>33025.64</v>
      </c>
      <c r="AC2250" s="3" cm="1">
        <f t="array" ref="AC2250">100000000/LvacE(AA2250)</f>
        <v>33025.640295542711</v>
      </c>
      <c r="AD2250" s="10">
        <f t="shared" si="1508"/>
        <v>1.0455052444384768E-2</v>
      </c>
      <c r="AE2250" s="10" t="b">
        <f t="shared" si="1509"/>
        <v>1</v>
      </c>
      <c r="AP2250"/>
      <c r="AQ2250"/>
      <c r="AU2250" s="16" cm="1">
        <f t="array" ref="AU2250">$C2250*EXP(poly_from_str(100000000/$E2250,AU$4342))</f>
        <v>5.6717162840566688</v>
      </c>
    </row>
    <row r="2251" spans="1:48" x14ac:dyDescent="0.25">
      <c r="A2251">
        <v>3026.652</v>
      </c>
      <c r="B2251" s="2" t="str">
        <f t="shared" si="1505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1506"/>
        <v>3026.652</v>
      </c>
      <c r="AB2251" s="3">
        <f t="shared" si="1507"/>
        <v>33030.19</v>
      </c>
      <c r="AC2251" s="3" cm="1">
        <f t="array" ref="AC2251">100000000/LvacE(AA2251)</f>
        <v>33030.190247471874</v>
      </c>
      <c r="AD2251" s="10">
        <f t="shared" si="1508"/>
        <v>1.0456555667363126E-2</v>
      </c>
      <c r="AE2251" s="10" t="b">
        <f t="shared" si="1509"/>
        <v>1</v>
      </c>
      <c r="AP2251"/>
      <c r="AQ2251"/>
      <c r="AU2251" s="16" cm="1">
        <f t="array" ref="AU2251">$C2251*EXP(poly_from_str(100000000/$E2251,AU$4342))</f>
        <v>1.890287306790656</v>
      </c>
    </row>
    <row r="2252" spans="1:48" x14ac:dyDescent="0.25">
      <c r="A2252">
        <v>3026.223</v>
      </c>
      <c r="B2252" s="2" t="str">
        <f t="shared" si="1505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1519">$G2252&amp;""</f>
        <v>e</v>
      </c>
      <c r="N2252" t="str">
        <f t="shared" ref="N2252:N2254" si="1520">$H2252&amp;""</f>
        <v>13/2</v>
      </c>
      <c r="O2252">
        <v>71736.45</v>
      </c>
      <c r="P2252" t="str">
        <f t="shared" ref="P2252:P2254" si="1521">$J2252&amp;""</f>
        <v>o</v>
      </c>
      <c r="Q2252" t="str">
        <f t="shared" ref="Q2252:Q2254" si="1522">$K2252&amp;""</f>
        <v>11/2</v>
      </c>
      <c r="R2252">
        <v>22</v>
      </c>
      <c r="AA2252" s="10">
        <f t="shared" si="1506"/>
        <v>3026.223</v>
      </c>
      <c r="AB2252" s="3">
        <f t="shared" si="1507"/>
        <v>33034.870000000003</v>
      </c>
      <c r="AC2252" s="3" cm="1">
        <f t="array" ref="AC2252">100000000/LvacE(AA2252)</f>
        <v>33034.872441746265</v>
      </c>
      <c r="AD2252" s="10">
        <f t="shared" si="1508"/>
        <v>1.0458102797075144E-2</v>
      </c>
      <c r="AE2252" s="10" t="b">
        <f t="shared" si="1509"/>
        <v>1</v>
      </c>
      <c r="AJ2252" t="s">
        <v>4751</v>
      </c>
      <c r="AK2252" t="s">
        <v>4875</v>
      </c>
      <c r="AL2252">
        <v>38701.589999999997</v>
      </c>
      <c r="AM2252">
        <v>71736.45</v>
      </c>
      <c r="AN2252" s="10" cm="1">
        <f t="array" ref="AN2252">Lair(100000000/($AM2252-$AL2252))</f>
        <v>3026.2241348997427</v>
      </c>
      <c r="AO2252" s="10">
        <f t="shared" ref="AO2252:AO2254" si="1523">100000000/($AM2252-$AL2252)</f>
        <v>3027.1053063339755</v>
      </c>
      <c r="AP2252" s="12">
        <v>5100000</v>
      </c>
      <c r="AQ2252" s="3">
        <v>0.11700000000000001</v>
      </c>
      <c r="AR2252" s="3">
        <f t="shared" ref="AR2252:AR2253" si="1524">LN(AU2252*100000000/($AM2252-$AL2252)/AP2252)</f>
        <v>-5.6942056193304094</v>
      </c>
      <c r="AS2252" s="13">
        <f t="shared" ref="AS2252:AS2254" si="1525">EXP(AR$4341*$AM2252+AR$4342)*$AP2252/(100000000/($AM2252-$AL2252))</f>
        <v>0.68387257976975491</v>
      </c>
      <c r="AT2252" s="3">
        <f t="shared" ref="AT2252:AT2253" si="1526">LN(AS2252/$C2252)</f>
        <v>-1.4785959542675766</v>
      </c>
      <c r="AU2252" s="16" cm="1">
        <f t="array" ref="AU2252">$C2252*EXP(poly_from_str(100000000/$E2252,AU$4342))</f>
        <v>5.6699674724240134</v>
      </c>
      <c r="AV2252" s="13">
        <f t="shared" ref="AV2252:AV2253" si="1527">LN(AS2252/AU2252)</f>
        <v>-2.1151670465367842</v>
      </c>
    </row>
    <row r="2253" spans="1:48" x14ac:dyDescent="0.25">
      <c r="A2253">
        <v>3025.8040000000001</v>
      </c>
      <c r="B2253" s="2" t="str">
        <f t="shared" si="1505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1519"/>
        <v>e</v>
      </c>
      <c r="N2253" t="str">
        <f t="shared" si="1520"/>
        <v>11/2</v>
      </c>
      <c r="O2253">
        <v>60419.73</v>
      </c>
      <c r="P2253" t="str">
        <f t="shared" si="1521"/>
        <v>o</v>
      </c>
      <c r="Q2253" t="str">
        <f t="shared" si="1522"/>
        <v>11/2</v>
      </c>
      <c r="R2253">
        <v>22</v>
      </c>
      <c r="AA2253" s="10">
        <f t="shared" si="1506"/>
        <v>3025.8040000000001</v>
      </c>
      <c r="AB2253" s="3">
        <f t="shared" si="1507"/>
        <v>33039.449999999997</v>
      </c>
      <c r="AC2253" s="3" cm="1">
        <f t="array" ref="AC2253">100000000/LvacE(AA2253)</f>
        <v>33039.446775495831</v>
      </c>
      <c r="AD2253" s="10">
        <f t="shared" si="1508"/>
        <v>1.0459614498410312E-2</v>
      </c>
      <c r="AE2253" s="10" t="b">
        <f t="shared" si="1509"/>
        <v>1</v>
      </c>
      <c r="AJ2253" t="s">
        <v>4712</v>
      </c>
      <c r="AK2253" t="s">
        <v>4849</v>
      </c>
      <c r="AL2253">
        <v>27380.31</v>
      </c>
      <c r="AM2253">
        <v>60419.73</v>
      </c>
      <c r="AN2253" s="10" cm="1">
        <f t="array" ref="AN2253">Lair(100000000/($AM2253-$AL2253))</f>
        <v>3025.8064473493641</v>
      </c>
      <c r="AO2253" s="10">
        <f t="shared" si="1523"/>
        <v>3026.6875144902665</v>
      </c>
      <c r="AP2253" s="12">
        <v>13200000</v>
      </c>
      <c r="AQ2253" s="3">
        <v>0.15</v>
      </c>
      <c r="AR2253" s="3">
        <f t="shared" si="1524"/>
        <v>-5.7981791810497487</v>
      </c>
      <c r="AS2253" s="13">
        <f t="shared" si="1525"/>
        <v>4.1388328146135409</v>
      </c>
      <c r="AT2253" s="3">
        <f t="shared" si="1526"/>
        <v>-0.52549632980480521</v>
      </c>
      <c r="AU2253" s="16" cm="1">
        <f t="array" ref="AU2253">$C2253*EXP(poly_from_str(100000000/$E2253,AU$4342))</f>
        <v>13.227845768191207</v>
      </c>
      <c r="AV2253" s="13">
        <f t="shared" si="1527"/>
        <v>-1.1619103163053903</v>
      </c>
    </row>
    <row r="2254" spans="1:48" x14ac:dyDescent="0.25">
      <c r="A2254">
        <v>3025.6840000000002</v>
      </c>
      <c r="B2254" s="2" t="str">
        <f t="shared" si="1505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1519"/>
        <v>e</v>
      </c>
      <c r="N2254" t="str">
        <f t="shared" si="1520"/>
        <v>9/2</v>
      </c>
      <c r="O2254">
        <v>68331.73</v>
      </c>
      <c r="P2254" t="str">
        <f t="shared" si="1521"/>
        <v>o</v>
      </c>
      <c r="Q2254" t="str">
        <f t="shared" si="1522"/>
        <v>7/2</v>
      </c>
      <c r="R2254">
        <v>22</v>
      </c>
      <c r="AA2254" s="10">
        <f t="shared" si="1506"/>
        <v>3025.6840000000002</v>
      </c>
      <c r="AB2254" s="3">
        <f t="shared" si="1507"/>
        <v>33040.76</v>
      </c>
      <c r="AC2254" s="3" cm="1">
        <f t="array" ref="AC2254">100000000/LvacE(AA2254)</f>
        <v>33040.757080575349</v>
      </c>
      <c r="AD2254" s="10">
        <f t="shared" si="1508"/>
        <v>1.0460047559589063E-2</v>
      </c>
      <c r="AE2254" s="10" t="b">
        <f t="shared" si="1509"/>
        <v>1</v>
      </c>
      <c r="AJ2254" t="s">
        <v>4807</v>
      </c>
      <c r="AK2254" t="s">
        <v>4923</v>
      </c>
      <c r="AL2254">
        <v>35291</v>
      </c>
      <c r="AM2254">
        <v>68331.75</v>
      </c>
      <c r="AN2254" s="10" cm="1">
        <f t="array" ref="AN2254">Lair(100000000/($AM2254-$AL2254))</f>
        <v>3025.6846435303587</v>
      </c>
      <c r="AO2254" s="10">
        <f t="shared" si="1523"/>
        <v>3026.5656802584685</v>
      </c>
      <c r="AP2254" s="12">
        <v>34000000</v>
      </c>
      <c r="AQ2254" s="3">
        <v>3.6999999999999998E-2</v>
      </c>
      <c r="AR2254" s="3"/>
      <c r="AS2254" s="13">
        <f t="shared" si="1525"/>
        <v>5.8874696437150726</v>
      </c>
      <c r="AT2254" s="3"/>
      <c r="AU2254" s="16" cm="1">
        <f t="array" ref="AU2254">$C2254*EXP(poly_from_str(100000000/$E2254,AU$4342))</f>
        <v>3.7792127957178514</v>
      </c>
    </row>
    <row r="2255" spans="1:48" x14ac:dyDescent="0.25">
      <c r="A2255">
        <v>3025.6379999999999</v>
      </c>
      <c r="B2255" s="2" t="str">
        <f t="shared" si="1505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1506"/>
        <v>3025.6379999999999</v>
      </c>
      <c r="AB2255" s="3">
        <f t="shared" si="1507"/>
        <v>33041.26</v>
      </c>
      <c r="AC2255" s="3" cm="1">
        <f t="array" ref="AC2255">100000000/LvacE(AA2255)</f>
        <v>33041.259391744694</v>
      </c>
      <c r="AD2255" s="10">
        <f t="shared" si="1508"/>
        <v>1.0460213580035797E-2</v>
      </c>
      <c r="AE2255" s="10" t="b">
        <f t="shared" si="1509"/>
        <v>1</v>
      </c>
      <c r="AP2255"/>
      <c r="AQ2255"/>
      <c r="AU2255" s="16" cm="1">
        <f t="array" ref="AU2255">$C2255*EXP(poly_from_str(100000000/$E2255,AU$4342))</f>
        <v>0</v>
      </c>
    </row>
    <row r="2256" spans="1:48" x14ac:dyDescent="0.25">
      <c r="A2256">
        <v>3025.596</v>
      </c>
      <c r="B2256" s="2" t="str">
        <f t="shared" si="1505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1506"/>
        <v>3025.596</v>
      </c>
      <c r="AB2256" s="3">
        <f t="shared" si="1507"/>
        <v>33041.72</v>
      </c>
      <c r="AC2256" s="3" cm="1">
        <f t="array" ref="AC2256">100000000/LvacE(AA2256)</f>
        <v>33041.718037020342</v>
      </c>
      <c r="AD2256" s="10">
        <f t="shared" si="1508"/>
        <v>1.0460365170535052E-2</v>
      </c>
      <c r="AE2256" s="10" t="b">
        <f t="shared" si="1509"/>
        <v>1</v>
      </c>
      <c r="AP2256"/>
      <c r="AQ2256"/>
      <c r="AU2256" s="16" cm="1">
        <f t="array" ref="AU2256">$C2256*EXP(poly_from_str(100000000/$E2256,AU$4342))</f>
        <v>0</v>
      </c>
    </row>
    <row r="2257" spans="1:48" x14ac:dyDescent="0.25">
      <c r="A2257">
        <v>3025.56</v>
      </c>
      <c r="B2257" s="2" t="str">
        <f t="shared" si="1505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1506"/>
        <v>3025.56</v>
      </c>
      <c r="AB2257" s="3">
        <f t="shared" si="1507"/>
        <v>33042.11</v>
      </c>
      <c r="AC2257" s="3" cm="1">
        <f t="array" ref="AC2257">100000000/LvacE(AA2257)</f>
        <v>33042.111171676479</v>
      </c>
      <c r="AD2257" s="10">
        <f t="shared" si="1508"/>
        <v>1.046049511027322E-2</v>
      </c>
      <c r="AE2257" s="10" t="b">
        <f t="shared" si="1509"/>
        <v>1</v>
      </c>
      <c r="AP2257"/>
      <c r="AQ2257"/>
      <c r="AU2257" s="16" cm="1">
        <f t="array" ref="AU2257">$C2257*EXP(poly_from_str(100000000/$E2257,AU$4342))</f>
        <v>0</v>
      </c>
    </row>
    <row r="2258" spans="1:48" x14ac:dyDescent="0.25">
      <c r="A2258">
        <v>3025.527</v>
      </c>
      <c r="B2258" s="2" t="str">
        <f t="shared" si="1505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1506"/>
        <v>3025.527</v>
      </c>
      <c r="AB2258" s="3">
        <f t="shared" si="1507"/>
        <v>33042.47</v>
      </c>
      <c r="AC2258" s="3" cm="1">
        <f t="array" ref="AC2258">100000000/LvacE(AA2258)</f>
        <v>33042.471553329327</v>
      </c>
      <c r="AD2258" s="10">
        <f t="shared" si="1508"/>
        <v>1.0460614225774441E-2</v>
      </c>
      <c r="AE2258" s="10" t="b">
        <f t="shared" si="1509"/>
        <v>1</v>
      </c>
      <c r="AP2258"/>
      <c r="AQ2258"/>
      <c r="AU2258" s="16" cm="1">
        <f t="array" ref="AU2258">$C2258*EXP(poly_from_str(100000000/$E2258,AU$4342))</f>
        <v>0</v>
      </c>
    </row>
    <row r="2259" spans="1:48" x14ac:dyDescent="0.25">
      <c r="A2259">
        <v>3025.366</v>
      </c>
      <c r="B2259" s="2" t="str">
        <f t="shared" si="1505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1506"/>
        <v>3025.366</v>
      </c>
      <c r="AB2259" s="3">
        <f t="shared" si="1507"/>
        <v>33044.230000000003</v>
      </c>
      <c r="AC2259" s="3" cm="1">
        <f t="array" ref="AC2259">100000000/LvacE(AA2259)</f>
        <v>33044.22989170612</v>
      </c>
      <c r="AD2259" s="10">
        <f t="shared" si="1508"/>
        <v>1.0461195420935206E-2</v>
      </c>
      <c r="AE2259" s="10" t="b">
        <f t="shared" si="1509"/>
        <v>1</v>
      </c>
      <c r="AP2259"/>
      <c r="AQ2259"/>
      <c r="AU2259" s="16" cm="1">
        <f t="array" ref="AU2259">$C2259*EXP(poly_from_str(100000000/$E2259,AU$4342))</f>
        <v>3.7787539563253687</v>
      </c>
    </row>
    <row r="2260" spans="1:48" x14ac:dyDescent="0.25">
      <c r="A2260">
        <v>3025.2620000000002</v>
      </c>
      <c r="B2260" s="2" t="str">
        <f t="shared" si="1505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1506"/>
        <v>3025.2620000000002</v>
      </c>
      <c r="AB2260" s="3">
        <f t="shared" si="1507"/>
        <v>33045.370000000003</v>
      </c>
      <c r="AC2260" s="3" cm="1">
        <f t="array" ref="AC2260">100000000/LvacE(AA2260)</f>
        <v>33045.365812255237</v>
      </c>
      <c r="AD2260" s="10">
        <f t="shared" si="1508"/>
        <v>1.0461570900678228E-2</v>
      </c>
      <c r="AE2260" s="10" t="b">
        <f t="shared" si="1509"/>
        <v>1</v>
      </c>
      <c r="AJ2260" t="s">
        <v>4761</v>
      </c>
      <c r="AK2260" t="s">
        <v>4755</v>
      </c>
      <c r="AL2260">
        <v>34825.49</v>
      </c>
      <c r="AM2260">
        <v>67870.759999999995</v>
      </c>
      <c r="AN2260" s="10" cm="1">
        <f t="array" ref="AN2260">Lair(100000000/($AM2260-$AL2260))</f>
        <v>3025.2707669885945</v>
      </c>
      <c r="AO2260" s="10">
        <f>100000000/($AM2260-$AL2260)</f>
        <v>3026.1517003795102</v>
      </c>
      <c r="AP2260" s="12">
        <v>816000000</v>
      </c>
      <c r="AQ2260" s="3">
        <v>0.58399999999999996</v>
      </c>
      <c r="AR2260" s="3">
        <f>LN(AU2260*100000000/($AM2260-$AL2260)/AP2260)</f>
        <v>-7.620175740685089</v>
      </c>
      <c r="AS2260" s="13">
        <f>EXP(AR$4341*$AM2260+AR$4342)*$AP2260/(100000000/($AM2260-$AL2260))</f>
        <v>146.29318592097718</v>
      </c>
      <c r="AT2260" s="3">
        <f>LN(AS2260/$C2260)</f>
        <v>0.73711748882214501</v>
      </c>
      <c r="AU2260" s="16" cm="1">
        <f t="array" ref="AU2260">$C2260*EXP(poly_from_str(100000000/$E2260,AU$4342))</f>
        <v>132.25106806854339</v>
      </c>
      <c r="AV2260" s="13">
        <f>LN(AS2260/AU2260)</f>
        <v>0.10091058403305381</v>
      </c>
    </row>
    <row r="2261" spans="1:48" x14ac:dyDescent="0.25">
      <c r="A2261">
        <v>3025.232</v>
      </c>
      <c r="B2261" s="2" t="str">
        <f t="shared" si="1505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1506"/>
        <v>3025.232</v>
      </c>
      <c r="AB2261" s="3">
        <f t="shared" si="1507"/>
        <v>33045.69</v>
      </c>
      <c r="AC2261" s="3" cm="1">
        <f t="array" ref="AC2261">100000000/LvacE(AA2261)</f>
        <v>33045.693496157182</v>
      </c>
      <c r="AD2261" s="10">
        <f t="shared" si="1508"/>
        <v>1.0461679219338745E-2</v>
      </c>
      <c r="AE2261" s="10" t="b">
        <f t="shared" si="1509"/>
        <v>1</v>
      </c>
      <c r="AP2261"/>
      <c r="AQ2261"/>
      <c r="AU2261" s="16" cm="1">
        <f t="array" ref="AU2261">$C2261*EXP(poly_from_str(100000000/$E2261,AU$4342))</f>
        <v>0</v>
      </c>
    </row>
    <row r="2262" spans="1:48" x14ac:dyDescent="0.25">
      <c r="A2262">
        <v>3024.6239999999998</v>
      </c>
      <c r="B2262" s="2" t="str">
        <f t="shared" si="1505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1506"/>
        <v>3024.6239999999998</v>
      </c>
      <c r="AB2262" s="3">
        <f t="shared" si="1507"/>
        <v>33052.339999999997</v>
      </c>
      <c r="AC2262" s="3" cm="1">
        <f t="array" ref="AC2262">100000000/LvacE(AA2262)</f>
        <v>33052.335957302406</v>
      </c>
      <c r="AD2262" s="10">
        <f t="shared" si="1508"/>
        <v>1.0463875172137496E-2</v>
      </c>
      <c r="AE2262" s="10" t="b">
        <f t="shared" si="1509"/>
        <v>1</v>
      </c>
      <c r="AP2262"/>
      <c r="AQ2262"/>
      <c r="AU2262" s="16" cm="1">
        <f t="array" ref="AU2262">$C2262*EXP(poly_from_str(100000000/$E2262,AU$4342))</f>
        <v>1.8888294503986027</v>
      </c>
    </row>
    <row r="2263" spans="1:48" x14ac:dyDescent="0.25">
      <c r="A2263">
        <v>3024.3409999999999</v>
      </c>
      <c r="B2263" s="2" t="str">
        <f t="shared" si="1505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1506"/>
        <v>3024.3409999999999</v>
      </c>
      <c r="AB2263" s="3">
        <f t="shared" si="1507"/>
        <v>33055.43</v>
      </c>
      <c r="AC2263" s="3" cm="1">
        <f t="array" ref="AC2263">100000000/LvacE(AA2263)</f>
        <v>33055.428671572074</v>
      </c>
      <c r="AD2263" s="10">
        <f t="shared" si="1508"/>
        <v>1.0464897753191864E-2</v>
      </c>
      <c r="AE2263" s="10" t="b">
        <f t="shared" si="1509"/>
        <v>1</v>
      </c>
      <c r="AP2263"/>
      <c r="AQ2263"/>
      <c r="AU2263" s="16" cm="1">
        <f t="array" ref="AU2263">$C2263*EXP(poly_from_str(100000000/$E2263,AU$4342))</f>
        <v>0</v>
      </c>
    </row>
    <row r="2264" spans="1:48" x14ac:dyDescent="0.25">
      <c r="A2264">
        <v>3024.3090000000002</v>
      </c>
      <c r="B2264" s="2" t="str">
        <f t="shared" si="1505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1506"/>
        <v>3024.3090000000002</v>
      </c>
      <c r="AB2264" s="3">
        <f t="shared" si="1507"/>
        <v>33055.78</v>
      </c>
      <c r="AC2264" s="3" cm="1">
        <f t="array" ref="AC2264">100000000/LvacE(AA2264)</f>
        <v>33055.778414200606</v>
      </c>
      <c r="AD2264" s="10">
        <f t="shared" si="1508"/>
        <v>1.0465013398796321E-2</v>
      </c>
      <c r="AE2264" s="10" t="b">
        <f t="shared" si="1509"/>
        <v>1</v>
      </c>
      <c r="AP2264"/>
      <c r="AQ2264"/>
      <c r="AU2264" s="16" cm="1">
        <f t="array" ref="AU2264">$C2264*EXP(poly_from_str(100000000/$E2264,AU$4342))</f>
        <v>0</v>
      </c>
    </row>
    <row r="2265" spans="1:48" x14ac:dyDescent="0.25">
      <c r="A2265">
        <v>3024.2750000000001</v>
      </c>
      <c r="B2265" s="2" t="str">
        <f t="shared" si="1505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1506"/>
        <v>3024.2750000000001</v>
      </c>
      <c r="AB2265" s="3">
        <f t="shared" si="1507"/>
        <v>33056.15</v>
      </c>
      <c r="AC2265" s="3" cm="1">
        <f t="array" ref="AC2265">100000000/LvacE(AA2265)</f>
        <v>33056.150023852453</v>
      </c>
      <c r="AD2265" s="10">
        <f t="shared" si="1508"/>
        <v>1.0465136276273232E-2</v>
      </c>
      <c r="AE2265" s="10" t="b">
        <f t="shared" si="1509"/>
        <v>1</v>
      </c>
      <c r="AJ2265" t="s">
        <v>4937</v>
      </c>
      <c r="AK2265" t="s">
        <v>4925</v>
      </c>
      <c r="AL2265">
        <v>50647.35</v>
      </c>
      <c r="AM2265">
        <v>83703.429999999993</v>
      </c>
      <c r="AN2265" s="10" cm="1">
        <f t="array" ref="AN2265">Lair(100000000/($AM2265-$AL2265))</f>
        <v>3024.2814018054282</v>
      </c>
      <c r="AO2265" s="10">
        <f>100000000/($AM2265-$AL2265)</f>
        <v>3025.1620881846852</v>
      </c>
      <c r="AP2265" s="12">
        <v>2690000000</v>
      </c>
      <c r="AQ2265" s="3">
        <v>0.86</v>
      </c>
      <c r="AR2265" s="3">
        <f>LN(AU2265*100000000/($AM2265-$AL2265)/AP2265)</f>
        <v>-9.6610714886602054</v>
      </c>
      <c r="AS2265" s="13">
        <f>EXP(AR$4341*$AM2265+AR$4342)*$AP2265/(100000000/($AM2265-$AL2265))</f>
        <v>147.02921936230101</v>
      </c>
      <c r="AT2265" s="3">
        <f>LN(AS2265/$C2265)</f>
        <v>1.5894339565363247</v>
      </c>
      <c r="AU2265" s="16" cm="1">
        <f t="array" ref="AU2265">$C2265*EXP(poly_from_str(100000000/$E2265,AU$4342))</f>
        <v>56.657002515827109</v>
      </c>
      <c r="AV2265" s="13">
        <f>LN(AS2265/AU2265)</f>
        <v>0.95361574819892714</v>
      </c>
    </row>
    <row r="2266" spans="1:48" x14ac:dyDescent="0.25">
      <c r="A2266">
        <v>3022.8229999999999</v>
      </c>
      <c r="B2266" s="2" t="str">
        <f t="shared" si="1505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1506"/>
        <v>3022.8229999999999</v>
      </c>
      <c r="AB2266" s="3">
        <f t="shared" si="1507"/>
        <v>33072.03</v>
      </c>
      <c r="AC2266" s="3" cm="1">
        <f t="array" ref="AC2266">100000000/LvacE(AA2266)</f>
        <v>33072.027742906292</v>
      </c>
      <c r="AD2266" s="10">
        <f t="shared" si="1508"/>
        <v>1.047038773737435E-2</v>
      </c>
      <c r="AE2266" s="10" t="b">
        <f t="shared" si="1509"/>
        <v>1</v>
      </c>
      <c r="AP2266"/>
      <c r="AQ2266"/>
      <c r="AU2266" s="16" cm="1">
        <f t="array" ref="AU2266">$C2266*EXP(poly_from_str(100000000/$E2266,AU$4342))</f>
        <v>3.7748683403371688</v>
      </c>
    </row>
    <row r="2267" spans="1:48" x14ac:dyDescent="0.25">
      <c r="A2267">
        <v>3021.9119999999998</v>
      </c>
      <c r="B2267" s="2" t="str">
        <f t="shared" si="1505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1528">$G2267&amp;""</f>
        <v>e</v>
      </c>
      <c r="N2267" t="str">
        <f t="shared" ref="N2267:N2268" si="1529">$H2267&amp;""</f>
        <v>5/2</v>
      </c>
      <c r="O2267">
        <v>78889.14</v>
      </c>
      <c r="P2267" t="str">
        <f t="shared" ref="P2267:P2268" si="1530">$J2267&amp;""</f>
        <v>o</v>
      </c>
      <c r="Q2267" t="str">
        <f t="shared" ref="Q2267:Q2268" si="1531">$K2267&amp;""</f>
        <v>3/2</v>
      </c>
      <c r="R2267">
        <v>22</v>
      </c>
      <c r="AA2267" s="10">
        <f t="shared" si="1506"/>
        <v>3021.9119999999998</v>
      </c>
      <c r="AB2267" s="3">
        <f t="shared" si="1507"/>
        <v>33082</v>
      </c>
      <c r="AC2267" s="3" cm="1">
        <f t="array" ref="AC2267">100000000/LvacE(AA2267)</f>
        <v>33081.997379206106</v>
      </c>
      <c r="AD2267" s="10">
        <f t="shared" si="1508"/>
        <v>1.0473686424225144E-2</v>
      </c>
      <c r="AE2267" s="10" t="b">
        <f t="shared" si="1509"/>
        <v>1</v>
      </c>
      <c r="AJ2267" t="s">
        <v>4972</v>
      </c>
      <c r="AK2267" t="s">
        <v>4877</v>
      </c>
      <c r="AL2267">
        <v>45807.1</v>
      </c>
      <c r="AM2267">
        <v>78889.14</v>
      </c>
      <c r="AN2267" s="10" cm="1">
        <f t="array" ref="AN2267">Lair(100000000/($AM2267-$AL2267))</f>
        <v>3021.9081017224253</v>
      </c>
      <c r="AO2267" s="10">
        <f t="shared" ref="AO2267:AO2268" si="1532">100000000/($AM2267-$AL2267)</f>
        <v>3022.7881956493611</v>
      </c>
      <c r="AP2267" s="12">
        <v>124000000</v>
      </c>
      <c r="AQ2267" s="3">
        <v>0.14799999999999999</v>
      </c>
      <c r="AR2267" s="3">
        <f t="shared" ref="AR2267:AR2268" si="1533">LN(AU2267*100000000/($AM2267-$AL2267)/AP2267)</f>
        <v>-8.3775941936947724</v>
      </c>
      <c r="AS2267" s="13">
        <f t="shared" ref="AS2267:AS2268" si="1534">EXP(AR$4341*$AM2267+AR$4342)*$AP2267/(100000000/($AM2267-$AL2267))</f>
        <v>9.7347145923887908</v>
      </c>
      <c r="AT2267" s="3">
        <f t="shared" ref="AT2267:AT2268" si="1535">LN(AS2267/$C2267)</f>
        <v>0.66626040828065991</v>
      </c>
      <c r="AU2267" s="16" cm="1">
        <f t="array" ref="AU2267">$C2267*EXP(poly_from_str(100000000/$E2267,AU$4342))</f>
        <v>9.4334605507969016</v>
      </c>
      <c r="AV2267" s="13">
        <f t="shared" ref="AV2267:AV2268" si="1536">LN(AS2267/AU2267)</f>
        <v>3.1435318874411172E-2</v>
      </c>
    </row>
    <row r="2268" spans="1:48" x14ac:dyDescent="0.25">
      <c r="A2268">
        <v>3021.7719999999999</v>
      </c>
      <c r="B2268" s="2" t="str">
        <f t="shared" si="1505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1528"/>
        <v>e</v>
      </c>
      <c r="N2268" t="str">
        <f t="shared" si="1529"/>
        <v>9/2</v>
      </c>
      <c r="O2268">
        <v>68374.539999999994</v>
      </c>
      <c r="P2268" t="str">
        <f t="shared" si="1530"/>
        <v>o</v>
      </c>
      <c r="Q2268" t="str">
        <f t="shared" si="1531"/>
        <v>9/2</v>
      </c>
      <c r="R2268">
        <v>22</v>
      </c>
      <c r="AA2268" s="10">
        <f t="shared" si="1506"/>
        <v>3021.7719999999999</v>
      </c>
      <c r="AB2268" s="3">
        <f t="shared" si="1507"/>
        <v>33083.53</v>
      </c>
      <c r="AC2268" s="3" cm="1">
        <f t="array" ref="AC2268">100000000/LvacE(AA2268)</f>
        <v>33083.53001861443</v>
      </c>
      <c r="AD2268" s="10">
        <f t="shared" si="1508"/>
        <v>1.0474193621923564E-2</v>
      </c>
      <c r="AE2268" s="10" t="b">
        <f t="shared" si="1509"/>
        <v>1</v>
      </c>
      <c r="AJ2268" t="s">
        <v>4807</v>
      </c>
      <c r="AK2268" t="s">
        <v>4739</v>
      </c>
      <c r="AL2268">
        <v>35291</v>
      </c>
      <c r="AM2268">
        <v>68374.539999999994</v>
      </c>
      <c r="AN2268" s="10" cm="1">
        <f t="array" ref="AN2268">Lair(100000000/($AM2268-$AL2268))</f>
        <v>3021.7710834101567</v>
      </c>
      <c r="AO2268" s="10">
        <f t="shared" si="1532"/>
        <v>3022.6511431364365</v>
      </c>
      <c r="AP2268" s="12">
        <v>291000000</v>
      </c>
      <c r="AQ2268" s="3">
        <v>0.22</v>
      </c>
      <c r="AR2268" s="3">
        <f t="shared" si="1533"/>
        <v>-6.591685385936608</v>
      </c>
      <c r="AS2268" s="13">
        <f t="shared" si="1534"/>
        <v>50.293307901674631</v>
      </c>
      <c r="AT2268" s="3">
        <f t="shared" si="1535"/>
        <v>-0.33062321749904577</v>
      </c>
      <c r="AU2268" s="16" cm="1">
        <f t="array" ref="AU2268">$C2268*EXP(poly_from_str(100000000/$E2268,AU$4342))</f>
        <v>132.0603284591912</v>
      </c>
      <c r="AV2268" s="13">
        <f t="shared" si="1536"/>
        <v>-0.96538682740968129</v>
      </c>
    </row>
    <row r="2269" spans="1:48" x14ac:dyDescent="0.25">
      <c r="A2269">
        <v>3021.7440000000001</v>
      </c>
      <c r="B2269" s="2" t="str">
        <f t="shared" si="1505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1506"/>
        <v>3021.7440000000001</v>
      </c>
      <c r="AB2269" s="3">
        <f t="shared" si="1507"/>
        <v>33083.839999999997</v>
      </c>
      <c r="AC2269" s="3" cm="1">
        <f t="array" ref="AC2269">100000000/LvacE(AA2269)</f>
        <v>33083.83656353689</v>
      </c>
      <c r="AD2269" s="10">
        <f t="shared" si="1508"/>
        <v>1.0474295069922682E-2</v>
      </c>
      <c r="AE2269" s="10" t="b">
        <f t="shared" si="1509"/>
        <v>1</v>
      </c>
      <c r="AP2269"/>
      <c r="AQ2269"/>
      <c r="AU2269" s="16" cm="1">
        <f t="array" ref="AU2269">$C2269*EXP(poly_from_str(100000000/$E2269,AU$4342))</f>
        <v>0</v>
      </c>
    </row>
    <row r="2270" spans="1:48" x14ac:dyDescent="0.25">
      <c r="A2270">
        <v>3021.7060000000001</v>
      </c>
      <c r="B2270" s="2" t="str">
        <f t="shared" si="1505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1506"/>
        <v>3021.7060000000001</v>
      </c>
      <c r="AB2270" s="3">
        <f t="shared" si="1507"/>
        <v>33084.25</v>
      </c>
      <c r="AC2270" s="3" cm="1">
        <f t="array" ref="AC2270">100000000/LvacE(AA2270)</f>
        <v>33084.252597874955</v>
      </c>
      <c r="AD2270" s="10">
        <f t="shared" si="1508"/>
        <v>1.0474432753860726E-2</v>
      </c>
      <c r="AE2270" s="10" t="b">
        <f t="shared" si="1509"/>
        <v>1</v>
      </c>
      <c r="AP2270"/>
      <c r="AQ2270"/>
      <c r="AU2270" s="16" cm="1">
        <f t="array" ref="AU2270">$C2270*EXP(poly_from_str(100000000/$E2270,AU$4342))</f>
        <v>0</v>
      </c>
    </row>
    <row r="2271" spans="1:48" x14ac:dyDescent="0.25">
      <c r="A2271">
        <v>3021.6750000000002</v>
      </c>
      <c r="B2271" s="2" t="str">
        <f t="shared" si="1505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1506"/>
        <v>3021.6750000000002</v>
      </c>
      <c r="AB2271" s="3">
        <f t="shared" si="1507"/>
        <v>33084.589999999997</v>
      </c>
      <c r="AC2271" s="3" cm="1">
        <f t="array" ref="AC2271">100000000/LvacE(AA2271)</f>
        <v>33084.592002058198</v>
      </c>
      <c r="AD2271" s="10">
        <f t="shared" si="1508"/>
        <v>1.047454507881526E-2</v>
      </c>
      <c r="AE2271" s="10" t="b">
        <f t="shared" si="1509"/>
        <v>1</v>
      </c>
      <c r="AP2271"/>
      <c r="AQ2271"/>
      <c r="AU2271" s="16" cm="1">
        <f t="array" ref="AU2271">$C2271*EXP(poly_from_str(100000000/$E2271,AU$4342))</f>
        <v>0</v>
      </c>
    </row>
    <row r="2272" spans="1:48" x14ac:dyDescent="0.25">
      <c r="A2272">
        <v>3021.3919999999998</v>
      </c>
      <c r="B2272" s="2" t="str">
        <f t="shared" si="1505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1506"/>
        <v>3021.3919999999998</v>
      </c>
      <c r="AB2272" s="3">
        <f t="shared" si="1507"/>
        <v>33087.69</v>
      </c>
      <c r="AC2272" s="3" cm="1">
        <f t="array" ref="AC2272">100000000/LvacE(AA2272)</f>
        <v>33087.690755778509</v>
      </c>
      <c r="AD2272" s="10">
        <f t="shared" si="1508"/>
        <v>1.0475570656799667E-2</v>
      </c>
      <c r="AE2272" s="10" t="b">
        <f t="shared" si="1509"/>
        <v>1</v>
      </c>
      <c r="AJ2272" t="s">
        <v>4706</v>
      </c>
      <c r="AK2272" t="s">
        <v>4840</v>
      </c>
      <c r="AL2272">
        <v>30505.72</v>
      </c>
      <c r="AM2272">
        <v>63593.35</v>
      </c>
      <c r="AN2272" s="10" cm="1">
        <f t="array" ref="AN2272">Lair(100000000/($AM2272-$AL2272))</f>
        <v>3021.3975432619236</v>
      </c>
      <c r="AO2272" s="10">
        <f>100000000/($AM2272-$AL2272)</f>
        <v>3022.2775097521344</v>
      </c>
      <c r="AP2272" s="12">
        <v>74200000</v>
      </c>
      <c r="AQ2272" s="3">
        <v>0.105</v>
      </c>
      <c r="AR2272" s="3">
        <f>LN(AU2272*100000000/($AM2272-$AL2272)/AP2272)</f>
        <v>-7.8644759017698629</v>
      </c>
      <c r="AS2272" s="13">
        <f>EXP(AR$4341*$AM2272+AR$4342)*$AP2272/(100000000/($AM2272-$AL2272))</f>
        <v>18.361376299542332</v>
      </c>
      <c r="AT2272" s="3">
        <f>LN(AS2272/$C2272)</f>
        <v>1.300811431797456</v>
      </c>
      <c r="AU2272" s="16" cm="1">
        <f t="array" ref="AU2272">$C2272*EXP(poly_from_str(100000000/$E2272,AU$4342))</f>
        <v>9.4312895583783423</v>
      </c>
      <c r="AV2272" s="13">
        <f>LN(AS2272/AU2272)</f>
        <v>0.6662165063123382</v>
      </c>
    </row>
    <row r="2273" spans="1:48" x14ac:dyDescent="0.25">
      <c r="A2273">
        <v>3019.5709999999999</v>
      </c>
      <c r="B2273" s="2" t="str">
        <f t="shared" si="1505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1506"/>
        <v>3019.5709999999999</v>
      </c>
      <c r="AB2273" s="3">
        <f t="shared" si="1507"/>
        <v>33107.64</v>
      </c>
      <c r="AC2273" s="3" cm="1">
        <f t="array" ref="AC2273">100000000/LvacE(AA2273)</f>
        <v>33107.643978722735</v>
      </c>
      <c r="AD2273" s="10">
        <f t="shared" si="1508"/>
        <v>1.0482176769269994E-2</v>
      </c>
      <c r="AE2273" s="10" t="b">
        <f t="shared" si="1509"/>
        <v>1</v>
      </c>
      <c r="AP2273"/>
      <c r="AQ2273"/>
      <c r="AU2273" s="16" cm="1">
        <f t="array" ref="AU2273">$C2273*EXP(poly_from_str(100000000/$E2273,AU$4342))</f>
        <v>0</v>
      </c>
    </row>
    <row r="2274" spans="1:48" x14ac:dyDescent="0.25">
      <c r="A2274">
        <v>3019.5410000000002</v>
      </c>
      <c r="B2274" s="2" t="str">
        <f t="shared" si="1505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1506"/>
        <v>3019.5410000000002</v>
      </c>
      <c r="AB2274" s="3">
        <f t="shared" si="1507"/>
        <v>33107.97</v>
      </c>
      <c r="AC2274" s="3" cm="1">
        <f t="array" ref="AC2274">100000000/LvacE(AA2274)</f>
        <v>33107.972898879561</v>
      </c>
      <c r="AD2274" s="10">
        <f t="shared" si="1508"/>
        <v>1.0482285701515489E-2</v>
      </c>
      <c r="AE2274" s="10" t="b">
        <f t="shared" si="1509"/>
        <v>1</v>
      </c>
      <c r="AP2274"/>
      <c r="AQ2274"/>
      <c r="AU2274" s="16" cm="1">
        <f t="array" ref="AU2274">$C2274*EXP(poly_from_str(100000000/$E2274,AU$4342))</f>
        <v>0</v>
      </c>
    </row>
    <row r="2275" spans="1:48" x14ac:dyDescent="0.25">
      <c r="A2275">
        <v>3019.5160000000001</v>
      </c>
      <c r="B2275" s="2" t="str">
        <f t="shared" si="1505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1506"/>
        <v>3019.5160000000001</v>
      </c>
      <c r="AB2275" s="3">
        <f t="shared" si="1507"/>
        <v>33108.25</v>
      </c>
      <c r="AC2275" s="3" cm="1">
        <f t="array" ref="AC2275">100000000/LvacE(AA2275)</f>
        <v>33108.247004002573</v>
      </c>
      <c r="AD2275" s="10">
        <f t="shared" si="1508"/>
        <v>1.0482376480866896E-2</v>
      </c>
      <c r="AE2275" s="10" t="b">
        <f t="shared" si="1509"/>
        <v>1</v>
      </c>
      <c r="AJ2275" t="s">
        <v>4728</v>
      </c>
      <c r="AK2275" t="s">
        <v>4831</v>
      </c>
      <c r="AL2275">
        <v>35384.17</v>
      </c>
      <c r="AM2275">
        <v>68492.429999999993</v>
      </c>
      <c r="AN2275" s="10" cm="1">
        <f t="array" ref="AN2275">Lair(100000000/($AM2275-$AL2275))</f>
        <v>3019.5148098344143</v>
      </c>
      <c r="AO2275" s="10">
        <f t="shared" ref="AO2275:AO2276" si="1537">100000000/($AM2275-$AL2275)</f>
        <v>3020.3943064359169</v>
      </c>
      <c r="AP2275" s="12">
        <v>225000000</v>
      </c>
      <c r="AQ2275" s="3">
        <v>0.66</v>
      </c>
      <c r="AR2275" s="3">
        <f t="shared" ref="AR2275:AR2276" si="1538">LN(AU2275*100000000/($AM2275-$AL2275)/AP2275)</f>
        <v>-7.589007506385685</v>
      </c>
      <c r="AS2275" s="13">
        <f t="shared" ref="AS2275:AS2276" si="1539">EXP(AR$4341*$AM2275+AR$4342)*$AP2275/(100000000/($AM2275-$AL2275))</f>
        <v>38.572856028657576</v>
      </c>
      <c r="AT2275" s="3">
        <f t="shared" ref="AT2275:AT2276" si="1540">LN(AS2275/$C2275)</f>
        <v>0.65681654385466726</v>
      </c>
      <c r="AU2275" s="16" cm="1">
        <f t="array" ref="AU2275">$C2275*EXP(poly_from_str(100000000/$E2275,AU$4342))</f>
        <v>37.692486853650792</v>
      </c>
      <c r="AV2275" s="13">
        <f t="shared" ref="AV2275:AV2276" si="1541">LN(AS2275/AU2275)</f>
        <v>2.3088030516696483E-2</v>
      </c>
    </row>
    <row r="2276" spans="1:48" x14ac:dyDescent="0.25">
      <c r="A2276">
        <v>3018.701</v>
      </c>
      <c r="B2276" s="2" t="str">
        <f t="shared" si="1505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1542">$G2276&amp;""</f>
        <v>e</v>
      </c>
      <c r="N2276" s="4" t="str">
        <f t="shared" ref="N2276:N2279" si="1543">$H2276&amp;""</f>
        <v>5/2</v>
      </c>
      <c r="O2276" s="4">
        <v>84430.98</v>
      </c>
      <c r="P2276" s="4" t="str">
        <f t="shared" ref="P2276:P2279" si="1544">$J2276&amp;""</f>
        <v>o</v>
      </c>
      <c r="Q2276" s="4" t="str">
        <f t="shared" ref="Q2276:Q2279" si="1545">$K2276&amp;""</f>
        <v>7/2</v>
      </c>
      <c r="R2276">
        <v>22</v>
      </c>
      <c r="S2276" s="4" t="s">
        <v>3020</v>
      </c>
      <c r="T2276">
        <v>1</v>
      </c>
      <c r="V2276">
        <f>$O2276-$L2276</f>
        <v>33118.179999999993</v>
      </c>
      <c r="W2276">
        <f>$E2276-V2276</f>
        <v>-0.98999999999068677</v>
      </c>
      <c r="AA2276" s="10">
        <f t="shared" si="1506"/>
        <v>3018.701</v>
      </c>
      <c r="AB2276" s="3">
        <f t="shared" si="1507"/>
        <v>33117.19</v>
      </c>
      <c r="AC2276" s="3" cm="1">
        <f t="array" ref="AC2276">100000000/LvacE(AA2276)</f>
        <v>33117.185317362797</v>
      </c>
      <c r="AD2276" s="10">
        <f t="shared" si="1508"/>
        <v>1.048533712304776E-2</v>
      </c>
      <c r="AE2276" s="10" t="b">
        <f t="shared" si="1509"/>
        <v>1</v>
      </c>
      <c r="AJ2276" t="s">
        <v>4973</v>
      </c>
      <c r="AK2276" t="s">
        <v>4915</v>
      </c>
      <c r="AL2276">
        <v>51312.800000000003</v>
      </c>
      <c r="AM2276">
        <v>84430.98</v>
      </c>
      <c r="AN2276" s="10" cm="1">
        <f t="array" ref="AN2276">Lair(100000000/($AM2276-$AL2276))</f>
        <v>3018.6103266678792</v>
      </c>
      <c r="AO2276" s="10">
        <f t="shared" si="1537"/>
        <v>3019.4895975563882</v>
      </c>
      <c r="AP2276" s="12">
        <v>1990000000</v>
      </c>
      <c r="AQ2276" s="3">
        <v>0.81799999999999995</v>
      </c>
      <c r="AR2276" s="3">
        <f t="shared" si="1538"/>
        <v>-9.7694903095169661</v>
      </c>
      <c r="AS2276" s="13">
        <f t="shared" si="1539"/>
        <v>103.1827178586645</v>
      </c>
      <c r="AT2276" s="3">
        <f t="shared" si="1540"/>
        <v>1.6407691028602027</v>
      </c>
      <c r="AU2276" s="16" cm="1">
        <f t="array" ref="AU2276">$C2276*EXP(poly_from_str(100000000/$E2276,AU$4342))</f>
        <v>37.67764988893849</v>
      </c>
      <c r="AV2276" s="13">
        <f t="shared" si="1541"/>
        <v>1.0074342989022382</v>
      </c>
    </row>
    <row r="2277" spans="1:48" x14ac:dyDescent="0.25">
      <c r="A2277">
        <v>3018.65</v>
      </c>
      <c r="B2277" s="2" t="str">
        <f t="shared" si="1505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1506"/>
        <v>3018.65</v>
      </c>
      <c r="AB2277" s="3">
        <f t="shared" si="1507"/>
        <v>33117.74</v>
      </c>
      <c r="AC2277" s="3" cm="1">
        <f t="array" ref="AC2277">100000000/LvacE(AA2277)</f>
        <v>33117.744807851981</v>
      </c>
      <c r="AD2277" s="10">
        <f t="shared" si="1508"/>
        <v>1.0485522469953785E-2</v>
      </c>
      <c r="AE2277" s="10" t="b">
        <f t="shared" si="1509"/>
        <v>1</v>
      </c>
      <c r="AP2277"/>
      <c r="AQ2277"/>
      <c r="AU2277" s="16" cm="1">
        <f t="array" ref="AU2277">$C2277*EXP(poly_from_str(100000000/$E2277,AU$4342))</f>
        <v>0</v>
      </c>
    </row>
    <row r="2278" spans="1:48" x14ac:dyDescent="0.25">
      <c r="A2278">
        <v>3018.607</v>
      </c>
      <c r="B2278" s="2" t="str">
        <f t="shared" si="1505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3021</v>
      </c>
      <c r="T2278">
        <v>1</v>
      </c>
      <c r="AA2278" s="10">
        <f t="shared" si="1506"/>
        <v>3018.607</v>
      </c>
      <c r="AB2278" s="3">
        <f t="shared" si="1507"/>
        <v>33118.22</v>
      </c>
      <c r="AC2278" s="3" cm="1">
        <f t="array" ref="AC2278">100000000/LvacE(AA2278)</f>
        <v>33118.216549815777</v>
      </c>
      <c r="AD2278" s="10">
        <f t="shared" si="1508"/>
        <v>1.048567875013471E-2</v>
      </c>
      <c r="AE2278" s="10" t="b">
        <f t="shared" si="1509"/>
        <v>1</v>
      </c>
      <c r="AP2278"/>
      <c r="AQ2278"/>
      <c r="AU2278" s="16" cm="1">
        <f t="array" ref="AU2278">$C2278*EXP(poly_from_str(100000000/$E2278,AU$4342))</f>
        <v>0</v>
      </c>
    </row>
    <row r="2279" spans="1:48" x14ac:dyDescent="0.25">
      <c r="A2279">
        <v>3016.259</v>
      </c>
      <c r="B2279" s="2" t="str">
        <f t="shared" si="1505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1542"/>
        <v>e</v>
      </c>
      <c r="N2279" t="str">
        <f t="shared" si="1543"/>
        <v>9/2</v>
      </c>
      <c r="O2279">
        <v>71592.34</v>
      </c>
      <c r="P2279" t="str">
        <f t="shared" si="1544"/>
        <v>o</v>
      </c>
      <c r="Q2279" t="str">
        <f t="shared" si="1545"/>
        <v>9/2</v>
      </c>
      <c r="R2279">
        <v>22</v>
      </c>
      <c r="AA2279" s="10">
        <f t="shared" si="1506"/>
        <v>3016.259</v>
      </c>
      <c r="AB2279" s="3">
        <f t="shared" si="1507"/>
        <v>33144</v>
      </c>
      <c r="AC2279" s="3" cm="1">
        <f t="array" ref="AC2279">100000000/LvacE(AA2279)</f>
        <v>33143.996273194833</v>
      </c>
      <c r="AD2279" s="10">
        <f t="shared" si="1508"/>
        <v>1.0494222524192192E-2</v>
      </c>
      <c r="AE2279" s="10" t="b">
        <f t="shared" si="1509"/>
        <v>1</v>
      </c>
      <c r="AJ2279" t="s">
        <v>4816</v>
      </c>
      <c r="AK2279" t="s">
        <v>4881</v>
      </c>
      <c r="AL2279">
        <v>38448.379999999997</v>
      </c>
      <c r="AM2279">
        <v>71592.34</v>
      </c>
      <c r="AN2279" s="10" cm="1">
        <f t="array" ref="AN2279">Lair(100000000/($AM2279-$AL2279))</f>
        <v>3016.2622963245599</v>
      </c>
      <c r="AO2279" s="10">
        <f>100000000/($AM2279-$AL2279)</f>
        <v>3017.1409813432069</v>
      </c>
      <c r="AP2279" s="12">
        <v>1390000000</v>
      </c>
      <c r="AQ2279" s="3">
        <v>0.59299999999999997</v>
      </c>
      <c r="AR2279" s="3">
        <f>LN(AU2279*100000000/($AM2279-$AL2279)/AP2279)</f>
        <v>-7.9086024628434011</v>
      </c>
      <c r="AS2279" s="13">
        <f>EXP(AR$4341*$AM2279+AR$4342)*$AP2279/(100000000/($AM2279-$AL2279))</f>
        <v>189.03778954159193</v>
      </c>
      <c r="AT2279" s="3">
        <f>LN(AS2279/$C2279)</f>
        <v>0.74213726940761438</v>
      </c>
      <c r="AU2279" s="16" cm="1">
        <f t="array" ref="AU2279">$C2279*EXP(poly_from_str(100000000/$E2279,AU$4342))</f>
        <v>169.33892062700963</v>
      </c>
      <c r="AV2279" s="13">
        <f>LN(AS2279/AU2279)</f>
        <v>0.11004478554306069</v>
      </c>
    </row>
    <row r="2280" spans="1:48" x14ac:dyDescent="0.25">
      <c r="A2280">
        <v>3016.2159999999999</v>
      </c>
      <c r="B2280" s="2" t="str">
        <f t="shared" si="1505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1506"/>
        <v>3016.2159999999999</v>
      </c>
      <c r="AB2280" s="3">
        <f t="shared" si="1507"/>
        <v>33144.47</v>
      </c>
      <c r="AC2280" s="3" cm="1">
        <f t="array" ref="AC2280">100000000/LvacE(AA2280)</f>
        <v>33144.468763308985</v>
      </c>
      <c r="AD2280" s="10">
        <f t="shared" si="1508"/>
        <v>1.0494379176310482E-2</v>
      </c>
      <c r="AE2280" s="10" t="b">
        <f t="shared" si="1509"/>
        <v>1</v>
      </c>
      <c r="AP2280"/>
      <c r="AQ2280"/>
      <c r="AU2280" s="16" cm="1">
        <f t="array" ref="AU2280">$C2280*EXP(poly_from_str(100000000/$E2280,AU$4342))</f>
        <v>0</v>
      </c>
    </row>
    <row r="2281" spans="1:48" x14ac:dyDescent="0.25">
      <c r="A2281">
        <v>3015.1970000000001</v>
      </c>
      <c r="B2281" s="2" t="str">
        <f t="shared" si="1505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1506"/>
        <v>3015.1970000000001</v>
      </c>
      <c r="AB2281" s="3">
        <f t="shared" si="1507"/>
        <v>33155.67</v>
      </c>
      <c r="AC2281" s="3" cm="1">
        <f t="array" ref="AC2281">100000000/LvacE(AA2281)</f>
        <v>33155.669623642374</v>
      </c>
      <c r="AD2281" s="10">
        <f t="shared" si="1508"/>
        <v>1.0498093428661938E-2</v>
      </c>
      <c r="AE2281" s="10" t="b">
        <f t="shared" si="1509"/>
        <v>1</v>
      </c>
      <c r="AP2281"/>
      <c r="AQ2281"/>
      <c r="AU2281" s="16" cm="1">
        <f t="array" ref="AU2281">$C2281*EXP(poly_from_str(100000000/$E2281,AU$4342))</f>
        <v>0</v>
      </c>
    </row>
    <row r="2282" spans="1:48" x14ac:dyDescent="0.25">
      <c r="A2282">
        <v>3015.1640000000002</v>
      </c>
      <c r="B2282" s="2" t="str">
        <f t="shared" si="1505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1506"/>
        <v>3015.1640000000002</v>
      </c>
      <c r="AB2282" s="3">
        <f t="shared" si="1507"/>
        <v>33156.03</v>
      </c>
      <c r="AC2282" s="3" cm="1">
        <f t="array" ref="AC2282">100000000/LvacE(AA2282)</f>
        <v>33156.032486592369</v>
      </c>
      <c r="AD2282" s="10">
        <f t="shared" si="1508"/>
        <v>1.049821377652963E-2</v>
      </c>
      <c r="AE2282" s="10" t="b">
        <f t="shared" si="1509"/>
        <v>1</v>
      </c>
      <c r="AP2282"/>
      <c r="AQ2282"/>
      <c r="AU2282" s="16" cm="1">
        <f t="array" ref="AU2282">$C2282*EXP(poly_from_str(100000000/$E2282,AU$4342))</f>
        <v>0</v>
      </c>
    </row>
    <row r="2283" spans="1:48" x14ac:dyDescent="0.25">
      <c r="A2283">
        <v>3015.134</v>
      </c>
      <c r="B2283" s="2" t="str">
        <f t="shared" si="1505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1506"/>
        <v>3015.134</v>
      </c>
      <c r="AB2283" s="3">
        <f t="shared" si="1507"/>
        <v>33156.36</v>
      </c>
      <c r="AC2283" s="3" cm="1">
        <f t="array" ref="AC2283">100000000/LvacE(AA2283)</f>
        <v>33156.362368893562</v>
      </c>
      <c r="AD2283" s="10">
        <f t="shared" si="1508"/>
        <v>1.0498323187111015E-2</v>
      </c>
      <c r="AE2283" s="10" t="b">
        <f t="shared" si="1509"/>
        <v>1</v>
      </c>
      <c r="AJ2283" t="s">
        <v>4788</v>
      </c>
      <c r="AK2283" t="s">
        <v>4931</v>
      </c>
      <c r="AL2283">
        <v>30994.55</v>
      </c>
      <c r="AM2283">
        <v>64150.94</v>
      </c>
      <c r="AN2283" s="10" cm="1">
        <f t="array" ref="AN2283">Lair(100000000/($AM2283-$AL2283))</f>
        <v>3015.1314823700886</v>
      </c>
      <c r="AO2283" s="10">
        <f>100000000/($AM2283-$AL2283)</f>
        <v>3016.0098852740002</v>
      </c>
      <c r="AP2283" s="12">
        <v>629000000</v>
      </c>
      <c r="AQ2283" s="3">
        <v>0.68799999999999994</v>
      </c>
      <c r="AR2283" s="3">
        <f>LN(AU2283*100000000/($AM2283-$AL2283)/AP2283)</f>
        <v>-7.0112929865076472</v>
      </c>
      <c r="AS2283" s="13">
        <f>EXP(AR$4341*$AM2283+AR$4342)*$AP2283/(100000000/($AM2283-$AL2283))</f>
        <v>149.58235184491213</v>
      </c>
      <c r="AT2283" s="3">
        <f>LN(AS2283/$C2283)</f>
        <v>0.40267690364227937</v>
      </c>
      <c r="AU2283" s="16" cm="1">
        <f t="array" ref="AU2283">$C2283*EXP(poly_from_str(100000000/$E2283,AU$4342))</f>
        <v>188.04077383657193</v>
      </c>
      <c r="AV2283" s="13">
        <f>LN(AS2283/AU2283)</f>
        <v>-0.22881173179347891</v>
      </c>
    </row>
    <row r="2284" spans="1:48" x14ac:dyDescent="0.25">
      <c r="A2284">
        <v>3014.915</v>
      </c>
      <c r="B2284" s="2" t="str">
        <f t="shared" si="1505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1506"/>
        <v>3014.915</v>
      </c>
      <c r="AB2284" s="3">
        <f t="shared" si="1507"/>
        <v>33158.769999999997</v>
      </c>
      <c r="AC2284" s="3" cm="1">
        <f t="array" ref="AC2284">100000000/LvacE(AA2284)</f>
        <v>33158.770708564582</v>
      </c>
      <c r="AD2284" s="10">
        <f t="shared" si="1508"/>
        <v>1.0499121983300455E-2</v>
      </c>
      <c r="AE2284" s="10" t="b">
        <f t="shared" si="1509"/>
        <v>1</v>
      </c>
      <c r="AP2284"/>
      <c r="AQ2284"/>
      <c r="AU2284" s="16" cm="1">
        <f t="array" ref="AU2284">$C2284*EXP(poly_from_str(100000000/$E2284,AU$4342))</f>
        <v>11.281092315686292</v>
      </c>
    </row>
    <row r="2285" spans="1:48" x14ac:dyDescent="0.25">
      <c r="A2285">
        <v>3014.605</v>
      </c>
      <c r="B2285" s="2" t="str">
        <f t="shared" si="1505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1506"/>
        <v>3014.605</v>
      </c>
      <c r="AB2285" s="3">
        <f t="shared" si="1507"/>
        <v>33162.18</v>
      </c>
      <c r="AC2285" s="3" cm="1">
        <f t="array" ref="AC2285">100000000/LvacE(AA2285)</f>
        <v>33162.180372028022</v>
      </c>
      <c r="AD2285" s="10">
        <f t="shared" si="1508"/>
        <v>1.0500252996997621E-2</v>
      </c>
      <c r="AE2285" s="10" t="b">
        <f t="shared" si="1509"/>
        <v>1</v>
      </c>
      <c r="AJ2285" t="s">
        <v>4829</v>
      </c>
      <c r="AK2285" t="s">
        <v>4833</v>
      </c>
      <c r="AL2285">
        <v>32760.11</v>
      </c>
      <c r="AM2285">
        <v>65922.42</v>
      </c>
      <c r="AN2285" s="10" cm="1">
        <f t="array" ref="AN2285">Lair(100000000/($AM2285-$AL2285))</f>
        <v>3014.5932108943407</v>
      </c>
      <c r="AO2285" s="10">
        <f>100000000/($AM2285-$AL2285)</f>
        <v>3015.4714795199734</v>
      </c>
      <c r="AP2285" s="12">
        <v>979000000</v>
      </c>
      <c r="AQ2285" s="3">
        <v>0.52300000000000002</v>
      </c>
      <c r="AR2285" s="3">
        <f>LN(AU2285*100000000/($AM2285-$AL2285)/AP2285)</f>
        <v>-7.5595235513477457</v>
      </c>
      <c r="AS2285" s="13">
        <f>EXP(AR$4341*$AM2285+AR$4342)*$AP2285/(100000000/($AM2285-$AL2285))</f>
        <v>203.86992605634632</v>
      </c>
      <c r="AT2285" s="3">
        <f>LN(AS2285/$C2285)</f>
        <v>0.81767250277869363</v>
      </c>
      <c r="AU2285" s="16" cm="1">
        <f t="array" ref="AU2285">$C2285*EXP(poly_from_str(100000000/$E2285,AU$4342))</f>
        <v>169.1874334901652</v>
      </c>
      <c r="AV2285" s="13">
        <f>LN(AS2285/AU2285)</f>
        <v>0.18647499884768826</v>
      </c>
    </row>
    <row r="2286" spans="1:48" x14ac:dyDescent="0.25">
      <c r="A2286">
        <v>3014.5650000000001</v>
      </c>
      <c r="B2286" s="2" t="str">
        <f t="shared" si="1505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1506"/>
        <v>3014.5650000000001</v>
      </c>
      <c r="AB2286" s="3">
        <f t="shared" si="1507"/>
        <v>33162.620000000003</v>
      </c>
      <c r="AC2286" s="3" cm="1">
        <f t="array" ref="AC2286">100000000/LvacE(AA2286)</f>
        <v>33162.620379680477</v>
      </c>
      <c r="AD2286" s="10">
        <f t="shared" si="1508"/>
        <v>1.0500398959664243E-2</v>
      </c>
      <c r="AE2286" s="10" t="b">
        <f t="shared" si="1509"/>
        <v>1</v>
      </c>
      <c r="AP2286"/>
      <c r="AQ2286"/>
      <c r="AU2286" s="16" cm="1">
        <f t="array" ref="AU2286">$C2286*EXP(poly_from_str(100000000/$E2286,AU$4342))</f>
        <v>0</v>
      </c>
    </row>
    <row r="2287" spans="1:48" x14ac:dyDescent="0.25">
      <c r="A2287">
        <v>3014.529</v>
      </c>
      <c r="B2287" s="2" t="str">
        <f t="shared" si="1505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1506"/>
        <v>3014.529</v>
      </c>
      <c r="AB2287" s="3">
        <f t="shared" si="1507"/>
        <v>33163.019999999997</v>
      </c>
      <c r="AC2287" s="3" cm="1">
        <f t="array" ref="AC2287">100000000/LvacE(AA2287)</f>
        <v>33163.016396550782</v>
      </c>
      <c r="AD2287" s="10">
        <f t="shared" si="1508"/>
        <v>1.0500530331031942E-2</v>
      </c>
      <c r="AE2287" s="10" t="b">
        <f t="shared" si="1509"/>
        <v>1</v>
      </c>
      <c r="AP2287"/>
      <c r="AQ2287"/>
      <c r="AU2287" s="16" cm="1">
        <f t="array" ref="AU2287">$C2287*EXP(poly_from_str(100000000/$E2287,AU$4342))</f>
        <v>0</v>
      </c>
    </row>
    <row r="2288" spans="1:48" x14ac:dyDescent="0.25">
      <c r="A2288">
        <v>3013.7330000000002</v>
      </c>
      <c r="B2288" s="2" t="str">
        <f t="shared" si="1505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1506"/>
        <v>3013.7330000000002</v>
      </c>
      <c r="AB2288" s="3">
        <f t="shared" si="1507"/>
        <v>33171.769999999997</v>
      </c>
      <c r="AC2288" s="3" cm="1">
        <f t="array" ref="AC2288">100000000/LvacE(AA2288)</f>
        <v>33171.775186762919</v>
      </c>
      <c r="AD2288" s="10">
        <f t="shared" si="1508"/>
        <v>1.0503436300887126E-2</v>
      </c>
      <c r="AE2288" s="10" t="b">
        <f t="shared" si="1509"/>
        <v>1</v>
      </c>
      <c r="AP2288"/>
      <c r="AQ2288"/>
      <c r="AU2288" s="16" cm="1">
        <f t="array" ref="AU2288">$C2288*EXP(poly_from_str(100000000/$E2288,AU$4342))</f>
        <v>16.910468659920021</v>
      </c>
    </row>
    <row r="2289" spans="1:48" x14ac:dyDescent="0.25">
      <c r="A2289">
        <v>3013.2579999999998</v>
      </c>
      <c r="B2289" s="2" t="str">
        <f t="shared" si="1505"/>
        <v/>
      </c>
      <c r="C2289">
        <v>40</v>
      </c>
      <c r="D2289" t="s">
        <v>1156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1546">$G2289&amp;""</f>
        <v>e</v>
      </c>
      <c r="N2289" t="str">
        <f t="shared" ref="N2289:N2290" si="1547">$H2289&amp;""</f>
        <v>7/2</v>
      </c>
      <c r="O2289">
        <v>68978.55</v>
      </c>
      <c r="P2289" t="str">
        <f t="shared" ref="P2289:P2290" si="1548">$J2289&amp;""</f>
        <v>o</v>
      </c>
      <c r="Q2289" t="str">
        <f t="shared" ref="Q2289:Q2290" si="1549">$K2289&amp;""</f>
        <v>5/2</v>
      </c>
      <c r="R2289">
        <v>22</v>
      </c>
      <c r="AA2289" s="10">
        <f t="shared" si="1506"/>
        <v>3013.2579999999998</v>
      </c>
      <c r="AB2289" s="3">
        <f t="shared" si="1507"/>
        <v>33177</v>
      </c>
      <c r="AC2289" s="3" cm="1">
        <f t="array" ref="AC2289">100000000/LvacE(AA2289)</f>
        <v>33177.004056235557</v>
      </c>
      <c r="AD2289" s="10">
        <f t="shared" si="1508"/>
        <v>1.0505171488175848E-2</v>
      </c>
      <c r="AE2289" s="10" t="b">
        <f t="shared" si="1509"/>
        <v>1</v>
      </c>
      <c r="AJ2289" t="s">
        <v>4810</v>
      </c>
      <c r="AK2289" t="s">
        <v>4918</v>
      </c>
      <c r="AL2289">
        <v>35801.120000000003</v>
      </c>
      <c r="AM2289">
        <v>68978.55</v>
      </c>
      <c r="AN2289" s="10" cm="1">
        <f t="array" ref="AN2289">Lair(100000000/($AM2289-$AL2289))</f>
        <v>3013.2193082574654</v>
      </c>
      <c r="AO2289" s="10">
        <f t="shared" ref="AO2289:AO2290" si="1550">100000000/($AM2289-$AL2289)</f>
        <v>3014.0972341739548</v>
      </c>
      <c r="AP2289" s="12">
        <v>785000000</v>
      </c>
      <c r="AQ2289" s="3">
        <v>0.63600000000000001</v>
      </c>
      <c r="AR2289" s="3">
        <f t="shared" ref="AR2289:AR2290" si="1551">LN(AU2289*100000000/($AM2289-$AL2289)/AP2289)</f>
        <v>-8.1508226483880399</v>
      </c>
      <c r="AS2289" s="13">
        <f t="shared" ref="AS2289:AS2290" si="1552">EXP(AR$4341*$AM2289+AR$4342)*$AP2289/(100000000/($AM2289-$AL2289))</f>
        <v>130.02638994829064</v>
      </c>
      <c r="AT2289" s="3">
        <f t="shared" ref="AT2289:AT2290" si="1553">LN(AS2289/$C2289)</f>
        <v>1.1788579753422506</v>
      </c>
      <c r="AU2289" s="16" cm="1">
        <f t="array" ref="AU2289">$C2289*EXP(poly_from_str(100000000/$E2289,AU$4342))</f>
        <v>75.137215942208542</v>
      </c>
      <c r="AV2289" s="13">
        <f t="shared" ref="AV2289:AV2290" si="1554">LN(AS2289/AU2289)</f>
        <v>0.54842144160434381</v>
      </c>
    </row>
    <row r="2290" spans="1:48" x14ac:dyDescent="0.25">
      <c r="A2290">
        <v>3013.21</v>
      </c>
      <c r="B2290" s="2" t="str">
        <f t="shared" si="1505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1546"/>
        <v>e</v>
      </c>
      <c r="N2290" t="str">
        <f t="shared" si="1547"/>
        <v>9/2</v>
      </c>
      <c r="O2290">
        <v>62062.63</v>
      </c>
      <c r="P2290" t="str">
        <f t="shared" si="1548"/>
        <v>o</v>
      </c>
      <c r="Q2290" t="str">
        <f t="shared" si="1549"/>
        <v>9/2</v>
      </c>
      <c r="R2290">
        <v>22</v>
      </c>
      <c r="AA2290" s="10">
        <f t="shared" si="1506"/>
        <v>3013.21</v>
      </c>
      <c r="AB2290" s="3">
        <f t="shared" si="1507"/>
        <v>33177.53</v>
      </c>
      <c r="AC2290" s="3" cm="1">
        <f t="array" ref="AC2290">100000000/LvacE(AA2290)</f>
        <v>33177.532538961539</v>
      </c>
      <c r="AD2290" s="10">
        <f t="shared" si="1508"/>
        <v>1.050534687906942E-2</v>
      </c>
      <c r="AE2290" s="10" t="b">
        <f t="shared" si="1509"/>
        <v>1</v>
      </c>
      <c r="AJ2290" t="s">
        <v>4742</v>
      </c>
      <c r="AK2290" t="s">
        <v>4848</v>
      </c>
      <c r="AL2290">
        <v>28885.14</v>
      </c>
      <c r="AM2290">
        <v>62062.63</v>
      </c>
      <c r="AN2290" s="10" cm="1">
        <f t="array" ref="AN2290">Lair(100000000/($AM2290-$AL2290))</f>
        <v>3013.2138587572972</v>
      </c>
      <c r="AO2290" s="10">
        <f t="shared" si="1550"/>
        <v>3014.0917833145304</v>
      </c>
      <c r="AP2290" s="12">
        <v>245000000</v>
      </c>
      <c r="AQ2290" s="3">
        <v>0.27</v>
      </c>
      <c r="AR2290" s="3">
        <f t="shared" si="1551"/>
        <v>-7.6795738664297177</v>
      </c>
      <c r="AS2290" s="13">
        <f t="shared" si="1552"/>
        <v>68.192263383549701</v>
      </c>
      <c r="AT2290" s="3">
        <f t="shared" si="1553"/>
        <v>1.2265988447367033</v>
      </c>
      <c r="AU2290" s="16" cm="1">
        <f t="array" ref="AU2290">$C2290*EXP(poly_from_str(100000000/$E2290,AU$4342))</f>
        <v>37.567565972774617</v>
      </c>
      <c r="AV2290" s="13">
        <f t="shared" si="1554"/>
        <v>0.59619004726150526</v>
      </c>
    </row>
    <row r="2291" spans="1:48" x14ac:dyDescent="0.25">
      <c r="A2291">
        <v>3013.181</v>
      </c>
      <c r="B2291" s="2" t="str">
        <f t="shared" si="1505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1506"/>
        <v>3013.181</v>
      </c>
      <c r="AB2291" s="3">
        <f t="shared" si="1507"/>
        <v>33177.85</v>
      </c>
      <c r="AC2291" s="3" cm="1">
        <f t="array" ref="AC2291">100000000/LvacE(AA2291)</f>
        <v>33177.851838767201</v>
      </c>
      <c r="AD2291" s="10">
        <f t="shared" si="1508"/>
        <v>1.0505452848462672E-2</v>
      </c>
      <c r="AE2291" s="10" t="b">
        <f t="shared" si="1509"/>
        <v>1</v>
      </c>
      <c r="AP2291"/>
      <c r="AQ2291"/>
      <c r="AU2291" s="16" cm="1">
        <f t="array" ref="AU2291">$C2291*EXP(poly_from_str(100000000/$E2291,AU$4342))</f>
        <v>0</v>
      </c>
    </row>
    <row r="2292" spans="1:48" x14ac:dyDescent="0.25">
      <c r="A2292">
        <v>3013.1590000000001</v>
      </c>
      <c r="B2292" s="2" t="str">
        <f t="shared" si="1505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1506"/>
        <v>3013.1590000000001</v>
      </c>
      <c r="AB2292" s="3">
        <f t="shared" si="1507"/>
        <v>33178.089999999997</v>
      </c>
      <c r="AC2292" s="3" cm="1">
        <f t="array" ref="AC2292">100000000/LvacE(AA2292)</f>
        <v>33178.09407030556</v>
      </c>
      <c r="AD2292" s="10">
        <f t="shared" si="1508"/>
        <v>1.0505533241077811E-2</v>
      </c>
      <c r="AE2292" s="10" t="b">
        <f t="shared" si="1509"/>
        <v>1</v>
      </c>
      <c r="AP2292"/>
      <c r="AQ2292"/>
      <c r="AU2292" s="16" cm="1">
        <f t="array" ref="AU2292">$C2292*EXP(poly_from_str(100000000/$E2292,AU$4342))</f>
        <v>0</v>
      </c>
    </row>
    <row r="2293" spans="1:48" x14ac:dyDescent="0.25">
      <c r="A2293">
        <v>3012.489</v>
      </c>
      <c r="B2293" s="2" t="str">
        <f t="shared" si="1505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1506"/>
        <v>3012.489</v>
      </c>
      <c r="AB2293" s="3">
        <f t="shared" si="1507"/>
        <v>33185.47</v>
      </c>
      <c r="AC2293" s="3" cm="1">
        <f t="array" ref="AC2293">100000000/LvacE(AA2293)</f>
        <v>33185.472816161884</v>
      </c>
      <c r="AD2293" s="10">
        <f t="shared" si="1508"/>
        <v>1.0507982405273827E-2</v>
      </c>
      <c r="AE2293" s="10" t="b">
        <f t="shared" si="1509"/>
        <v>1</v>
      </c>
      <c r="AP2293"/>
      <c r="AQ2293"/>
      <c r="AU2293" s="16" cm="1">
        <f t="array" ref="AU2293">$C2293*EXP(poly_from_str(100000000/$E2293,AU$4342))</f>
        <v>0</v>
      </c>
    </row>
    <row r="2294" spans="1:48" x14ac:dyDescent="0.25">
      <c r="A2294">
        <v>3012.4549999999999</v>
      </c>
      <c r="B2294" s="2" t="str">
        <f t="shared" si="1505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1555">$G2294&amp;""</f>
        <v>e</v>
      </c>
      <c r="N2294" t="str">
        <f t="shared" ref="N2294:N2295" si="1556">$H2294&amp;""</f>
        <v>7/2</v>
      </c>
      <c r="O2294">
        <v>68987.070000000007</v>
      </c>
      <c r="P2294" t="str">
        <f t="shared" ref="P2294:P2295" si="1557">$J2294&amp;""</f>
        <v>o</v>
      </c>
      <c r="Q2294" t="str">
        <f t="shared" ref="Q2294:Q2295" si="1558">$K2294&amp;""</f>
        <v>7/2</v>
      </c>
      <c r="R2294">
        <v>22</v>
      </c>
      <c r="AA2294" s="10">
        <f t="shared" si="1506"/>
        <v>3012.4549999999999</v>
      </c>
      <c r="AB2294" s="3">
        <f t="shared" si="1507"/>
        <v>33185.85</v>
      </c>
      <c r="AC2294" s="3" cm="1">
        <f t="array" ref="AC2294">100000000/LvacE(AA2294)</f>
        <v>33185.847347481227</v>
      </c>
      <c r="AD2294" s="10">
        <f t="shared" si="1508"/>
        <v>1.0508106734786284E-2</v>
      </c>
      <c r="AE2294" s="10" t="b">
        <f t="shared" si="1509"/>
        <v>1</v>
      </c>
      <c r="AJ2294" t="s">
        <v>4810</v>
      </c>
      <c r="AK2294" t="s">
        <v>4920</v>
      </c>
      <c r="AL2294">
        <v>35801.120000000003</v>
      </c>
      <c r="AM2294">
        <v>68987.070000000007</v>
      </c>
      <c r="AN2294" s="10" cm="1">
        <f t="array" ref="AN2294">Lair(100000000/($AM2294-$AL2294))</f>
        <v>3012.4456764974138</v>
      </c>
      <c r="AO2294" s="10">
        <f t="shared" ref="AO2294:AO2295" si="1559">100000000/($AM2294-$AL2294)</f>
        <v>3013.3234094549043</v>
      </c>
      <c r="AP2294" s="12">
        <v>526000000</v>
      </c>
      <c r="AQ2294" s="3">
        <v>0.60299999999999998</v>
      </c>
      <c r="AR2294" s="3">
        <f t="shared" ref="AR2294:AR2295" si="1560">LN(AU2294*100000000/($AM2294-$AL2294)/AP2294)</f>
        <v>-9.1374591394510052</v>
      </c>
      <c r="AS2294" s="13">
        <f t="shared" ref="AS2294:AS2295" si="1561">EXP(AR$4341*$AM2294+AR$4342)*$AP2294/(100000000/($AM2294-$AL2294))</f>
        <v>87.092632546598807</v>
      </c>
      <c r="AT2294" s="3">
        <f t="shared" ref="AT2294:AT2295" si="1562">LN(AS2294/$C2294)</f>
        <v>2.1643872011398302</v>
      </c>
      <c r="AU2294" s="16" cm="1">
        <f t="array" ref="AU2294">$C2294*EXP(poly_from_str(100000000/$E2294,AU$4342))</f>
        <v>18.775517487635117</v>
      </c>
      <c r="AV2294" s="13">
        <f t="shared" ref="AV2294:AV2295" si="1563">LN(AS2294/AU2294)</f>
        <v>1.5344185342730996</v>
      </c>
    </row>
    <row r="2295" spans="1:48" x14ac:dyDescent="0.25">
      <c r="A2295">
        <v>3011.8159999999998</v>
      </c>
      <c r="B2295" s="2" t="str">
        <f t="shared" si="1505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1555"/>
        <v>e</v>
      </c>
      <c r="N2295" t="str">
        <f t="shared" si="1556"/>
        <v>5/2</v>
      </c>
      <c r="O2295">
        <v>66852.87</v>
      </c>
      <c r="P2295" t="str">
        <f t="shared" si="1557"/>
        <v>o</v>
      </c>
      <c r="Q2295" t="str">
        <f t="shared" si="1558"/>
        <v>7/2</v>
      </c>
      <c r="R2295">
        <v>22</v>
      </c>
      <c r="AA2295" s="10">
        <f t="shared" si="1506"/>
        <v>3011.8159999999998</v>
      </c>
      <c r="AB2295" s="3">
        <f t="shared" si="1507"/>
        <v>33192.89</v>
      </c>
      <c r="AC2295" s="3" cm="1">
        <f t="array" ref="AC2295">100000000/LvacE(AA2295)</f>
        <v>33192.887905927892</v>
      </c>
      <c r="AD2295" s="10">
        <f t="shared" si="1508"/>
        <v>1.0510444181505093E-2</v>
      </c>
      <c r="AE2295" s="10" t="b">
        <f t="shared" si="1509"/>
        <v>1</v>
      </c>
      <c r="AJ2295" t="s">
        <v>4895</v>
      </c>
      <c r="AK2295" t="s">
        <v>4830</v>
      </c>
      <c r="AL2295">
        <v>33659.99</v>
      </c>
      <c r="AM2295">
        <v>66852.87</v>
      </c>
      <c r="AN2295" s="10" cm="1">
        <f t="array" ref="AN2295">Lair(100000000/($AM2295-$AL2295))</f>
        <v>3011.8167125639684</v>
      </c>
      <c r="AO2295" s="10">
        <f t="shared" si="1559"/>
        <v>3012.6942886546758</v>
      </c>
      <c r="AP2295" s="12">
        <v>39000000</v>
      </c>
      <c r="AQ2295" s="3">
        <v>0.23499999999999999</v>
      </c>
      <c r="AR2295" s="3">
        <f t="shared" si="1560"/>
        <v>-7.4525984598902211</v>
      </c>
      <c r="AS2295" s="13">
        <f t="shared" si="1561"/>
        <v>7.5807059152688598</v>
      </c>
      <c r="AT2295" s="3">
        <f t="shared" si="1562"/>
        <v>0.63931196286162284</v>
      </c>
      <c r="AU2295" s="16" cm="1">
        <f t="array" ref="AU2295">$C2295*EXP(poly_from_str(100000000/$E2295,AU$4342))</f>
        <v>7.5073585108582073</v>
      </c>
      <c r="AV2295" s="13">
        <f t="shared" si="1563"/>
        <v>9.7226496562934587E-3</v>
      </c>
    </row>
    <row r="2296" spans="1:48" x14ac:dyDescent="0.25">
      <c r="A2296">
        <v>3011.7689999999998</v>
      </c>
      <c r="B2296" s="2" t="str">
        <f t="shared" si="1505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1506"/>
        <v>3011.7689999999998</v>
      </c>
      <c r="AB2296" s="3">
        <f t="shared" si="1507"/>
        <v>33193.410000000003</v>
      </c>
      <c r="AC2296" s="3" cm="1">
        <f t="array" ref="AC2296">100000000/LvacE(AA2296)</f>
        <v>33193.40587402336</v>
      </c>
      <c r="AD2296" s="10">
        <f t="shared" si="1508"/>
        <v>1.0510616165121455E-2</v>
      </c>
      <c r="AE2296" s="10" t="b">
        <f t="shared" si="1509"/>
        <v>1</v>
      </c>
      <c r="AP2296"/>
      <c r="AQ2296"/>
      <c r="AU2296" s="16" cm="1">
        <f t="array" ref="AU2296">$C2296*EXP(poly_from_str(100000000/$E2296,AU$4342))</f>
        <v>0</v>
      </c>
    </row>
    <row r="2297" spans="1:48" x14ac:dyDescent="0.25">
      <c r="A2297">
        <v>3011.7289999999998</v>
      </c>
      <c r="B2297" s="2" t="str">
        <f t="shared" si="1505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1506"/>
        <v>3011.7289999999998</v>
      </c>
      <c r="AB2297" s="3">
        <f t="shared" si="1507"/>
        <v>33193.85</v>
      </c>
      <c r="AC2297" s="3" cm="1">
        <f t="array" ref="AC2297">100000000/LvacE(AA2297)</f>
        <v>33193.846710667567</v>
      </c>
      <c r="AD2297" s="10">
        <f t="shared" si="1508"/>
        <v>1.0510762540498758E-2</v>
      </c>
      <c r="AE2297" s="10" t="b">
        <f t="shared" si="1509"/>
        <v>1</v>
      </c>
      <c r="AP2297"/>
      <c r="AQ2297"/>
      <c r="AU2297" s="16" cm="1">
        <f t="array" ref="AU2297">$C2297*EXP(poly_from_str(100000000/$E2297,AU$4342))</f>
        <v>0</v>
      </c>
    </row>
    <row r="2298" spans="1:48" x14ac:dyDescent="0.25">
      <c r="A2298">
        <v>3011.2820000000002</v>
      </c>
      <c r="B2298" s="2" t="str">
        <f t="shared" si="1505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1506"/>
        <v>3011.2820000000002</v>
      </c>
      <c r="AB2298" s="3">
        <f t="shared" si="1507"/>
        <v>33198.769999999997</v>
      </c>
      <c r="AC2298" s="3" cm="1">
        <f t="array" ref="AC2298">100000000/LvacE(AA2298)</f>
        <v>33198.773856822569</v>
      </c>
      <c r="AD2298" s="10">
        <f t="shared" si="1508"/>
        <v>1.051239868215972E-2</v>
      </c>
      <c r="AE2298" s="10" t="b">
        <f t="shared" si="1509"/>
        <v>1</v>
      </c>
      <c r="AJ2298" t="s">
        <v>4939</v>
      </c>
      <c r="AK2298" t="s">
        <v>4868</v>
      </c>
      <c r="AL2298">
        <v>50227.79</v>
      </c>
      <c r="AM2298">
        <v>83426.55</v>
      </c>
      <c r="AN2298" s="10" cm="1">
        <f t="array" ref="AN2298">Lair(100000000/($AM2298-$AL2298))</f>
        <v>3011.2832521090386</v>
      </c>
      <c r="AO2298" s="10">
        <f>100000000/($AM2298-$AL2298)</f>
        <v>3012.1606951584936</v>
      </c>
      <c r="AP2298" s="12">
        <v>931000000</v>
      </c>
      <c r="AQ2298" s="3">
        <v>0.76800000000000002</v>
      </c>
      <c r="AR2298" s="3">
        <f>LN(AU2298*100000000/($AM2298-$AL2298)/AP2298)</f>
        <v>-9.0163570268941928</v>
      </c>
      <c r="AS2298" s="13">
        <f>EXP(AR$4341*$AM2298+AR$4342)*$AP2298/(100000000/($AM2298-$AL2298))</f>
        <v>52.178999343571348</v>
      </c>
      <c r="AT2298" s="3">
        <f>LN(AS2298/$C2298)</f>
        <v>0.95894782895981223</v>
      </c>
      <c r="AU2298" s="16" cm="1">
        <f t="array" ref="AU2298">$C2298*EXP(poly_from_str(100000000/$E2298,AU$4342))</f>
        <v>37.524718251527659</v>
      </c>
      <c r="AV2298" s="13">
        <f>LN(AS2298/AU2298)</f>
        <v>0.32968023330953589</v>
      </c>
    </row>
    <row r="2299" spans="1:48" x14ac:dyDescent="0.25">
      <c r="A2299">
        <v>3011.221</v>
      </c>
      <c r="B2299" s="2" t="str">
        <f t="shared" si="1505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1506"/>
        <v>3011.221</v>
      </c>
      <c r="AB2299" s="3">
        <f t="shared" si="1507"/>
        <v>33199.449999999997</v>
      </c>
      <c r="AC2299" s="3" cm="1">
        <f t="array" ref="AC2299">100000000/LvacE(AA2299)</f>
        <v>33199.446354845415</v>
      </c>
      <c r="AD2299" s="10">
        <f t="shared" si="1508"/>
        <v>1.0512622015263148E-2</v>
      </c>
      <c r="AE2299" s="10" t="b">
        <f t="shared" si="1509"/>
        <v>1</v>
      </c>
      <c r="AP2299"/>
      <c r="AQ2299"/>
      <c r="AU2299" s="16" cm="1">
        <f t="array" ref="AU2299">$C2299*EXP(poly_from_str(100000000/$E2299,AU$4342))</f>
        <v>0</v>
      </c>
    </row>
    <row r="2300" spans="1:48" x14ac:dyDescent="0.25">
      <c r="A2300">
        <v>3011.1750000000002</v>
      </c>
      <c r="B2300" s="2" t="str">
        <f t="shared" si="1505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1506"/>
        <v>3011.1750000000002</v>
      </c>
      <c r="AB2300" s="3">
        <f t="shared" si="1507"/>
        <v>33199.949999999997</v>
      </c>
      <c r="AC2300" s="3" cm="1">
        <f t="array" ref="AC2300">100000000/LvacE(AA2300)</f>
        <v>33199.953502521159</v>
      </c>
      <c r="AD2300" s="10">
        <f t="shared" si="1508"/>
        <v>1.0512790439366884E-2</v>
      </c>
      <c r="AE2300" s="10" t="b">
        <f t="shared" si="1509"/>
        <v>1</v>
      </c>
      <c r="AP2300"/>
      <c r="AQ2300"/>
      <c r="AU2300" s="16" cm="1">
        <f t="array" ref="AU2300">$C2300*EXP(poly_from_str(100000000/$E2300,AU$4342))</f>
        <v>0</v>
      </c>
    </row>
    <row r="2301" spans="1:48" x14ac:dyDescent="0.25">
      <c r="A2301">
        <v>3010.6120000000001</v>
      </c>
      <c r="B2301" s="2" t="str">
        <f t="shared" si="1505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1564">$G2301&amp;""</f>
        <v>e</v>
      </c>
      <c r="N2301" t="str">
        <f t="shared" ref="N2301:N2303" si="1565">$H2301&amp;""</f>
        <v>7/2</v>
      </c>
      <c r="O2301">
        <v>61605.66</v>
      </c>
      <c r="P2301" t="str">
        <f t="shared" ref="P2301:P2303" si="1566">$J2301&amp;""</f>
        <v>o</v>
      </c>
      <c r="Q2301" t="str">
        <f t="shared" ref="Q2301:Q2303" si="1567">$K2301&amp;""</f>
        <v>7/2</v>
      </c>
      <c r="R2301">
        <v>22</v>
      </c>
      <c r="AA2301" s="10">
        <f t="shared" si="1506"/>
        <v>3010.6120000000001</v>
      </c>
      <c r="AB2301" s="3">
        <f t="shared" si="1507"/>
        <v>33206.160000000003</v>
      </c>
      <c r="AC2301" s="3" cm="1">
        <f t="array" ref="AC2301">100000000/LvacE(AA2301)</f>
        <v>33206.161804570984</v>
      </c>
      <c r="AD2301" s="10">
        <f t="shared" si="1508"/>
        <v>1.0514852429434778E-2</v>
      </c>
      <c r="AE2301" s="10" t="b">
        <f t="shared" si="1509"/>
        <v>1</v>
      </c>
      <c r="AJ2301" t="s">
        <v>4975</v>
      </c>
      <c r="AK2301" t="s">
        <v>4822</v>
      </c>
      <c r="AL2301">
        <v>28399.43</v>
      </c>
      <c r="AM2301">
        <v>61605.66</v>
      </c>
      <c r="AN2301" s="10" cm="1">
        <f t="array" ref="AN2301">Lair(100000000/($AM2301-$AL2301))</f>
        <v>3010.60581204653</v>
      </c>
      <c r="AO2301" s="10">
        <f t="shared" ref="AO2301:AO2303" si="1568">100000000/($AM2301-$AL2301)</f>
        <v>3011.4830861558203</v>
      </c>
      <c r="AP2301" s="12">
        <v>1090000000</v>
      </c>
      <c r="AQ2301" s="3">
        <v>0.83099999999999996</v>
      </c>
      <c r="AR2301" s="3">
        <f t="shared" ref="AR2301:AR2303" si="1569">LN(AU2301*100000000/($AM2301-$AL2301)/AP2301)</f>
        <v>-7.1597633088517734</v>
      </c>
      <c r="AS2301" s="13">
        <f t="shared" ref="AS2301:AS2303" si="1570">EXP(AR$4341*$AM2301+AR$4342)*$AP2301/(100000000/($AM2301-$AL2301))</f>
        <v>314.24278124612454</v>
      </c>
      <c r="AT2301" s="3">
        <f t="shared" ref="AT2301:AT2303" si="1571">LN(AS2301/$C2301)</f>
        <v>0.73953058173754083</v>
      </c>
      <c r="AU2301" s="16" cm="1">
        <f t="array" ref="AU2301">$C2301*EXP(poly_from_str(100000000/$E2301,AU$4342))</f>
        <v>281.31984720004965</v>
      </c>
      <c r="AV2301" s="13">
        <f t="shared" ref="AV2301:AV2303" si="1572">LN(AS2301/AU2301)</f>
        <v>0.11067360754765393</v>
      </c>
    </row>
    <row r="2302" spans="1:48" x14ac:dyDescent="0.25">
      <c r="A2302">
        <v>3010.4769999999999</v>
      </c>
      <c r="B2302" s="2" t="str">
        <f t="shared" si="1505"/>
        <v/>
      </c>
      <c r="C2302">
        <v>10</v>
      </c>
      <c r="D2302" t="s">
        <v>1156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1564"/>
        <v>e</v>
      </c>
      <c r="N2302" t="str">
        <f t="shared" si="1565"/>
        <v>5/2</v>
      </c>
      <c r="O2302">
        <v>66867.09</v>
      </c>
      <c r="P2302" t="str">
        <f t="shared" si="1566"/>
        <v>o</v>
      </c>
      <c r="Q2302" t="str">
        <f t="shared" si="1567"/>
        <v>3/2</v>
      </c>
      <c r="R2302">
        <v>22</v>
      </c>
      <c r="AA2302" s="10">
        <f t="shared" si="1506"/>
        <v>3010.4769999999999</v>
      </c>
      <c r="AB2302" s="3">
        <f t="shared" si="1507"/>
        <v>33207.65</v>
      </c>
      <c r="AC2302" s="3" cm="1">
        <f t="array" ref="AC2302">100000000/LvacE(AA2302)</f>
        <v>33207.650818934322</v>
      </c>
      <c r="AD2302" s="10">
        <f t="shared" si="1508"/>
        <v>1.0515347039511401E-2</v>
      </c>
      <c r="AE2302" s="10" t="b">
        <f t="shared" si="1509"/>
        <v>1</v>
      </c>
      <c r="AJ2302" t="s">
        <v>4895</v>
      </c>
      <c r="AK2302" t="s">
        <v>4867</v>
      </c>
      <c r="AL2302">
        <v>33659.99</v>
      </c>
      <c r="AM2302">
        <v>66867.09</v>
      </c>
      <c r="AN2302" s="10" cm="1">
        <f t="array" ref="AN2302">Lair(100000000/($AM2302-$AL2302))</f>
        <v>3010.5269332195694</v>
      </c>
      <c r="AO2302" s="10">
        <f t="shared" si="1568"/>
        <v>3011.4041876586634</v>
      </c>
      <c r="AP2302" s="12">
        <v>146000000</v>
      </c>
      <c r="AQ2302" s="3">
        <v>0.15</v>
      </c>
      <c r="AR2302" s="3">
        <f t="shared" si="1569"/>
        <v>-7.857596995003866</v>
      </c>
      <c r="AS2302" s="13">
        <f t="shared" si="1570"/>
        <v>28.360928701955469</v>
      </c>
      <c r="AT2302" s="3">
        <f t="shared" si="1571"/>
        <v>1.0424273550291812</v>
      </c>
      <c r="AU2302" s="16" cm="1">
        <f t="array" ref="AU2302">$C2302*EXP(poly_from_str(100000000/$E2302,AU$4342))</f>
        <v>18.753087924791487</v>
      </c>
      <c r="AV2302" s="13">
        <f t="shared" si="1572"/>
        <v>0.41365401984439193</v>
      </c>
    </row>
    <row r="2303" spans="1:48" x14ac:dyDescent="0.25">
      <c r="A2303">
        <v>3008.04</v>
      </c>
      <c r="B2303" s="2" t="str">
        <f t="shared" si="1505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1564"/>
        <v>e</v>
      </c>
      <c r="N2303" t="str">
        <f t="shared" si="1565"/>
        <v>9/2</v>
      </c>
      <c r="O2303">
        <v>68525.62</v>
      </c>
      <c r="P2303" t="str">
        <f t="shared" si="1566"/>
        <v>o</v>
      </c>
      <c r="Q2303" t="str">
        <f t="shared" si="1567"/>
        <v>11/2</v>
      </c>
      <c r="R2303">
        <v>22</v>
      </c>
      <c r="AA2303" s="10">
        <f t="shared" si="1506"/>
        <v>3008.04</v>
      </c>
      <c r="AB2303" s="3">
        <f t="shared" si="1507"/>
        <v>33234.550000000003</v>
      </c>
      <c r="AC2303" s="3" cm="1">
        <f t="array" ref="AC2303">100000000/LvacE(AA2303)</f>
        <v>33234.553267001778</v>
      </c>
      <c r="AD2303" s="10">
        <f t="shared" si="1508"/>
        <v>1.0524287121680858E-2</v>
      </c>
      <c r="AE2303" s="10" t="b">
        <f t="shared" si="1509"/>
        <v>1</v>
      </c>
      <c r="AJ2303" t="s">
        <v>4807</v>
      </c>
      <c r="AK2303" t="s">
        <v>4869</v>
      </c>
      <c r="AL2303">
        <v>35291</v>
      </c>
      <c r="AM2303">
        <v>68525.62</v>
      </c>
      <c r="AN2303" s="10" cm="1">
        <f t="array" ref="AN2303">Lair(100000000/($AM2303-$AL2303))</f>
        <v>3008.0339549882215</v>
      </c>
      <c r="AO2303" s="10">
        <f t="shared" si="1568"/>
        <v>3008.9105878147552</v>
      </c>
      <c r="AP2303" s="12">
        <v>1990000000</v>
      </c>
      <c r="AQ2303" s="3">
        <v>0.81100000000000005</v>
      </c>
      <c r="AR2303" s="3">
        <f t="shared" si="1569"/>
        <v>-7.7642173951477806</v>
      </c>
      <c r="AS2303" s="13">
        <f t="shared" si="1570"/>
        <v>341.6055936321514</v>
      </c>
      <c r="AT2303" s="3">
        <f t="shared" si="1571"/>
        <v>0.82302154248547343</v>
      </c>
      <c r="AU2303" s="16" cm="1">
        <f t="array" ref="AU2303">$C2303*EXP(poly_from_str(100000000/$E2303,AU$4342))</f>
        <v>280.85814484815398</v>
      </c>
      <c r="AV2303" s="13">
        <f t="shared" si="1572"/>
        <v>0.1958071173182489</v>
      </c>
    </row>
    <row r="2304" spans="1:48" x14ac:dyDescent="0.25">
      <c r="A2304">
        <v>3007.9969999999998</v>
      </c>
      <c r="B2304" s="2" t="str">
        <f t="shared" si="1505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1506"/>
        <v>3007.9969999999998</v>
      </c>
      <c r="AB2304" s="3">
        <f t="shared" si="1507"/>
        <v>33235.03</v>
      </c>
      <c r="AC2304" s="3" cm="1">
        <f t="array" ref="AC2304">100000000/LvacE(AA2304)</f>
        <v>33235.028342482525</v>
      </c>
      <c r="AD2304" s="10">
        <f t="shared" si="1508"/>
        <v>1.0524445061361852E-2</v>
      </c>
      <c r="AE2304" s="10" t="b">
        <f t="shared" si="1509"/>
        <v>1</v>
      </c>
      <c r="AP2304"/>
      <c r="AQ2304"/>
      <c r="AU2304" s="16" cm="1">
        <f t="array" ref="AU2304">$C2304*EXP(poly_from_str(100000000/$E2304,AU$4342))</f>
        <v>0</v>
      </c>
    </row>
    <row r="2305" spans="1:48" x14ac:dyDescent="0.25">
      <c r="A2305">
        <v>3007.9589999999998</v>
      </c>
      <c r="B2305" s="2" t="str">
        <f t="shared" si="1505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1506"/>
        <v>3007.9589999999998</v>
      </c>
      <c r="AB2305" s="3">
        <f t="shared" si="1507"/>
        <v>33235.449999999997</v>
      </c>
      <c r="AC2305" s="3" cm="1">
        <f t="array" ref="AC2305">100000000/LvacE(AA2305)</f>
        <v>33235.448187932998</v>
      </c>
      <c r="AD2305" s="10">
        <f t="shared" si="1508"/>
        <v>1.0524584641601331E-2</v>
      </c>
      <c r="AE2305" s="10" t="b">
        <f t="shared" si="1509"/>
        <v>1</v>
      </c>
      <c r="AP2305"/>
      <c r="AQ2305"/>
      <c r="AU2305" s="16" cm="1">
        <f t="array" ref="AU2305">$C2305*EXP(poly_from_str(100000000/$E2305,AU$4342))</f>
        <v>0</v>
      </c>
    </row>
    <row r="2306" spans="1:48" x14ac:dyDescent="0.25">
      <c r="A2306">
        <v>3007.9090000000001</v>
      </c>
      <c r="B2306" s="2" t="str">
        <f t="shared" ref="B2306:B2369" si="1573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1506"/>
        <v>3007.9090000000001</v>
      </c>
      <c r="AB2306" s="3">
        <f t="shared" si="1507"/>
        <v>33236</v>
      </c>
      <c r="AC2306" s="3" cm="1">
        <f t="array" ref="AC2306">100000000/LvacE(AA2306)</f>
        <v>33236.000632318064</v>
      </c>
      <c r="AD2306" s="10">
        <f t="shared" si="1508"/>
        <v>1.0524768307870695E-2</v>
      </c>
      <c r="AE2306" s="10" t="b">
        <f t="shared" si="1509"/>
        <v>1</v>
      </c>
      <c r="AP2306"/>
      <c r="AQ2306"/>
      <c r="AU2306" s="16" cm="1">
        <f t="array" ref="AU2306">$C2306*EXP(poly_from_str(100000000/$E2306,AU$4342))</f>
        <v>0</v>
      </c>
    </row>
    <row r="2307" spans="1:48" x14ac:dyDescent="0.25">
      <c r="A2307">
        <v>3007.4839999999999</v>
      </c>
      <c r="B2307" s="2" t="str">
        <f t="shared" si="1573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1574">ROUND($A2307,3)+0</f>
        <v>3007.4839999999999</v>
      </c>
      <c r="AB2307" s="3">
        <f t="shared" ref="AB2307:AB2370" si="1575">ROUND($E2307,2)+0</f>
        <v>33240.699999999997</v>
      </c>
      <c r="AC2307" s="3" cm="1">
        <f t="array" ref="AC2307">100000000/LvacE(AA2307)</f>
        <v>33240.697151184337</v>
      </c>
      <c r="AD2307" s="10">
        <f t="shared" ref="AD2307:AD2370" si="1576">0.0005/$AA2307*AC2307+0.005</f>
        <v>1.0526329841020657E-2</v>
      </c>
      <c r="AE2307" s="10" t="b">
        <f t="shared" ref="AE2307:AE2370" si="1577">ABS(AB2307-AC2307)&lt;AD2307</f>
        <v>1</v>
      </c>
      <c r="AP2307"/>
      <c r="AQ2307"/>
      <c r="AU2307" s="16" cm="1">
        <f t="array" ref="AU2307">$C2307*EXP(poly_from_str(100000000/$E2307,AU$4342))</f>
        <v>0</v>
      </c>
    </row>
    <row r="2308" spans="1:48" x14ac:dyDescent="0.25">
      <c r="A2308">
        <v>3007.4560000000001</v>
      </c>
      <c r="B2308" s="2" t="str">
        <f t="shared" si="1573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1574"/>
        <v>3007.4560000000001</v>
      </c>
      <c r="AB2308" s="3">
        <f t="shared" si="1575"/>
        <v>33241.01</v>
      </c>
      <c r="AC2308" s="3" cm="1">
        <f t="array" ref="AC2308">100000000/LvacE(AA2308)</f>
        <v>33241.006615500679</v>
      </c>
      <c r="AD2308" s="10">
        <f t="shared" si="1576"/>
        <v>1.0526432741742635E-2</v>
      </c>
      <c r="AE2308" s="10" t="b">
        <f t="shared" si="1577"/>
        <v>1</v>
      </c>
      <c r="AJ2308" t="s">
        <v>4788</v>
      </c>
      <c r="AK2308" t="s">
        <v>4842</v>
      </c>
      <c r="AL2308">
        <v>30994.55</v>
      </c>
      <c r="AM2308">
        <v>64235.61</v>
      </c>
      <c r="AN2308" s="10" cm="1">
        <f t="array" ref="AN2308">Lair(100000000/($AM2308-$AL2308))</f>
        <v>3007.4511650785566</v>
      </c>
      <c r="AO2308" s="10">
        <f>100000000/($AM2308-$AL2308)</f>
        <v>3008.3276526079494</v>
      </c>
      <c r="AP2308" s="12">
        <v>435000000</v>
      </c>
      <c r="AQ2308" s="3">
        <v>0.66400000000000003</v>
      </c>
      <c r="AR2308" s="3">
        <f>LN(AU2308*100000000/($AM2308-$AL2308)/AP2308)</f>
        <v>-7.5660112708352631</v>
      </c>
      <c r="AS2308" s="13">
        <f>EXP(AR$4341*$AM2308+AR$4342)*$AP2308/(100000000/($AM2308-$AL2308))</f>
        <v>103.0545083356395</v>
      </c>
      <c r="AT2308" s="3">
        <f>LN(AS2308/$C2308)</f>
        <v>0.94637860127711448</v>
      </c>
      <c r="AU2308" s="16" cm="1">
        <f t="array" ref="AU2308">$C2308*EXP(poly_from_str(100000000/$E2308,AU$4342))</f>
        <v>74.866438951065334</v>
      </c>
      <c r="AV2308" s="13">
        <f>LN(AS2308/AU2308)</f>
        <v>0.31955234337477739</v>
      </c>
    </row>
    <row r="2309" spans="1:48" x14ac:dyDescent="0.25">
      <c r="A2309" t="s">
        <v>3022</v>
      </c>
      <c r="B2309" s="2" t="str">
        <f t="shared" si="1573"/>
        <v/>
      </c>
      <c r="C2309">
        <v>0</v>
      </c>
      <c r="E2309" t="s">
        <v>3023</v>
      </c>
      <c r="R2309">
        <v>23</v>
      </c>
      <c r="S2309" t="s">
        <v>22</v>
      </c>
      <c r="AA2309" s="10">
        <f t="shared" si="1574"/>
        <v>3006.5329999999999</v>
      </c>
      <c r="AB2309" s="3">
        <f t="shared" si="1575"/>
        <v>33251.21</v>
      </c>
      <c r="AC2309" s="3" cm="1">
        <f t="array" ref="AC2309">100000000/LvacE(AA2309)</f>
        <v>33251.211112180747</v>
      </c>
      <c r="AD2309" s="10">
        <f t="shared" si="1576"/>
        <v>1.0529826400072899E-2</v>
      </c>
      <c r="AE2309" s="10" t="b">
        <f t="shared" si="1577"/>
        <v>1</v>
      </c>
      <c r="AP2309"/>
      <c r="AQ2309"/>
      <c r="AU2309" s="16" cm="1">
        <f t="array" ref="AU2309">$C2309*EXP(poly_from_str(100000000/$E2309,AU$4342))</f>
        <v>0</v>
      </c>
    </row>
    <row r="2310" spans="1:48" x14ac:dyDescent="0.25">
      <c r="A2310" t="s">
        <v>3024</v>
      </c>
      <c r="B2310" s="2" t="str">
        <f t="shared" si="1573"/>
        <v/>
      </c>
      <c r="C2310">
        <v>0</v>
      </c>
      <c r="E2310" t="s">
        <v>3025</v>
      </c>
      <c r="R2310">
        <v>23</v>
      </c>
      <c r="S2310" t="s">
        <v>22</v>
      </c>
      <c r="AA2310" s="10">
        <f t="shared" si="1574"/>
        <v>3006.5030000000002</v>
      </c>
      <c r="AB2310" s="3">
        <f t="shared" si="1575"/>
        <v>33251.54</v>
      </c>
      <c r="AC2310" s="3" cm="1">
        <f t="array" ref="AC2310">100000000/LvacE(AA2310)</f>
        <v>33251.542891088378</v>
      </c>
      <c r="AD2310" s="10">
        <f t="shared" si="1576"/>
        <v>1.0529936755607492E-2</v>
      </c>
      <c r="AE2310" s="10" t="b">
        <f t="shared" si="1577"/>
        <v>1</v>
      </c>
      <c r="AP2310"/>
      <c r="AQ2310"/>
      <c r="AU2310" s="16" cm="1">
        <f t="array" ref="AU2310">$C2310*EXP(poly_from_str(100000000/$E2310,AU$4342))</f>
        <v>0</v>
      </c>
    </row>
    <row r="2311" spans="1:48" x14ac:dyDescent="0.25">
      <c r="A2311" t="s">
        <v>3026</v>
      </c>
      <c r="B2311" s="2" t="str">
        <f t="shared" si="1573"/>
        <v/>
      </c>
      <c r="C2311">
        <v>60</v>
      </c>
      <c r="D2311" t="s">
        <v>170</v>
      </c>
      <c r="E2311" t="s">
        <v>3027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1574"/>
        <v>3006.4690000000001</v>
      </c>
      <c r="AB2311" s="3">
        <f t="shared" si="1575"/>
        <v>33251.919999999998</v>
      </c>
      <c r="AC2311" s="3" cm="1">
        <f t="array" ref="AC2311">100000000/LvacE(AA2311)</f>
        <v>33251.918915187518</v>
      </c>
      <c r="AD2311" s="10">
        <f t="shared" si="1576"/>
        <v>1.0530061829206874E-2</v>
      </c>
      <c r="AE2311" s="10" t="b">
        <f t="shared" si="1577"/>
        <v>1</v>
      </c>
      <c r="AJ2311" t="s">
        <v>4750</v>
      </c>
      <c r="AK2311" t="s">
        <v>4716</v>
      </c>
      <c r="AL2311">
        <v>38726.5</v>
      </c>
      <c r="AM2311">
        <v>71978.52</v>
      </c>
      <c r="AN2311" s="10" cm="1">
        <f t="array" ref="AN2311">Lair(100000000/($AM2311-$AL2311))</f>
        <v>3006.4598552724638</v>
      </c>
      <c r="AO2311" s="10">
        <f>100000000/($AM2311-$AL2311)</f>
        <v>3007.3360956717815</v>
      </c>
      <c r="AP2311" s="12">
        <v>1320000000</v>
      </c>
      <c r="AQ2311" s="3">
        <v>0.72299999999999998</v>
      </c>
      <c r="AR2311" s="3">
        <f>LN(AU2311*100000000/($AM2311-$AL2311)/AP2311)</f>
        <v>-8.2715844884489922</v>
      </c>
      <c r="AS2311" s="13">
        <f>EXP(AR$4341*$AM2311+AR$4342)*$AP2311/(100000000/($AM2311-$AL2311))</f>
        <v>174.95842787072866</v>
      </c>
      <c r="AT2311" s="3">
        <f>LN(AS2311/$C2311)</f>
        <v>1.0702038284563413</v>
      </c>
      <c r="AU2311" s="16" cm="1">
        <f t="array" ref="AU2311">$C2311*EXP(poly_from_str(100000000/$E2311,AU$4342))</f>
        <v>112.22470289522302</v>
      </c>
      <c r="AV2311" s="13">
        <f>LN(AS2311/AU2311)</f>
        <v>0.44404525341673073</v>
      </c>
    </row>
    <row r="2312" spans="1:48" x14ac:dyDescent="0.25">
      <c r="A2312" t="s">
        <v>3028</v>
      </c>
      <c r="B2312" s="2" t="str">
        <f t="shared" si="1573"/>
        <v/>
      </c>
      <c r="C2312">
        <v>0</v>
      </c>
      <c r="E2312" t="s">
        <v>3029</v>
      </c>
      <c r="R2312">
        <v>23</v>
      </c>
      <c r="S2312" t="s">
        <v>22</v>
      </c>
      <c r="AA2312" s="10">
        <f t="shared" si="1574"/>
        <v>3004.9250000000002</v>
      </c>
      <c r="AB2312" s="3">
        <f t="shared" si="1575"/>
        <v>33269</v>
      </c>
      <c r="AC2312" s="3" cm="1">
        <f t="array" ref="AC2312">100000000/LvacE(AA2312)</f>
        <v>33269.00379965036</v>
      </c>
      <c r="AD2312" s="10">
        <f t="shared" si="1576"/>
        <v>1.0535746116733424E-2</v>
      </c>
      <c r="AE2312" s="10" t="b">
        <f t="shared" si="1577"/>
        <v>1</v>
      </c>
      <c r="AP2312"/>
      <c r="AQ2312"/>
      <c r="AU2312" s="16" cm="1">
        <f t="array" ref="AU2312">$C2312*EXP(poly_from_str(100000000/$E2312,AU$4342))</f>
        <v>0</v>
      </c>
    </row>
    <row r="2313" spans="1:48" x14ac:dyDescent="0.25">
      <c r="A2313" t="s">
        <v>3030</v>
      </c>
      <c r="B2313" s="2" t="str">
        <f t="shared" si="1573"/>
        <v/>
      </c>
      <c r="C2313">
        <v>20</v>
      </c>
      <c r="D2313" t="s">
        <v>170</v>
      </c>
      <c r="E2313" t="s">
        <v>3031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1574"/>
        <v>3004.8969999999999</v>
      </c>
      <c r="AB2313" s="3">
        <f t="shared" si="1575"/>
        <v>33269.31</v>
      </c>
      <c r="AC2313" s="3" cm="1">
        <f t="array" ref="AC2313">100000000/LvacE(AA2313)</f>
        <v>33269.31379123545</v>
      </c>
      <c r="AD2313" s="10">
        <f t="shared" si="1576"/>
        <v>1.0535849280563602E-2</v>
      </c>
      <c r="AE2313" s="10" t="b">
        <f t="shared" si="1577"/>
        <v>1</v>
      </c>
      <c r="AJ2313" t="s">
        <v>4774</v>
      </c>
      <c r="AK2313" t="s">
        <v>4909</v>
      </c>
      <c r="AL2313">
        <v>33466.410000000003</v>
      </c>
      <c r="AM2313">
        <v>66735.88</v>
      </c>
      <c r="AN2313" s="10" cm="1">
        <f t="array" ref="AN2313">Lair(100000000/($AM2313-$AL2313))</f>
        <v>3004.8828858478387</v>
      </c>
      <c r="AO2313" s="10">
        <f>100000000/($AM2313-$AL2313)</f>
        <v>3005.7587331568552</v>
      </c>
      <c r="AP2313" s="12">
        <v>321000000</v>
      </c>
      <c r="AQ2313" s="3">
        <v>0.79</v>
      </c>
      <c r="AR2313" s="3">
        <f>LN(AU2313*100000000/($AM2313-$AL2313)/AP2313)</f>
        <v>-7.9578712521954804</v>
      </c>
      <c r="AS2313" s="13">
        <f>EXP(AR$4341*$AM2313+AR$4342)*$AP2313/(100000000/($AM2313-$AL2313))</f>
        <v>63.090505200384328</v>
      </c>
      <c r="AT2313" s="3">
        <f>LN(AS2313/$C2313)</f>
        <v>1.148838012410937</v>
      </c>
      <c r="AU2313" s="16" cm="1">
        <f t="array" ref="AU2313">$C2313*EXP(poly_from_str(100000000/$E2313,AU$4342))</f>
        <v>37.367267608007801</v>
      </c>
      <c r="AV2313" s="13">
        <f>LN(AS2313/AU2313)</f>
        <v>0.52377516240035782</v>
      </c>
    </row>
    <row r="2314" spans="1:48" x14ac:dyDescent="0.25">
      <c r="A2314" t="s">
        <v>3032</v>
      </c>
      <c r="B2314" s="2" t="str">
        <f t="shared" si="1573"/>
        <v/>
      </c>
      <c r="C2314">
        <v>9</v>
      </c>
      <c r="D2314" t="s">
        <v>134</v>
      </c>
      <c r="E2314" t="s">
        <v>3033</v>
      </c>
      <c r="R2314">
        <v>23</v>
      </c>
      <c r="S2314" t="s">
        <v>22</v>
      </c>
      <c r="AA2314" s="10">
        <f t="shared" si="1574"/>
        <v>3004.306</v>
      </c>
      <c r="AB2314" s="3">
        <f t="shared" si="1575"/>
        <v>33275.86</v>
      </c>
      <c r="AC2314" s="3" cm="1">
        <f t="array" ref="AC2314">100000000/LvacE(AA2314)</f>
        <v>33275.858175918213</v>
      </c>
      <c r="AD2314" s="10">
        <f t="shared" si="1576"/>
        <v>1.0538027447257074E-2</v>
      </c>
      <c r="AE2314" s="10" t="b">
        <f t="shared" si="1577"/>
        <v>1</v>
      </c>
      <c r="AP2314"/>
      <c r="AQ2314"/>
      <c r="AU2314" s="16" cm="1">
        <f t="array" ref="AU2314">$C2314*EXP(poly_from_str(100000000/$E2314,AU$4342))</f>
        <v>16.808163590816925</v>
      </c>
    </row>
    <row r="2315" spans="1:48" x14ac:dyDescent="0.25">
      <c r="A2315" t="s">
        <v>3034</v>
      </c>
      <c r="B2315" s="2" t="str">
        <f t="shared" si="1573"/>
        <v/>
      </c>
      <c r="C2315">
        <v>0</v>
      </c>
      <c r="E2315" t="s">
        <v>3035</v>
      </c>
      <c r="R2315">
        <v>23</v>
      </c>
      <c r="S2315" t="s">
        <v>22</v>
      </c>
      <c r="AA2315" s="10">
        <f t="shared" si="1574"/>
        <v>3004.2539999999999</v>
      </c>
      <c r="AB2315" s="3">
        <f t="shared" si="1575"/>
        <v>33276.43</v>
      </c>
      <c r="AC2315" s="3" cm="1">
        <f t="array" ref="AC2315">100000000/LvacE(AA2315)</f>
        <v>33276.434116415985</v>
      </c>
      <c r="AD2315" s="10">
        <f t="shared" si="1576"/>
        <v>1.0538219157969996E-2</v>
      </c>
      <c r="AE2315" s="10" t="b">
        <f t="shared" si="1577"/>
        <v>1</v>
      </c>
      <c r="AP2315"/>
      <c r="AQ2315"/>
      <c r="AU2315" s="16" cm="1">
        <f t="array" ref="AU2315">$C2315*EXP(poly_from_str(100000000/$E2315,AU$4342))</f>
        <v>0</v>
      </c>
    </row>
    <row r="2316" spans="1:48" x14ac:dyDescent="0.25">
      <c r="A2316" t="s">
        <v>3036</v>
      </c>
      <c r="B2316" s="2" t="str">
        <f t="shared" si="1573"/>
        <v/>
      </c>
      <c r="C2316">
        <v>0</v>
      </c>
      <c r="E2316" t="s">
        <v>3037</v>
      </c>
      <c r="R2316">
        <v>23</v>
      </c>
      <c r="S2316" t="s">
        <v>22</v>
      </c>
      <c r="AA2316" s="10">
        <f t="shared" si="1574"/>
        <v>3004.2080000000001</v>
      </c>
      <c r="AB2316" s="3">
        <f t="shared" si="1575"/>
        <v>33276.94</v>
      </c>
      <c r="AC2316" s="3" cm="1">
        <f t="array" ref="AC2316">100000000/LvacE(AA2316)</f>
        <v>33276.943618859594</v>
      </c>
      <c r="AD2316" s="10">
        <f t="shared" si="1576"/>
        <v>1.0538388756514128E-2</v>
      </c>
      <c r="AE2316" s="10" t="b">
        <f t="shared" si="1577"/>
        <v>1</v>
      </c>
      <c r="AP2316"/>
      <c r="AQ2316"/>
      <c r="AU2316" s="16" cm="1">
        <f t="array" ref="AU2316">$C2316*EXP(poly_from_str(100000000/$E2316,AU$4342))</f>
        <v>0</v>
      </c>
    </row>
    <row r="2317" spans="1:48" x14ac:dyDescent="0.25">
      <c r="A2317" t="s">
        <v>3038</v>
      </c>
      <c r="B2317" s="2" t="str">
        <f t="shared" si="1573"/>
        <v/>
      </c>
      <c r="C2317">
        <v>0</v>
      </c>
      <c r="E2317" t="s">
        <v>3039</v>
      </c>
      <c r="R2317">
        <v>23</v>
      </c>
      <c r="S2317" t="s">
        <v>22</v>
      </c>
      <c r="AA2317" s="10">
        <f t="shared" si="1574"/>
        <v>3004.0839999999998</v>
      </c>
      <c r="AB2317" s="3">
        <f t="shared" si="1575"/>
        <v>33278.32</v>
      </c>
      <c r="AC2317" s="3" cm="1">
        <f t="array" ref="AC2317">100000000/LvacE(AA2317)</f>
        <v>33278.31713794612</v>
      </c>
      <c r="AD2317" s="10">
        <f t="shared" si="1576"/>
        <v>1.0538845974005074E-2</v>
      </c>
      <c r="AE2317" s="10" t="b">
        <f t="shared" si="1577"/>
        <v>1</v>
      </c>
      <c r="AP2317"/>
      <c r="AQ2317"/>
      <c r="AU2317" s="16" cm="1">
        <f t="array" ref="AU2317">$C2317*EXP(poly_from_str(100000000/$E2317,AU$4342))</f>
        <v>0</v>
      </c>
    </row>
    <row r="2318" spans="1:48" x14ac:dyDescent="0.25">
      <c r="A2318" t="s">
        <v>3040</v>
      </c>
      <c r="B2318" s="2" t="str">
        <f t="shared" si="1573"/>
        <v/>
      </c>
      <c r="C2318">
        <v>0</v>
      </c>
      <c r="E2318" t="s">
        <v>3041</v>
      </c>
      <c r="R2318">
        <v>23</v>
      </c>
      <c r="S2318" t="s">
        <v>22</v>
      </c>
      <c r="AA2318" s="10">
        <f t="shared" si="1574"/>
        <v>3004.0479999999998</v>
      </c>
      <c r="AB2318" s="3">
        <f t="shared" si="1575"/>
        <v>33278.720000000001</v>
      </c>
      <c r="AC2318" s="3" cm="1">
        <f t="array" ref="AC2318">100000000/LvacE(AA2318)</f>
        <v>33278.715922789044</v>
      </c>
      <c r="AD2318" s="10">
        <f t="shared" si="1576"/>
        <v>1.0538978725171677E-2</v>
      </c>
      <c r="AE2318" s="10" t="b">
        <f t="shared" si="1577"/>
        <v>1</v>
      </c>
      <c r="AP2318"/>
      <c r="AQ2318"/>
      <c r="AU2318" s="16" cm="1">
        <f t="array" ref="AU2318">$C2318*EXP(poly_from_str(100000000/$E2318,AU$4342))</f>
        <v>0</v>
      </c>
    </row>
    <row r="2319" spans="1:48" x14ac:dyDescent="0.25">
      <c r="A2319" t="s">
        <v>3042</v>
      </c>
      <c r="B2319" s="2" t="str">
        <f t="shared" si="1573"/>
        <v/>
      </c>
      <c r="C2319">
        <v>10</v>
      </c>
      <c r="D2319" t="s">
        <v>170</v>
      </c>
      <c r="E2319" t="s">
        <v>3043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1578">$G2319&amp;""</f>
        <v>e</v>
      </c>
      <c r="N2319" t="str">
        <f t="shared" ref="N2319:N2320" si="1579">$H2319&amp;""</f>
        <v>3/2</v>
      </c>
      <c r="O2319">
        <v>85306.1</v>
      </c>
      <c r="P2319" t="str">
        <f t="shared" ref="P2319:P2320" si="1580">$J2319&amp;""</f>
        <v>o</v>
      </c>
      <c r="Q2319" t="str">
        <f t="shared" ref="Q2319:Q2320" si="1581">$K2319&amp;""</f>
        <v>5/2</v>
      </c>
      <c r="R2319">
        <v>23</v>
      </c>
      <c r="AA2319" s="10">
        <f t="shared" si="1574"/>
        <v>3004.002</v>
      </c>
      <c r="AB2319" s="3">
        <f t="shared" si="1575"/>
        <v>33279.230000000003</v>
      </c>
      <c r="AC2319" s="3" cm="1">
        <f t="array" ref="AC2319">100000000/LvacE(AA2319)</f>
        <v>33279.225495107792</v>
      </c>
      <c r="AD2319" s="10">
        <f t="shared" si="1576"/>
        <v>1.0539148358607583E-2</v>
      </c>
      <c r="AE2319" s="10" t="b">
        <f t="shared" si="1577"/>
        <v>1</v>
      </c>
      <c r="AJ2319" t="s">
        <v>4777</v>
      </c>
      <c r="AK2319" t="s">
        <v>4929</v>
      </c>
      <c r="AL2319">
        <v>52026.9</v>
      </c>
      <c r="AM2319">
        <v>85306.1</v>
      </c>
      <c r="AN2319" s="10" cm="1">
        <f t="array" ref="AN2319">Lair(100000000/($AM2319-$AL2319))</f>
        <v>3004.0042966718515</v>
      </c>
      <c r="AO2319" s="10">
        <f t="shared" ref="AO2319:AO2320" si="1582">100000000/($AM2319-$AL2319)</f>
        <v>3004.8799249981967</v>
      </c>
      <c r="AP2319" s="12">
        <v>794000000</v>
      </c>
      <c r="AQ2319" s="3">
        <v>0.63400000000000001</v>
      </c>
      <c r="AR2319" s="3">
        <f t="shared" ref="AR2319:AR2320" si="1583">LN(AU2319*100000000/($AM2319-$AL2319)/AP2319)</f>
        <v>-9.5575955519575206</v>
      </c>
      <c r="AS2319" s="13">
        <f t="shared" ref="AS2319:AS2320" si="1584">EXP(AR$4341*$AM2319+AR$4342)*$AP2319/(100000000/($AM2319-$AL2319))</f>
        <v>38.739904790393524</v>
      </c>
      <c r="AT2319" s="3">
        <f t="shared" ref="AT2319:AT2320" si="1585">LN(AS2319/$C2319)</f>
        <v>1.3542851073254476</v>
      </c>
      <c r="AU2319" s="16" cm="1">
        <f t="array" ref="AU2319">$C2319*EXP(poly_from_str(100000000/$E2319,AU$4342))</f>
        <v>18.671635973153602</v>
      </c>
      <c r="AV2319" s="13">
        <f t="shared" ref="AV2319:AV2320" si="1586">LN(AS2319/AU2319)</f>
        <v>0.72986462083329184</v>
      </c>
    </row>
    <row r="2320" spans="1:48" x14ac:dyDescent="0.25">
      <c r="A2320" t="s">
        <v>3044</v>
      </c>
      <c r="B2320" s="2" t="str">
        <f t="shared" si="1573"/>
        <v/>
      </c>
      <c r="C2320">
        <v>9</v>
      </c>
      <c r="D2320" t="s">
        <v>134</v>
      </c>
      <c r="E2320" t="s">
        <v>3045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1578"/>
        <v>e</v>
      </c>
      <c r="N2320" t="str">
        <f t="shared" si="1579"/>
        <v>5/2</v>
      </c>
      <c r="O2320">
        <v>66943.039999999994</v>
      </c>
      <c r="P2320" t="str">
        <f t="shared" si="1580"/>
        <v>o</v>
      </c>
      <c r="Q2320" t="str">
        <f t="shared" si="1581"/>
        <v>5/2</v>
      </c>
      <c r="R2320">
        <v>23</v>
      </c>
      <c r="S2320" t="s">
        <v>159</v>
      </c>
      <c r="AA2320" s="10">
        <f t="shared" si="1574"/>
        <v>3003.6590000000001</v>
      </c>
      <c r="AB2320" s="3">
        <f t="shared" si="1575"/>
        <v>33283.03</v>
      </c>
      <c r="AC2320" s="3" cm="1">
        <f t="array" ref="AC2320">100000000/LvacE(AA2320)</f>
        <v>33283.025624229878</v>
      </c>
      <c r="AD2320" s="10">
        <f t="shared" si="1576"/>
        <v>1.0540413479730868E-2</v>
      </c>
      <c r="AE2320" s="10" t="b">
        <f t="shared" si="1577"/>
        <v>1</v>
      </c>
      <c r="AJ2320" t="s">
        <v>4895</v>
      </c>
      <c r="AK2320" t="s">
        <v>4847</v>
      </c>
      <c r="AL2320">
        <v>33659.99</v>
      </c>
      <c r="AM2320">
        <v>66943.039999999994</v>
      </c>
      <c r="AN2320" s="10" cm="1">
        <f t="array" ref="AN2320">Lair(100000000/($AM2320-$AL2320))</f>
        <v>3003.6567953120302</v>
      </c>
      <c r="AO2320" s="10">
        <f t="shared" si="1582"/>
        <v>3004.5323370304109</v>
      </c>
      <c r="AP2320" s="12">
        <v>44800000</v>
      </c>
      <c r="AQ2320" s="3">
        <v>0.14699999999999999</v>
      </c>
      <c r="AR2320" s="3">
        <f t="shared" si="1583"/>
        <v>-6.7884458243140413</v>
      </c>
      <c r="AS2320" s="13">
        <f t="shared" si="1584"/>
        <v>8.6728609081236847</v>
      </c>
      <c r="AT2320" s="3">
        <f t="shared" si="1585"/>
        <v>-3.7025863105555196E-2</v>
      </c>
      <c r="AU2320" s="16" cm="1">
        <f t="array" ref="AU2320">$C2320*EXP(poly_from_str(100000000/$E2320,AU$4342))</f>
        <v>16.800281907710183</v>
      </c>
      <c r="AV2320" s="13">
        <f t="shared" si="1586"/>
        <v>-0.66119695225860697</v>
      </c>
    </row>
    <row r="2321" spans="1:48" x14ac:dyDescent="0.25">
      <c r="A2321" t="s">
        <v>3046</v>
      </c>
      <c r="B2321" s="2" t="str">
        <f t="shared" si="1573"/>
        <v/>
      </c>
      <c r="C2321">
        <v>0</v>
      </c>
      <c r="E2321" t="s">
        <v>3047</v>
      </c>
      <c r="R2321">
        <v>23</v>
      </c>
      <c r="S2321" t="s">
        <v>22</v>
      </c>
      <c r="AA2321" s="10">
        <f t="shared" si="1574"/>
        <v>3003.6080000000002</v>
      </c>
      <c r="AB2321" s="3">
        <f t="shared" si="1575"/>
        <v>33283.589999999997</v>
      </c>
      <c r="AC2321" s="3" cm="1">
        <f t="array" ref="AC2321">100000000/LvacE(AA2321)</f>
        <v>33283.590732119184</v>
      </c>
      <c r="AD2321" s="10">
        <f t="shared" si="1576"/>
        <v>1.054060162513204E-2</v>
      </c>
      <c r="AE2321" s="10" t="b">
        <f t="shared" si="1577"/>
        <v>1</v>
      </c>
      <c r="AP2321"/>
      <c r="AQ2321"/>
      <c r="AU2321" s="16" cm="1">
        <f t="array" ref="AU2321">$C2321*EXP(poly_from_str(100000000/$E2321,AU$4342))</f>
        <v>0</v>
      </c>
    </row>
    <row r="2322" spans="1:48" x14ac:dyDescent="0.25">
      <c r="A2322" t="s">
        <v>3048</v>
      </c>
      <c r="B2322" s="2" t="str">
        <f t="shared" si="1573"/>
        <v/>
      </c>
      <c r="C2322">
        <v>0</v>
      </c>
      <c r="E2322" t="s">
        <v>3049</v>
      </c>
      <c r="R2322">
        <v>23</v>
      </c>
      <c r="S2322" t="s">
        <v>22</v>
      </c>
      <c r="AA2322" s="10">
        <f t="shared" si="1574"/>
        <v>3003.569</v>
      </c>
      <c r="AB2322" s="3">
        <f t="shared" si="1575"/>
        <v>33284.019999999997</v>
      </c>
      <c r="AC2322" s="3" cm="1">
        <f t="array" ref="AC2322">100000000/LvacE(AA2322)</f>
        <v>33284.022886394188</v>
      </c>
      <c r="AD2322" s="10">
        <f t="shared" si="1576"/>
        <v>1.0540745507493617E-2</v>
      </c>
      <c r="AE2322" s="10" t="b">
        <f t="shared" si="1577"/>
        <v>1</v>
      </c>
      <c r="AP2322"/>
      <c r="AQ2322"/>
      <c r="AU2322" s="16" cm="1">
        <f t="array" ref="AU2322">$C2322*EXP(poly_from_str(100000000/$E2322,AU$4342))</f>
        <v>0</v>
      </c>
    </row>
    <row r="2323" spans="1:48" x14ac:dyDescent="0.25">
      <c r="A2323" t="s">
        <v>3050</v>
      </c>
      <c r="B2323" s="2" t="str">
        <f t="shared" si="1573"/>
        <v/>
      </c>
      <c r="C2323">
        <v>150</v>
      </c>
      <c r="D2323" t="s">
        <v>134</v>
      </c>
      <c r="E2323" t="s">
        <v>3051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1574"/>
        <v>3003.203</v>
      </c>
      <c r="AB2323" s="3">
        <f t="shared" si="1575"/>
        <v>33288.080000000002</v>
      </c>
      <c r="AC2323" s="3" cm="1">
        <f t="array" ref="AC2323">100000000/LvacE(AA2323)</f>
        <v>33288.079034933631</v>
      </c>
      <c r="AD2323" s="10">
        <f t="shared" si="1576"/>
        <v>1.0542096061260865E-2</v>
      </c>
      <c r="AE2323" s="10" t="b">
        <f t="shared" si="1577"/>
        <v>1</v>
      </c>
      <c r="AJ2323" t="s">
        <v>4816</v>
      </c>
      <c r="AK2323" t="s">
        <v>4875</v>
      </c>
      <c r="AL2323">
        <v>38448.379999999997</v>
      </c>
      <c r="AM2323">
        <v>71736.45</v>
      </c>
      <c r="AN2323" s="10" cm="1">
        <f t="array" ref="AN2323">Lair(100000000/($AM2323-$AL2323))</f>
        <v>3003.2038103743894</v>
      </c>
      <c r="AO2323" s="10">
        <f>100000000/($AM2323-$AL2323)</f>
        <v>3004.079239198908</v>
      </c>
      <c r="AP2323" s="12">
        <v>3080000000</v>
      </c>
      <c r="AQ2323" s="3">
        <v>0.89800000000000002</v>
      </c>
      <c r="AR2323" s="3">
        <f>LN(AU2323*100000000/($AM2323-$AL2323)/AP2323)</f>
        <v>-8.2059969505481938</v>
      </c>
      <c r="AS2323" s="13">
        <f>EXP(AR$4341*$AM2323+AR$4342)*$AP2323/(100000000/($AM2323-$AL2323))</f>
        <v>416.17105998701248</v>
      </c>
      <c r="AT2323" s="3">
        <f>LN(AS2323/$C2323)</f>
        <v>1.0204610835365358</v>
      </c>
      <c r="AU2323" s="16" cm="1">
        <f t="array" ref="AU2323">$C2323*EXP(poly_from_str(100000000/$E2323,AU$4342))</f>
        <v>279.91111125140134</v>
      </c>
      <c r="AV2323" s="13">
        <f>LN(AS2323/AU2323)</f>
        <v>0.39662428468100036</v>
      </c>
    </row>
    <row r="2324" spans="1:48" x14ac:dyDescent="0.25">
      <c r="A2324" t="s">
        <v>3052</v>
      </c>
      <c r="B2324" s="2" t="str">
        <f t="shared" si="1573"/>
        <v/>
      </c>
      <c r="C2324">
        <v>0</v>
      </c>
      <c r="E2324" t="s">
        <v>3053</v>
      </c>
      <c r="R2324">
        <v>23</v>
      </c>
      <c r="S2324" t="s">
        <v>22</v>
      </c>
      <c r="AA2324" s="10">
        <f t="shared" si="1574"/>
        <v>3003.1610000000001</v>
      </c>
      <c r="AB2324" s="3">
        <f t="shared" si="1575"/>
        <v>33288.54</v>
      </c>
      <c r="AC2324" s="3" cm="1">
        <f t="array" ref="AC2324">100000000/LvacE(AA2324)</f>
        <v>33288.544557833295</v>
      </c>
      <c r="AD2324" s="10">
        <f t="shared" si="1576"/>
        <v>1.0542251074423465E-2</v>
      </c>
      <c r="AE2324" s="10" t="b">
        <f t="shared" si="1577"/>
        <v>1</v>
      </c>
      <c r="AP2324"/>
      <c r="AQ2324"/>
      <c r="AU2324" s="16" cm="1">
        <f t="array" ref="AU2324">$C2324*EXP(poly_from_str(100000000/$E2324,AU$4342))</f>
        <v>0</v>
      </c>
    </row>
    <row r="2325" spans="1:48" x14ac:dyDescent="0.25">
      <c r="A2325" t="s">
        <v>3054</v>
      </c>
      <c r="B2325" s="2" t="str">
        <f t="shared" si="1573"/>
        <v/>
      </c>
      <c r="C2325">
        <v>0</v>
      </c>
      <c r="E2325" t="s">
        <v>3055</v>
      </c>
      <c r="R2325">
        <v>23</v>
      </c>
      <c r="S2325" t="s">
        <v>22</v>
      </c>
      <c r="AA2325" s="10">
        <f t="shared" si="1574"/>
        <v>3003.1260000000002</v>
      </c>
      <c r="AB2325" s="3">
        <f t="shared" si="1575"/>
        <v>33288.93</v>
      </c>
      <c r="AC2325" s="3" cm="1">
        <f t="array" ref="AC2325">100000000/LvacE(AA2325)</f>
        <v>33288.932503528929</v>
      </c>
      <c r="AD2325" s="10">
        <f t="shared" si="1576"/>
        <v>1.0542380257026999E-2</v>
      </c>
      <c r="AE2325" s="10" t="b">
        <f t="shared" si="1577"/>
        <v>1</v>
      </c>
      <c r="AP2325"/>
      <c r="AQ2325"/>
      <c r="AU2325" s="16" cm="1">
        <f t="array" ref="AU2325">$C2325*EXP(poly_from_str(100000000/$E2325,AU$4342))</f>
        <v>0</v>
      </c>
    </row>
    <row r="2326" spans="1:48" x14ac:dyDescent="0.25">
      <c r="A2326" t="s">
        <v>3056</v>
      </c>
      <c r="B2326" s="2" t="str">
        <f t="shared" si="1573"/>
        <v/>
      </c>
      <c r="C2326">
        <v>10</v>
      </c>
      <c r="D2326" t="s">
        <v>1156</v>
      </c>
      <c r="E2326" t="s">
        <v>3057</v>
      </c>
      <c r="R2326">
        <v>23</v>
      </c>
      <c r="S2326" t="s">
        <v>22</v>
      </c>
      <c r="AA2326" s="10">
        <f t="shared" si="1574"/>
        <v>3002.8449999999998</v>
      </c>
      <c r="AB2326" s="3">
        <f t="shared" si="1575"/>
        <v>33292.050000000003</v>
      </c>
      <c r="AC2326" s="3" cm="1">
        <f t="array" ref="AC2326">100000000/LvacE(AA2326)</f>
        <v>33292.047480998066</v>
      </c>
      <c r="AD2326" s="10">
        <f t="shared" si="1576"/>
        <v>1.0543417572501757E-2</v>
      </c>
      <c r="AE2326" s="10" t="b">
        <f t="shared" si="1577"/>
        <v>1</v>
      </c>
      <c r="AP2326"/>
      <c r="AQ2326"/>
      <c r="AU2326" s="16" cm="1">
        <f t="array" ref="AU2326">$C2326*EXP(poly_from_str(100000000/$E2326,AU$4342))</f>
        <v>18.655794721235647</v>
      </c>
    </row>
    <row r="2327" spans="1:48" x14ac:dyDescent="0.25">
      <c r="A2327" t="s">
        <v>3058</v>
      </c>
      <c r="B2327" s="2" t="str">
        <f t="shared" si="1573"/>
        <v/>
      </c>
      <c r="C2327">
        <v>9</v>
      </c>
      <c r="D2327" t="s">
        <v>14</v>
      </c>
      <c r="E2327" t="s">
        <v>3059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1587">$G2327&amp;""</f>
        <v>e</v>
      </c>
      <c r="N2327" t="str">
        <f t="shared" ref="N2327:N2328" si="1588">$H2327&amp;""</f>
        <v>13/2</v>
      </c>
      <c r="O2327">
        <v>62558.67</v>
      </c>
      <c r="P2327" t="str">
        <f t="shared" ref="P2327:P2328" si="1589">$J2327&amp;""</f>
        <v>o</v>
      </c>
      <c r="Q2327" t="str">
        <f t="shared" ref="Q2327:Q2328" si="1590">$K2327&amp;""</f>
        <v>11/2</v>
      </c>
      <c r="R2327">
        <v>23</v>
      </c>
      <c r="AA2327" s="10">
        <f t="shared" si="1574"/>
        <v>3002.527</v>
      </c>
      <c r="AB2327" s="3">
        <f t="shared" si="1575"/>
        <v>33295.57</v>
      </c>
      <c r="AC2327" s="3" cm="1">
        <f t="array" ref="AC2327">100000000/LvacE(AA2327)</f>
        <v>33295.573318850227</v>
      </c>
      <c r="AD2327" s="10">
        <f t="shared" si="1576"/>
        <v>1.05445918252942E-2</v>
      </c>
      <c r="AE2327" s="10" t="b">
        <f t="shared" si="1577"/>
        <v>1</v>
      </c>
      <c r="AJ2327" t="s">
        <v>4699</v>
      </c>
      <c r="AK2327" t="s">
        <v>4821</v>
      </c>
      <c r="AL2327">
        <v>29263.08</v>
      </c>
      <c r="AM2327">
        <v>62558.67</v>
      </c>
      <c r="AN2327" s="10" cm="1">
        <f t="array" ref="AN2327">Lair(100000000/($AM2327-$AL2327))</f>
        <v>3002.5254908895563</v>
      </c>
      <c r="AO2327" s="10">
        <f t="shared" ref="AO2327:AO2328" si="1591">100000000/($AM2327-$AL2327)</f>
        <v>3003.4007506699841</v>
      </c>
      <c r="AP2327" s="12">
        <v>50000000</v>
      </c>
      <c r="AQ2327" s="3">
        <v>0.128</v>
      </c>
      <c r="AR2327" s="3">
        <f>LN(AU2327*100000000/($AM2327-$AL2327)/AP2327)</f>
        <v>-6.8994734839998477</v>
      </c>
      <c r="AS2327" s="13">
        <f t="shared" ref="AS2327:AS2328" si="1592">EXP(AR$4341*$AM2327+AR$4342)*$AP2327/(100000000/($AM2327-$AL2327))</f>
        <v>13.455972240766867</v>
      </c>
      <c r="AT2327" s="3">
        <f t="shared" ref="AT2327" si="1593">LN(AS2327/$C2327)</f>
        <v>0.40219846292902167</v>
      </c>
      <c r="AU2327" s="16" cm="1">
        <f t="array" ref="AU2327">$C2327*EXP(poly_from_str(100000000/$E2327,AU$4342))</f>
        <v>16.786241124996362</v>
      </c>
      <c r="AV2327" s="13">
        <f>LN(AS2327/AU2327)</f>
        <v>-0.22113652994111987</v>
      </c>
    </row>
    <row r="2328" spans="1:48" x14ac:dyDescent="0.25">
      <c r="A2328" t="s">
        <v>3060</v>
      </c>
      <c r="B2328" s="2" t="str">
        <f t="shared" si="1573"/>
        <v/>
      </c>
      <c r="C2328">
        <v>2</v>
      </c>
      <c r="D2328" t="s">
        <v>14</v>
      </c>
      <c r="E2328" t="s">
        <v>3061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1587"/>
        <v>e</v>
      </c>
      <c r="N2328" t="str">
        <f t="shared" si="1588"/>
        <v>5/2</v>
      </c>
      <c r="O2328">
        <v>71994.81</v>
      </c>
      <c r="P2328" t="str">
        <f t="shared" si="1589"/>
        <v>o</v>
      </c>
      <c r="Q2328" t="str">
        <f t="shared" si="1590"/>
        <v>5/2</v>
      </c>
      <c r="R2328">
        <v>23</v>
      </c>
      <c r="S2328" t="s">
        <v>159</v>
      </c>
      <c r="AA2328" s="10">
        <f t="shared" si="1574"/>
        <v>3002.1060000000002</v>
      </c>
      <c r="AB2328" s="3">
        <f t="shared" si="1575"/>
        <v>33300.239999999998</v>
      </c>
      <c r="AC2328" s="3" cm="1">
        <f t="array" ref="AC2328">100000000/LvacE(AA2328)</f>
        <v>33300.242322321552</v>
      </c>
      <c r="AD2328" s="10">
        <f t="shared" si="1576"/>
        <v>1.0546146991865303E-2</v>
      </c>
      <c r="AE2328" s="10" t="b">
        <f t="shared" si="1577"/>
        <v>1</v>
      </c>
      <c r="AJ2328" t="s">
        <v>4794</v>
      </c>
      <c r="AK2328" t="s">
        <v>4900</v>
      </c>
      <c r="AL2328">
        <v>38694.51</v>
      </c>
      <c r="AM2328">
        <v>71994.81</v>
      </c>
      <c r="AN2328" s="10" cm="1">
        <f t="array" ref="AN2328">Lair(100000000/($AM2328-$AL2328))</f>
        <v>3002.1007952186992</v>
      </c>
      <c r="AO2328" s="10">
        <f t="shared" si="1591"/>
        <v>3002.9759491656237</v>
      </c>
      <c r="AP2328" s="12">
        <v>1690000</v>
      </c>
      <c r="AQ2328" s="3">
        <v>0.01</v>
      </c>
      <c r="AR2328" s="3"/>
      <c r="AS2328" s="13">
        <f t="shared" si="1592"/>
        <v>0.22405096764784163</v>
      </c>
      <c r="AT2328" s="3"/>
      <c r="AU2328" s="16" cm="1">
        <f t="array" ref="AU2328">$C2328*EXP(poly_from_str(100000000/$E2328,AU$4342))</f>
        <v>3.7290953599178764</v>
      </c>
    </row>
    <row r="2329" spans="1:48" x14ac:dyDescent="0.25">
      <c r="A2329" t="s">
        <v>3062</v>
      </c>
      <c r="B2329" s="2" t="str">
        <f t="shared" si="1573"/>
        <v/>
      </c>
      <c r="C2329">
        <v>1</v>
      </c>
      <c r="E2329" t="s">
        <v>3063</v>
      </c>
      <c r="R2329">
        <v>23</v>
      </c>
      <c r="S2329" t="s">
        <v>22</v>
      </c>
      <c r="AA2329" s="10">
        <f t="shared" si="1574"/>
        <v>3001.8939999999998</v>
      </c>
      <c r="AB2329" s="3">
        <f t="shared" si="1575"/>
        <v>33302.589999999997</v>
      </c>
      <c r="AC2329" s="3" cm="1">
        <f t="array" ref="AC2329">100000000/LvacE(AA2329)</f>
        <v>33302.593955201679</v>
      </c>
      <c r="AD2329" s="10">
        <f t="shared" si="1576"/>
        <v>1.0546930363830581E-2</v>
      </c>
      <c r="AE2329" s="10" t="b">
        <f t="shared" si="1577"/>
        <v>1</v>
      </c>
      <c r="AP2329"/>
      <c r="AQ2329"/>
      <c r="AU2329" s="16" cm="1">
        <f t="array" ref="AU2329">$C2329*EXP(poly_from_str(100000000/$E2329,AU$4342))</f>
        <v>1.8642487806072456</v>
      </c>
    </row>
    <row r="2330" spans="1:48" x14ac:dyDescent="0.25">
      <c r="A2330" t="s">
        <v>3064</v>
      </c>
      <c r="B2330" s="2" t="str">
        <f t="shared" si="1573"/>
        <v/>
      </c>
      <c r="C2330">
        <v>20</v>
      </c>
      <c r="D2330" t="s">
        <v>14</v>
      </c>
      <c r="E2330" t="s">
        <v>3065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1594">$G2330&amp;""</f>
        <v>e</v>
      </c>
      <c r="N2330" t="str">
        <f t="shared" ref="N2330:N2332" si="1595">$H2330&amp;""</f>
        <v>7/2</v>
      </c>
      <c r="O2330">
        <v>68331.73</v>
      </c>
      <c r="P2330" t="str">
        <f t="shared" ref="P2330:P2332" si="1596">$J2330&amp;""</f>
        <v>o</v>
      </c>
      <c r="Q2330" t="str">
        <f t="shared" ref="Q2330:Q2332" si="1597">$K2330&amp;""</f>
        <v>7/2</v>
      </c>
      <c r="R2330">
        <v>23</v>
      </c>
      <c r="S2330" t="s">
        <v>159</v>
      </c>
      <c r="AA2330" s="10">
        <f t="shared" si="1574"/>
        <v>3001.4780000000001</v>
      </c>
      <c r="AB2330" s="3">
        <f t="shared" si="1575"/>
        <v>33307.21</v>
      </c>
      <c r="AC2330" s="3" cm="1">
        <f t="array" ref="AC2330">100000000/LvacE(AA2330)</f>
        <v>33307.209445525106</v>
      </c>
      <c r="AD2330" s="10">
        <f t="shared" si="1576"/>
        <v>1.0548468029005227E-2</v>
      </c>
      <c r="AE2330" s="10" t="b">
        <f t="shared" si="1577"/>
        <v>1</v>
      </c>
      <c r="AJ2330" t="s">
        <v>4770</v>
      </c>
      <c r="AK2330" t="s">
        <v>4923</v>
      </c>
      <c r="AL2330">
        <v>35024.49</v>
      </c>
      <c r="AM2330">
        <v>68331.75</v>
      </c>
      <c r="AN2330" s="10" cm="1">
        <f t="array" ref="AN2330">Lair(100000000/($AM2330-$AL2330))</f>
        <v>3001.4734393295744</v>
      </c>
      <c r="AO2330" s="10">
        <f t="shared" ref="AO2330:AO2332" si="1598">100000000/($AM2330-$AL2330)</f>
        <v>3002.3484369473799</v>
      </c>
      <c r="AP2330" s="12">
        <v>19600000</v>
      </c>
      <c r="AQ2330" s="3">
        <v>2.8000000000000001E-2</v>
      </c>
      <c r="AR2330" s="3"/>
      <c r="AS2330" s="13">
        <f t="shared" ref="AS2330:AS2332" si="1599">EXP(AR$4341*$AM2330+AR$4342)*$AP2330/(100000000/($AM2330-$AL2330))</f>
        <v>3.4213290543988473</v>
      </c>
      <c r="AT2330" s="3"/>
      <c r="AU2330" s="16" cm="1">
        <f t="array" ref="AU2330">$C2330*EXP(poly_from_str(100000000/$E2330,AU$4342))</f>
        <v>37.273149349447657</v>
      </c>
    </row>
    <row r="2331" spans="1:48" x14ac:dyDescent="0.25">
      <c r="A2331" t="s">
        <v>3066</v>
      </c>
      <c r="B2331" s="2" t="str">
        <f t="shared" si="1573"/>
        <v/>
      </c>
      <c r="C2331">
        <v>4</v>
      </c>
      <c r="E2331" t="s">
        <v>3067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1594"/>
        <v>e</v>
      </c>
      <c r="N2331" t="str">
        <f t="shared" si="1595"/>
        <v>9/2</v>
      </c>
      <c r="O2331">
        <v>69138.28</v>
      </c>
      <c r="P2331" t="str">
        <f t="shared" si="1596"/>
        <v>o</v>
      </c>
      <c r="Q2331" t="str">
        <f t="shared" si="1597"/>
        <v>9/2</v>
      </c>
      <c r="R2331">
        <v>23</v>
      </c>
      <c r="S2331" t="s">
        <v>159</v>
      </c>
      <c r="AA2331" s="10">
        <f t="shared" si="1574"/>
        <v>3001.2449999999999</v>
      </c>
      <c r="AB2331" s="3">
        <f t="shared" si="1575"/>
        <v>33309.79</v>
      </c>
      <c r="AC2331" s="3" cm="1">
        <f t="array" ref="AC2331">100000000/LvacE(AA2331)</f>
        <v>33309.795122877178</v>
      </c>
      <c r="AD2331" s="10">
        <f t="shared" si="1576"/>
        <v>1.0549329548716811E-2</v>
      </c>
      <c r="AE2331" s="10" t="b">
        <f t="shared" si="1577"/>
        <v>1</v>
      </c>
      <c r="AJ2331" t="s">
        <v>4773</v>
      </c>
      <c r="AK2331" t="s">
        <v>4879</v>
      </c>
      <c r="AL2331">
        <v>35828.46</v>
      </c>
      <c r="AM2331">
        <v>69138.28</v>
      </c>
      <c r="AN2331" s="10" cm="1">
        <f t="array" ref="AN2331">Lair(100000000/($AM2331-$AL2331))</f>
        <v>3001.2427536852488</v>
      </c>
      <c r="AO2331" s="10">
        <f t="shared" si="1598"/>
        <v>3002.1176938212216</v>
      </c>
      <c r="AP2331" s="12">
        <v>17400000</v>
      </c>
      <c r="AQ2331" s="3">
        <v>2.1999999999999999E-2</v>
      </c>
      <c r="AR2331" s="3"/>
      <c r="AS2331" s="13">
        <f t="shared" si="1599"/>
        <v>2.8591349724096542</v>
      </c>
      <c r="AT2331" s="3"/>
      <c r="AU2331" s="16" cm="1">
        <f t="array" ref="AU2331">$C2331*EXP(poly_from_str(100000000/$E2331,AU$4342))</f>
        <v>7.4533005075853085</v>
      </c>
    </row>
    <row r="2332" spans="1:48" x14ac:dyDescent="0.25">
      <c r="A2332" t="s">
        <v>3068</v>
      </c>
      <c r="B2332" s="2" t="str">
        <f t="shared" si="1573"/>
        <v/>
      </c>
      <c r="C2332">
        <v>6</v>
      </c>
      <c r="D2332" t="s">
        <v>14</v>
      </c>
      <c r="E2332" t="s">
        <v>3069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1594"/>
        <v>e</v>
      </c>
      <c r="N2332" t="str">
        <f t="shared" si="1595"/>
        <v>11/2</v>
      </c>
      <c r="O2332">
        <v>63816.91</v>
      </c>
      <c r="P2332" t="str">
        <f t="shared" si="1596"/>
        <v>o</v>
      </c>
      <c r="Q2332" t="str">
        <f t="shared" si="1597"/>
        <v>11/2</v>
      </c>
      <c r="R2332">
        <v>23</v>
      </c>
      <c r="S2332" t="s">
        <v>159</v>
      </c>
      <c r="AA2332" s="10">
        <f t="shared" si="1574"/>
        <v>3001.1210000000001</v>
      </c>
      <c r="AB2332" s="3">
        <f t="shared" si="1575"/>
        <v>33311.17</v>
      </c>
      <c r="AC2332" s="3" cm="1">
        <f t="array" ref="AC2332">100000000/LvacE(AA2332)</f>
        <v>33311.171355189748</v>
      </c>
      <c r="AD2332" s="10">
        <f t="shared" si="1576"/>
        <v>1.0549788121703482E-2</v>
      </c>
      <c r="AE2332" s="10" t="b">
        <f t="shared" si="1577"/>
        <v>1</v>
      </c>
      <c r="AJ2332" t="s">
        <v>4706</v>
      </c>
      <c r="AK2332" t="s">
        <v>4928</v>
      </c>
      <c r="AL2332">
        <v>30505.72</v>
      </c>
      <c r="AM2332">
        <v>63816.91</v>
      </c>
      <c r="AN2332" s="10" cm="1">
        <f t="array" ref="AN2332">Lair(100000000/($AM2332-$AL2332))</f>
        <v>3001.1193153852064</v>
      </c>
      <c r="AO2332" s="10">
        <f t="shared" si="1598"/>
        <v>3001.9942247635104</v>
      </c>
      <c r="AP2332" s="12">
        <v>149000000</v>
      </c>
      <c r="AQ2332" s="3">
        <v>0.36399999999999999</v>
      </c>
      <c r="AR2332" s="3">
        <f>LN(AU2332*100000000/($AM2332-$AL2332)/AP2332)</f>
        <v>-8.3983984533373253</v>
      </c>
      <c r="AS2332" s="13">
        <f t="shared" si="1599"/>
        <v>36.502761907244</v>
      </c>
      <c r="AT2332" s="3">
        <f t="shared" ref="AT2332" si="1600">LN(AS2332/$C2332)</f>
        <v>1.8056284571892762</v>
      </c>
      <c r="AU2332" s="16" cm="1">
        <f t="array" ref="AU2332">$C2332*EXP(poly_from_str(100000000/$E2332,AU$4342))</f>
        <v>11.178880428814185</v>
      </c>
      <c r="AV2332" s="13">
        <f>LN(AS2332/AU2332)</f>
        <v>1.1833616042401802</v>
      </c>
    </row>
    <row r="2333" spans="1:48" x14ac:dyDescent="0.25">
      <c r="A2333" t="s">
        <v>3070</v>
      </c>
      <c r="B2333" s="2" t="str">
        <f t="shared" si="1573"/>
        <v/>
      </c>
      <c r="C2333">
        <v>4</v>
      </c>
      <c r="E2333" t="s">
        <v>3071</v>
      </c>
      <c r="R2333">
        <v>23</v>
      </c>
      <c r="S2333" t="s">
        <v>22</v>
      </c>
      <c r="AA2333" s="10">
        <f t="shared" si="1574"/>
        <v>3000.877</v>
      </c>
      <c r="AB2333" s="3">
        <f t="shared" si="1575"/>
        <v>33313.879999999997</v>
      </c>
      <c r="AC2333" s="3" cm="1">
        <f t="array" ref="AC2333">100000000/LvacE(AA2333)</f>
        <v>33313.879757292358</v>
      </c>
      <c r="AD2333" s="10">
        <f t="shared" si="1576"/>
        <v>1.055069064098468E-2</v>
      </c>
      <c r="AE2333" s="10" t="b">
        <f t="shared" si="1577"/>
        <v>1</v>
      </c>
      <c r="AP2333"/>
      <c r="AQ2333"/>
      <c r="AU2333" s="16" cm="1">
        <f t="array" ref="AU2333">$C2333*EXP(poly_from_str(100000000/$E2333,AU$4342))</f>
        <v>7.4511806266482434</v>
      </c>
    </row>
    <row r="2334" spans="1:48" x14ac:dyDescent="0.25">
      <c r="A2334" t="s">
        <v>3072</v>
      </c>
      <c r="B2334" s="2" t="str">
        <f t="shared" si="1573"/>
        <v/>
      </c>
      <c r="C2334">
        <v>0</v>
      </c>
      <c r="E2334" t="s">
        <v>3073</v>
      </c>
      <c r="R2334">
        <v>23</v>
      </c>
      <c r="S2334" t="s">
        <v>22</v>
      </c>
      <c r="AA2334" s="10">
        <f t="shared" si="1574"/>
        <v>3000.4940000000001</v>
      </c>
      <c r="AB2334" s="3">
        <f t="shared" si="1575"/>
        <v>33318.129999999997</v>
      </c>
      <c r="AC2334" s="3" cm="1">
        <f t="array" ref="AC2334">100000000/LvacE(AA2334)</f>
        <v>33318.131948902897</v>
      </c>
      <c r="AD2334" s="10">
        <f t="shared" si="1576"/>
        <v>1.0552107744408571E-2</v>
      </c>
      <c r="AE2334" s="10" t="b">
        <f t="shared" si="1577"/>
        <v>1</v>
      </c>
      <c r="AP2334"/>
      <c r="AQ2334"/>
      <c r="AU2334" s="16" cm="1">
        <f t="array" ref="AU2334">$C2334*EXP(poly_from_str(100000000/$E2334,AU$4342))</f>
        <v>0</v>
      </c>
    </row>
    <row r="2335" spans="1:48" x14ac:dyDescent="0.25">
      <c r="A2335" t="s">
        <v>3074</v>
      </c>
      <c r="B2335" s="2" t="str">
        <f t="shared" si="1573"/>
        <v/>
      </c>
      <c r="C2335">
        <v>150</v>
      </c>
      <c r="D2335" t="s">
        <v>170</v>
      </c>
      <c r="E2335" t="s">
        <v>3075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1574"/>
        <v>3000.46</v>
      </c>
      <c r="AB2335" s="3">
        <f t="shared" si="1575"/>
        <v>33318.51</v>
      </c>
      <c r="AC2335" s="3" cm="1">
        <f t="array" ref="AC2335">100000000/LvacE(AA2335)</f>
        <v>33318.509480511362</v>
      </c>
      <c r="AD2335" s="10">
        <f t="shared" si="1576"/>
        <v>1.0552233570937684E-2</v>
      </c>
      <c r="AE2335" s="10" t="b">
        <f t="shared" si="1577"/>
        <v>1</v>
      </c>
      <c r="AJ2335" t="s">
        <v>4975</v>
      </c>
      <c r="AK2335" t="s">
        <v>4880</v>
      </c>
      <c r="AL2335">
        <v>28399.43</v>
      </c>
      <c r="AM2335">
        <v>61717.98</v>
      </c>
      <c r="AN2335" s="10" cm="1">
        <f t="array" ref="AN2335">Lair(100000000/($AM2335-$AL2335))</f>
        <v>3000.456346149711</v>
      </c>
      <c r="AO2335" s="10">
        <f>100000000/($AM2335-$AL2335)</f>
        <v>3001.331090338565</v>
      </c>
      <c r="AP2335" s="12">
        <v>1210000000</v>
      </c>
      <c r="AQ2335" s="3">
        <v>0.77100000000000002</v>
      </c>
      <c r="AR2335" s="3">
        <f>LN(AU2335*100000000/($AM2335-$AL2335)/AP2335)</f>
        <v>-7.2746861989555027</v>
      </c>
      <c r="AS2335" s="13">
        <f>EXP(AR$4341*$AM2335+AR$4342)*$AP2335/(100000000/($AM2335-$AL2335))</f>
        <v>347.08026941402903</v>
      </c>
      <c r="AT2335" s="3">
        <f>LN(AS2335/$C2335)</f>
        <v>0.83892078305907947</v>
      </c>
      <c r="AU2335" s="16" cm="1">
        <f t="array" ref="AU2335">$C2335*EXP(poly_from_str(100000000/$E2335,AU$4342))</f>
        <v>279.32859022659818</v>
      </c>
      <c r="AV2335" s="13">
        <f>LN(AS2335/AU2335)</f>
        <v>0.21716724558123596</v>
      </c>
    </row>
    <row r="2336" spans="1:48" x14ac:dyDescent="0.25">
      <c r="A2336" t="s">
        <v>3076</v>
      </c>
      <c r="B2336" s="2" t="str">
        <f t="shared" si="1573"/>
        <v/>
      </c>
      <c r="C2336">
        <v>0</v>
      </c>
      <c r="E2336" t="s">
        <v>3077</v>
      </c>
      <c r="R2336">
        <v>23</v>
      </c>
      <c r="S2336" t="s">
        <v>22</v>
      </c>
      <c r="AA2336" s="10">
        <f t="shared" si="1574"/>
        <v>2998.8159999999998</v>
      </c>
      <c r="AB2336" s="3">
        <f t="shared" si="1575"/>
        <v>33336.769999999997</v>
      </c>
      <c r="AC2336" s="3" cm="1">
        <f t="array" ref="AC2336">100000000/LvacE(AA2336)</f>
        <v>33336.774457937609</v>
      </c>
      <c r="AD2336" s="10">
        <f t="shared" si="1576"/>
        <v>1.0558322761039293E-2</v>
      </c>
      <c r="AE2336" s="10" t="b">
        <f t="shared" si="1577"/>
        <v>1</v>
      </c>
      <c r="AP2336"/>
      <c r="AQ2336"/>
      <c r="AU2336" s="16" cm="1">
        <f t="array" ref="AU2336">$C2336*EXP(poly_from_str(100000000/$E2336,AU$4342))</f>
        <v>0</v>
      </c>
    </row>
    <row r="2337" spans="1:48" x14ac:dyDescent="0.25">
      <c r="A2337" t="s">
        <v>3078</v>
      </c>
      <c r="B2337" s="2" t="str">
        <f t="shared" si="1573"/>
        <v/>
      </c>
      <c r="C2337">
        <v>70</v>
      </c>
      <c r="D2337" t="s">
        <v>170</v>
      </c>
      <c r="E2337" t="s">
        <v>3079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1601">$G2337&amp;""</f>
        <v>e</v>
      </c>
      <c r="N2337" t="str">
        <f t="shared" ref="N2337:N2340" si="1602">$H2337&amp;""</f>
        <v>7/2</v>
      </c>
      <c r="O2337">
        <v>69138.28</v>
      </c>
      <c r="P2337" t="str">
        <f t="shared" ref="P2337:P2340" si="1603">$J2337&amp;""</f>
        <v>o</v>
      </c>
      <c r="Q2337" t="str">
        <f t="shared" ref="Q2337:Q2340" si="1604">$K2337&amp;""</f>
        <v>9/2</v>
      </c>
      <c r="R2337">
        <v>23</v>
      </c>
      <c r="S2337" t="s">
        <v>159</v>
      </c>
      <c r="AA2337" s="10">
        <f t="shared" si="1574"/>
        <v>2998.7910000000002</v>
      </c>
      <c r="AB2337" s="3">
        <f t="shared" si="1575"/>
        <v>33337.050000000003</v>
      </c>
      <c r="AC2337" s="3" cm="1">
        <f t="array" ref="AC2337">100000000/LvacE(AA2337)</f>
        <v>33337.052364600961</v>
      </c>
      <c r="AD2337" s="10">
        <f t="shared" si="1576"/>
        <v>1.0558415435520675E-2</v>
      </c>
      <c r="AE2337" s="10" t="b">
        <f t="shared" si="1577"/>
        <v>1</v>
      </c>
      <c r="AJ2337" t="s">
        <v>4810</v>
      </c>
      <c r="AK2337" t="s">
        <v>4879</v>
      </c>
      <c r="AL2337">
        <v>35801.120000000003</v>
      </c>
      <c r="AM2337">
        <v>69138.28</v>
      </c>
      <c r="AN2337" s="10" cm="1">
        <f t="array" ref="AN2337">Lair(100000000/($AM2337-$AL2337))</f>
        <v>2998.7813126636306</v>
      </c>
      <c r="AO2337" s="10">
        <f t="shared" ref="AO2337:AO2340" si="1605">100000000/($AM2337-$AL2337)</f>
        <v>2999.655639532582</v>
      </c>
      <c r="AP2337" s="12">
        <v>892000000</v>
      </c>
      <c r="AQ2337" s="3">
        <v>0.749</v>
      </c>
      <c r="AR2337" s="3">
        <f t="shared" ref="AR2337:AR2338" si="1606">LN(AU2337*100000000/($AM2337-$AL2337)/AP2337)</f>
        <v>-7.7338023042945672</v>
      </c>
      <c r="AS2337" s="13">
        <f t="shared" ref="AS2337:AS2340" si="1607">EXP(AR$4341*$AM2337+AR$4342)*$AP2337/(100000000/($AM2337-$AL2337))</f>
        <v>146.6920498699784</v>
      </c>
      <c r="AT2337" s="3">
        <f t="shared" ref="AT2337:AT2340" si="1608">LN(AS2337/$C2337)</f>
        <v>0.73984024851572872</v>
      </c>
      <c r="AU2337" s="16" cm="1">
        <f t="array" ref="AU2337">$C2337*EXP(poly_from_str(100000000/$E2337,AU$4342))</f>
        <v>130.18045613410266</v>
      </c>
      <c r="AV2337" s="13">
        <f t="shared" ref="AV2337:AV2338" si="1609">LN(AS2337/AU2337)</f>
        <v>0.11941387855463409</v>
      </c>
    </row>
    <row r="2338" spans="1:48" x14ac:dyDescent="0.25">
      <c r="A2338" t="s">
        <v>3080</v>
      </c>
      <c r="B2338" s="2" t="str">
        <f t="shared" si="1573"/>
        <v/>
      </c>
      <c r="C2338">
        <v>9</v>
      </c>
      <c r="E2338" t="s">
        <v>3081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1601"/>
        <v>e</v>
      </c>
      <c r="N2338" t="str">
        <f t="shared" si="1602"/>
        <v>9/2</v>
      </c>
      <c r="O2338">
        <v>62062.63</v>
      </c>
      <c r="P2338" t="str">
        <f t="shared" si="1603"/>
        <v>o</v>
      </c>
      <c r="Q2338" t="str">
        <f t="shared" si="1604"/>
        <v>9/2</v>
      </c>
      <c r="R2338">
        <v>23</v>
      </c>
      <c r="S2338" t="s">
        <v>159</v>
      </c>
      <c r="AA2338" s="10">
        <f t="shared" si="1574"/>
        <v>2998.3539999999998</v>
      </c>
      <c r="AB2338" s="3">
        <f t="shared" si="1575"/>
        <v>33341.910000000003</v>
      </c>
      <c r="AC2338" s="3" cm="1">
        <f t="array" ref="AC2338">100000000/LvacE(AA2338)</f>
        <v>33341.910921534043</v>
      </c>
      <c r="AD2338" s="10">
        <f t="shared" si="1576"/>
        <v>1.0560035759875925E-2</v>
      </c>
      <c r="AE2338" s="10" t="b">
        <f t="shared" si="1577"/>
        <v>1</v>
      </c>
      <c r="AJ2338" t="s">
        <v>4708</v>
      </c>
      <c r="AK2338" t="s">
        <v>4848</v>
      </c>
      <c r="AL2338">
        <v>28720.71</v>
      </c>
      <c r="AM2338">
        <v>62062.63</v>
      </c>
      <c r="AN2338" s="10" cm="1">
        <f t="array" ref="AN2338">Lair(100000000/($AM2338-$AL2338))</f>
        <v>2998.3531788092696</v>
      </c>
      <c r="AO2338" s="10">
        <f t="shared" si="1605"/>
        <v>2999.2273990220119</v>
      </c>
      <c r="AP2338" s="12">
        <v>117000000</v>
      </c>
      <c r="AQ2338" s="3">
        <v>0.155</v>
      </c>
      <c r="AR2338" s="3">
        <f t="shared" si="1606"/>
        <v>-7.7542786902412972</v>
      </c>
      <c r="AS2338" s="13">
        <f t="shared" si="1607"/>
        <v>32.726680831052214</v>
      </c>
      <c r="AT2338" s="3">
        <f t="shared" si="1608"/>
        <v>1.2909660954341682</v>
      </c>
      <c r="AU2338" s="16" cm="1">
        <f t="array" ref="AU2338">$C2338*EXP(poly_from_str(100000000/$E2338,AU$4342))</f>
        <v>16.731544027712598</v>
      </c>
      <c r="AV2338" s="13">
        <f t="shared" si="1609"/>
        <v>0.67089487107308443</v>
      </c>
    </row>
    <row r="2339" spans="1:48" x14ac:dyDescent="0.25">
      <c r="A2339" t="s">
        <v>3082</v>
      </c>
      <c r="B2339" s="2" t="str">
        <f t="shared" si="1573"/>
        <v/>
      </c>
      <c r="C2339">
        <v>7</v>
      </c>
      <c r="E2339" t="s">
        <v>3083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1601"/>
        <v>e</v>
      </c>
      <c r="N2339" t="str">
        <f t="shared" si="1602"/>
        <v>7/2</v>
      </c>
      <c r="O2339">
        <v>68374.539999999994</v>
      </c>
      <c r="P2339" t="str">
        <f t="shared" si="1603"/>
        <v>o</v>
      </c>
      <c r="Q2339" t="str">
        <f t="shared" si="1604"/>
        <v>9/2</v>
      </c>
      <c r="R2339">
        <v>23</v>
      </c>
      <c r="S2339" t="s">
        <v>159</v>
      </c>
      <c r="AA2339" s="10">
        <f t="shared" si="1574"/>
        <v>2997.6210000000001</v>
      </c>
      <c r="AB2339" s="3">
        <f t="shared" si="1575"/>
        <v>33350.06</v>
      </c>
      <c r="AC2339" s="3" cm="1">
        <f t="array" ref="AC2339">100000000/LvacE(AA2339)</f>
        <v>33350.063580907976</v>
      </c>
      <c r="AD2339" s="10">
        <f t="shared" si="1576"/>
        <v>1.0562755195020982E-2</v>
      </c>
      <c r="AE2339" s="10" t="b">
        <f t="shared" si="1577"/>
        <v>1</v>
      </c>
      <c r="AJ2339" t="s">
        <v>4770</v>
      </c>
      <c r="AK2339" t="s">
        <v>4739</v>
      </c>
      <c r="AL2339">
        <v>35024.49</v>
      </c>
      <c r="AM2339">
        <v>68374.539999999994</v>
      </c>
      <c r="AN2339" s="10" cm="1">
        <f t="array" ref="AN2339">Lair(100000000/($AM2339-$AL2339))</f>
        <v>2997.6222160033867</v>
      </c>
      <c r="AO2339" s="10">
        <f t="shared" si="1605"/>
        <v>2998.4962541285549</v>
      </c>
      <c r="AP2339" s="12">
        <v>10500000</v>
      </c>
      <c r="AQ2339" s="3">
        <v>2.8000000000000001E-2</v>
      </c>
      <c r="AR2339" s="3"/>
      <c r="AS2339" s="13">
        <f t="shared" si="1607"/>
        <v>1.8293256623449305</v>
      </c>
      <c r="AT2339" s="3"/>
      <c r="AU2339" s="16" cm="1">
        <f t="array" ref="AU2339">$C2339*EXP(poly_from_str(100000000/$E2339,AU$4342))</f>
        <v>13.005587286905305</v>
      </c>
    </row>
    <row r="2340" spans="1:48" x14ac:dyDescent="0.25">
      <c r="A2340" t="s">
        <v>3084</v>
      </c>
      <c r="B2340" s="2" t="str">
        <f t="shared" si="1573"/>
        <v/>
      </c>
      <c r="C2340">
        <v>150</v>
      </c>
      <c r="D2340" t="s">
        <v>134</v>
      </c>
      <c r="E2340" t="s">
        <v>3085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1601"/>
        <v>e</v>
      </c>
      <c r="N2340" t="str">
        <f t="shared" si="1602"/>
        <v>9/2</v>
      </c>
      <c r="O2340">
        <v>62240.83</v>
      </c>
      <c r="P2340" t="str">
        <f t="shared" si="1603"/>
        <v>o</v>
      </c>
      <c r="Q2340" t="str">
        <f t="shared" si="1604"/>
        <v>11/2</v>
      </c>
      <c r="R2340">
        <v>23</v>
      </c>
      <c r="S2340" t="s">
        <v>159</v>
      </c>
      <c r="AA2340" s="10">
        <f t="shared" si="1574"/>
        <v>2997.116</v>
      </c>
      <c r="AB2340" s="3">
        <f t="shared" si="1575"/>
        <v>33355.68</v>
      </c>
      <c r="AC2340" s="3" cm="1">
        <f t="array" ref="AC2340">100000000/LvacE(AA2340)</f>
        <v>33355.682671602481</v>
      </c>
      <c r="AD2340" s="10">
        <f t="shared" si="1576"/>
        <v>1.0564629909486733E-2</v>
      </c>
      <c r="AE2340" s="10" t="b">
        <f t="shared" si="1577"/>
        <v>1</v>
      </c>
      <c r="AJ2340" t="s">
        <v>4742</v>
      </c>
      <c r="AK2340" t="s">
        <v>4892</v>
      </c>
      <c r="AL2340">
        <v>28885.14</v>
      </c>
      <c r="AM2340">
        <v>62240.83</v>
      </c>
      <c r="AN2340" s="10" cm="1">
        <f t="array" ref="AN2340">Lair(100000000/($AM2340-$AL2340))</f>
        <v>2997.1153367460029</v>
      </c>
      <c r="AO2340" s="10">
        <f t="shared" si="1605"/>
        <v>2997.9892486109566</v>
      </c>
      <c r="AP2340" s="12">
        <v>930000000</v>
      </c>
      <c r="AQ2340" s="3">
        <v>0.64700000000000002</v>
      </c>
      <c r="AR2340" s="3">
        <f>LN(AU2340*100000000/($AM2340-$AL2340)/AP2340)</f>
        <v>-7.0153141181956382</v>
      </c>
      <c r="AS2340" s="13">
        <f t="shared" si="1607"/>
        <v>256.78544705492027</v>
      </c>
      <c r="AT2340" s="3">
        <f t="shared" si="1608"/>
        <v>0.53760560576684191</v>
      </c>
      <c r="AU2340" s="16" cm="1">
        <f t="array" ref="AU2340">$C2340*EXP(poly_from_str(100000000/$E2340,AU$4342))</f>
        <v>278.57405577549508</v>
      </c>
      <c r="AV2340" s="13">
        <f>LN(AS2340/AU2340)</f>
        <v>-8.1443033583866731E-2</v>
      </c>
    </row>
    <row r="2341" spans="1:48" x14ac:dyDescent="0.25">
      <c r="A2341" t="s">
        <v>3086</v>
      </c>
      <c r="B2341" s="2" t="str">
        <f t="shared" si="1573"/>
        <v/>
      </c>
      <c r="C2341">
        <v>0</v>
      </c>
      <c r="E2341" t="s">
        <v>3087</v>
      </c>
      <c r="R2341">
        <v>23</v>
      </c>
      <c r="S2341" t="s">
        <v>22</v>
      </c>
      <c r="AA2341" s="10">
        <f t="shared" si="1574"/>
        <v>2997.0880000000002</v>
      </c>
      <c r="AB2341" s="3">
        <f t="shared" si="1575"/>
        <v>33355.99</v>
      </c>
      <c r="AC2341" s="3" cm="1">
        <f t="array" ref="AC2341">100000000/LvacE(AA2341)</f>
        <v>33355.994280548264</v>
      </c>
      <c r="AD2341" s="10">
        <f t="shared" si="1576"/>
        <v>1.0564733881779292E-2</v>
      </c>
      <c r="AE2341" s="10" t="b">
        <f t="shared" si="1577"/>
        <v>1</v>
      </c>
      <c r="AP2341"/>
      <c r="AQ2341"/>
      <c r="AU2341" s="16" cm="1">
        <f t="array" ref="AU2341">$C2341*EXP(poly_from_str(100000000/$E2341,AU$4342))</f>
        <v>0</v>
      </c>
    </row>
    <row r="2342" spans="1:48" x14ac:dyDescent="0.25">
      <c r="A2342" t="s">
        <v>3088</v>
      </c>
      <c r="B2342" s="2" t="str">
        <f t="shared" si="1573"/>
        <v/>
      </c>
      <c r="C2342">
        <v>0</v>
      </c>
      <c r="E2342" t="s">
        <v>3089</v>
      </c>
      <c r="R2342">
        <v>23</v>
      </c>
      <c r="S2342" t="s">
        <v>22</v>
      </c>
      <c r="AA2342" s="10">
        <f t="shared" si="1574"/>
        <v>2997.067</v>
      </c>
      <c r="AB2342" s="3">
        <f t="shared" si="1575"/>
        <v>33356.230000000003</v>
      </c>
      <c r="AC2342" s="3" cm="1">
        <f t="array" ref="AC2342">100000000/LvacE(AA2342)</f>
        <v>33356.227991078267</v>
      </c>
      <c r="AD2342" s="10">
        <f t="shared" si="1576"/>
        <v>1.0564811862911017E-2</v>
      </c>
      <c r="AE2342" s="10" t="b">
        <f t="shared" si="1577"/>
        <v>1</v>
      </c>
      <c r="AP2342"/>
      <c r="AQ2342"/>
      <c r="AU2342" s="16" cm="1">
        <f t="array" ref="AU2342">$C2342*EXP(poly_from_str(100000000/$E2342,AU$4342))</f>
        <v>0</v>
      </c>
    </row>
    <row r="2343" spans="1:48" x14ac:dyDescent="0.25">
      <c r="A2343" t="s">
        <v>3090</v>
      </c>
      <c r="B2343" s="2" t="str">
        <f t="shared" si="1573"/>
        <v/>
      </c>
      <c r="C2343">
        <v>1</v>
      </c>
      <c r="E2343" t="s">
        <v>3091</v>
      </c>
      <c r="R2343">
        <v>23</v>
      </c>
      <c r="S2343" t="s">
        <v>22</v>
      </c>
      <c r="AA2343" s="10">
        <f t="shared" si="1574"/>
        <v>2996.0529999999999</v>
      </c>
      <c r="AB2343" s="3">
        <f t="shared" si="1575"/>
        <v>33367.519999999997</v>
      </c>
      <c r="AC2343" s="3" cm="1">
        <f t="array" ref="AC2343">100000000/LvacE(AA2343)</f>
        <v>33367.516769077462</v>
      </c>
      <c r="AD2343" s="10">
        <f t="shared" si="1576"/>
        <v>1.0568579188865728E-2</v>
      </c>
      <c r="AE2343" s="10" t="b">
        <f t="shared" si="1577"/>
        <v>1</v>
      </c>
      <c r="AP2343"/>
      <c r="AQ2343"/>
      <c r="AU2343" s="16" cm="1">
        <f t="array" ref="AU2343">$C2343*EXP(poly_from_str(100000000/$E2343,AU$4342))</f>
        <v>1.8554923446963634</v>
      </c>
    </row>
    <row r="2344" spans="1:48" x14ac:dyDescent="0.25">
      <c r="A2344" t="s">
        <v>3092</v>
      </c>
      <c r="B2344" s="2" t="str">
        <f t="shared" si="1573"/>
        <v/>
      </c>
      <c r="C2344">
        <v>3</v>
      </c>
      <c r="E2344" t="s">
        <v>3093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1574"/>
        <v>2995.8270000000002</v>
      </c>
      <c r="AB2344" s="3">
        <f t="shared" si="1575"/>
        <v>33370.03</v>
      </c>
      <c r="AC2344" s="3" cm="1">
        <f t="array" ref="AC2344">100000000/LvacE(AA2344)</f>
        <v>33370.033849689215</v>
      </c>
      <c r="AD2344" s="10">
        <f t="shared" si="1576"/>
        <v>1.0569419370626077E-2</v>
      </c>
      <c r="AE2344" s="10" t="b">
        <f t="shared" si="1577"/>
        <v>1</v>
      </c>
      <c r="AJ2344" t="s">
        <v>4705</v>
      </c>
      <c r="AK2344" t="s">
        <v>4902</v>
      </c>
      <c r="AL2344">
        <v>24788.02</v>
      </c>
      <c r="AM2344">
        <v>58158.080000000002</v>
      </c>
      <c r="AN2344" s="10" cm="1">
        <f t="array" ref="AN2344">Lair(100000000/($AM2344-$AL2344))</f>
        <v>2995.8246474937773</v>
      </c>
      <c r="AO2344" s="10">
        <f>100000000/($AM2344-$AL2344)</f>
        <v>2996.6982378815023</v>
      </c>
      <c r="AP2344" s="12">
        <v>800000</v>
      </c>
      <c r="AQ2344" s="3">
        <v>1.2E-2</v>
      </c>
      <c r="AR2344" s="3"/>
      <c r="AS2344" s="13">
        <f>EXP(AR$4341*$AM2344+AR$4342)*$AP2344/(100000000/($AM2344-$AL2344))</f>
        <v>0.30021410954618821</v>
      </c>
      <c r="AT2344" s="3"/>
      <c r="AU2344" s="16" cm="1">
        <f t="array" ref="AU2344">$C2344*EXP(poly_from_str(100000000/$E2344,AU$4342))</f>
        <v>5.5654040240010936</v>
      </c>
    </row>
    <row r="2345" spans="1:48" x14ac:dyDescent="0.25">
      <c r="A2345" t="s">
        <v>3094</v>
      </c>
      <c r="B2345" s="2" t="str">
        <f t="shared" si="1573"/>
        <v/>
      </c>
      <c r="C2345">
        <v>4</v>
      </c>
      <c r="E2345" t="s">
        <v>3095</v>
      </c>
      <c r="R2345">
        <v>23</v>
      </c>
      <c r="S2345" t="s">
        <v>22</v>
      </c>
      <c r="AA2345" s="10">
        <f t="shared" si="1574"/>
        <v>2995.7350000000001</v>
      </c>
      <c r="AB2345" s="3">
        <f t="shared" si="1575"/>
        <v>33371.06</v>
      </c>
      <c r="AC2345" s="3" cm="1">
        <f t="array" ref="AC2345">100000000/LvacE(AA2345)</f>
        <v>33371.058610733307</v>
      </c>
      <c r="AD2345" s="10">
        <f t="shared" si="1576"/>
        <v>1.0569761445977916E-2</v>
      </c>
      <c r="AE2345" s="10" t="b">
        <f t="shared" si="1577"/>
        <v>1</v>
      </c>
      <c r="AP2345"/>
      <c r="AQ2345"/>
      <c r="AU2345" s="16" cm="1">
        <f t="array" ref="AU2345">$C2345*EXP(poly_from_str(100000000/$E2345,AU$4342))</f>
        <v>7.4199499654123588</v>
      </c>
    </row>
    <row r="2346" spans="1:48" x14ac:dyDescent="0.25">
      <c r="A2346" t="s">
        <v>3096</v>
      </c>
      <c r="B2346" s="2" t="str">
        <f t="shared" si="1573"/>
        <v/>
      </c>
      <c r="C2346">
        <v>9</v>
      </c>
      <c r="D2346" t="s">
        <v>14</v>
      </c>
      <c r="E2346" t="s">
        <v>3097</v>
      </c>
      <c r="R2346">
        <v>23</v>
      </c>
      <c r="S2346" t="s">
        <v>22</v>
      </c>
      <c r="AA2346" s="10">
        <f t="shared" si="1574"/>
        <v>2995.6410000000001</v>
      </c>
      <c r="AB2346" s="3">
        <f t="shared" si="1575"/>
        <v>33372.11</v>
      </c>
      <c r="AC2346" s="3" cm="1">
        <f t="array" ref="AC2346">100000000/LvacE(AA2346)</f>
        <v>33372.105714197394</v>
      </c>
      <c r="AD2346" s="10">
        <f t="shared" si="1576"/>
        <v>1.0570110990301808E-2</v>
      </c>
      <c r="AE2346" s="10" t="b">
        <f t="shared" si="1577"/>
        <v>1</v>
      </c>
      <c r="AP2346"/>
      <c r="AQ2346"/>
      <c r="AU2346" s="16" cm="1">
        <f t="array" ref="AU2346">$C2346*EXP(poly_from_str(100000000/$E2346,AU$4342))</f>
        <v>16.693534839820952</v>
      </c>
    </row>
    <row r="2347" spans="1:48" x14ac:dyDescent="0.25">
      <c r="A2347" t="s">
        <v>3098</v>
      </c>
      <c r="B2347" s="2" t="str">
        <f t="shared" si="1573"/>
        <v/>
      </c>
      <c r="C2347">
        <v>9</v>
      </c>
      <c r="D2347" t="s">
        <v>14</v>
      </c>
      <c r="E2347" t="s">
        <v>3099</v>
      </c>
      <c r="R2347">
        <v>23</v>
      </c>
      <c r="S2347" t="s">
        <v>22</v>
      </c>
      <c r="AA2347" s="10">
        <f t="shared" si="1574"/>
        <v>2995.51</v>
      </c>
      <c r="AB2347" s="3">
        <f t="shared" si="1575"/>
        <v>33373.56</v>
      </c>
      <c r="AC2347" s="3" cm="1">
        <f t="array" ref="AC2347">100000000/LvacE(AA2347)</f>
        <v>33373.565085008449</v>
      </c>
      <c r="AD2347" s="10">
        <f t="shared" si="1576"/>
        <v>1.0570598176104978E-2</v>
      </c>
      <c r="AE2347" s="10" t="b">
        <f t="shared" si="1577"/>
        <v>1</v>
      </c>
      <c r="AP2347"/>
      <c r="AQ2347"/>
      <c r="AU2347" s="16" cm="1">
        <f t="array" ref="AU2347">$C2347*EXP(poly_from_str(100000000/$E2347,AU$4342))</f>
        <v>16.691663319132019</v>
      </c>
    </row>
    <row r="2348" spans="1:48" x14ac:dyDescent="0.25">
      <c r="A2348" t="s">
        <v>3100</v>
      </c>
      <c r="B2348" s="2" t="str">
        <f t="shared" si="1573"/>
        <v/>
      </c>
      <c r="C2348">
        <v>7</v>
      </c>
      <c r="E2348" t="s">
        <v>3101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1610">$G2348&amp;""</f>
        <v>e</v>
      </c>
      <c r="N2348" t="str">
        <f t="shared" ref="N2348:N2349" si="1611">$H2348&amp;""</f>
        <v>7/2</v>
      </c>
      <c r="O2348">
        <v>60520.32</v>
      </c>
      <c r="P2348" t="str">
        <f t="shared" ref="P2348:P2349" si="1612">$J2348&amp;""</f>
        <v>o</v>
      </c>
      <c r="Q2348" t="str">
        <f t="shared" ref="Q2348:Q2349" si="1613">$K2348&amp;""</f>
        <v>7/2</v>
      </c>
      <c r="R2348">
        <v>23</v>
      </c>
      <c r="S2348" t="s">
        <v>159</v>
      </c>
      <c r="AA2348" s="10">
        <f t="shared" si="1574"/>
        <v>2994.7750000000001</v>
      </c>
      <c r="AB2348" s="3">
        <f t="shared" si="1575"/>
        <v>33381.760000000002</v>
      </c>
      <c r="AC2348" s="3" cm="1">
        <f t="array" ref="AC2348">100000000/LvacE(AA2348)</f>
        <v>33381.75552545036</v>
      </c>
      <c r="AD2348" s="10">
        <f t="shared" si="1576"/>
        <v>1.0573332808883867E-2</v>
      </c>
      <c r="AE2348" s="10" t="b">
        <f t="shared" si="1577"/>
        <v>1</v>
      </c>
      <c r="AJ2348" t="s">
        <v>4723</v>
      </c>
      <c r="AK2348" t="s">
        <v>4730</v>
      </c>
      <c r="AL2348">
        <v>27138.55</v>
      </c>
      <c r="AM2348">
        <v>60520.32</v>
      </c>
      <c r="AN2348" s="10" cm="1">
        <f t="array" ref="AN2348">Lair(100000000/($AM2348-$AL2348))</f>
        <v>2994.7736966580792</v>
      </c>
      <c r="AO2348" s="10">
        <f t="shared" ref="AO2348:AO2349" si="1614">100000000/($AM2348-$AL2348)</f>
        <v>2995.6470253075254</v>
      </c>
      <c r="AP2348" s="12">
        <v>19400000</v>
      </c>
      <c r="AQ2348" s="3">
        <v>7.8E-2</v>
      </c>
      <c r="AR2348" s="3">
        <f t="shared" ref="AR2348:AR2349" si="1615">LN(AU2348*100000000/($AM2348-$AL2348)/AP2348)</f>
        <v>-6.2129122102338306</v>
      </c>
      <c r="AS2348" s="13">
        <f t="shared" ref="AS2348:AS2349" si="1616">EXP(AR$4341*$AM2348+AR$4342)*$AP2348/(100000000/($AM2348-$AL2348))</f>
        <v>6.0996393758787386</v>
      </c>
      <c r="AT2348" s="3">
        <f t="shared" ref="AT2348:AT2349" si="1617">LN(AS2348/$C2348)</f>
        <v>-0.13768049833203103</v>
      </c>
      <c r="AU2348" s="16" cm="1">
        <f t="array" ref="AU2348">$C2348*EXP(poly_from_str(100000000/$E2348,AU$4342))</f>
        <v>12.974110754716037</v>
      </c>
      <c r="AV2348" s="13">
        <f t="shared" ref="AV2348:AV2349" si="1618">LN(AS2348/AU2348)</f>
        <v>-0.7547262406980193</v>
      </c>
    </row>
    <row r="2349" spans="1:48" x14ac:dyDescent="0.25">
      <c r="A2349" t="s">
        <v>3102</v>
      </c>
      <c r="B2349" s="2" t="str">
        <f t="shared" si="1573"/>
        <v/>
      </c>
      <c r="C2349">
        <v>20</v>
      </c>
      <c r="D2349" t="s">
        <v>134</v>
      </c>
      <c r="E2349" t="s">
        <v>3103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1610"/>
        <v>e</v>
      </c>
      <c r="N2349" t="str">
        <f t="shared" si="1611"/>
        <v>13/2</v>
      </c>
      <c r="O2349">
        <v>66148.399999999994</v>
      </c>
      <c r="P2349" t="str">
        <f t="shared" si="1612"/>
        <v>o</v>
      </c>
      <c r="Q2349" t="str">
        <f t="shared" si="1613"/>
        <v>13/2</v>
      </c>
      <c r="R2349">
        <v>23</v>
      </c>
      <c r="S2349" t="s">
        <v>159</v>
      </c>
      <c r="AA2349" s="10">
        <f t="shared" si="1574"/>
        <v>2994.201</v>
      </c>
      <c r="AB2349" s="3">
        <f t="shared" si="1575"/>
        <v>33388.15</v>
      </c>
      <c r="AC2349" s="3" cm="1">
        <f t="array" ref="AC2349">100000000/LvacE(AA2349)</f>
        <v>33388.15466554906</v>
      </c>
      <c r="AD2349" s="10">
        <f t="shared" si="1576"/>
        <v>1.0575469827434607E-2</v>
      </c>
      <c r="AE2349" s="10" t="b">
        <f t="shared" si="1577"/>
        <v>1</v>
      </c>
      <c r="AJ2349" t="s">
        <v>4829</v>
      </c>
      <c r="AK2349" t="s">
        <v>4694</v>
      </c>
      <c r="AL2349">
        <v>32760.11</v>
      </c>
      <c r="AM2349">
        <v>66148.399999999994</v>
      </c>
      <c r="AN2349" s="10" cm="1">
        <f t="array" ref="AN2349">Lair(100000000/($AM2349-$AL2349))</f>
        <v>2994.188858206403</v>
      </c>
      <c r="AO2349" s="10">
        <f t="shared" si="1614"/>
        <v>2995.0620412126532</v>
      </c>
      <c r="AP2349" s="12">
        <v>555000000</v>
      </c>
      <c r="AQ2349" s="3">
        <v>0.77800000000000002</v>
      </c>
      <c r="AR2349" s="3">
        <f t="shared" si="1615"/>
        <v>-8.517484367735479</v>
      </c>
      <c r="AS2349" s="13">
        <f t="shared" si="1616"/>
        <v>114.40569133591094</v>
      </c>
      <c r="AT2349" s="3">
        <f t="shared" si="1617"/>
        <v>1.7440185535940251</v>
      </c>
      <c r="AU2349" s="16" cm="1">
        <f t="array" ref="AU2349">$C2349*EXP(poly_from_str(100000000/$E2349,AU$4342))</f>
        <v>37.05021218481037</v>
      </c>
      <c r="AV2349" s="13">
        <f t="shared" si="1618"/>
        <v>1.1274767484368844</v>
      </c>
    </row>
    <row r="2350" spans="1:48" x14ac:dyDescent="0.25">
      <c r="A2350" t="s">
        <v>3104</v>
      </c>
      <c r="B2350" s="2" t="str">
        <f t="shared" si="1573"/>
        <v/>
      </c>
      <c r="C2350">
        <v>0</v>
      </c>
      <c r="E2350" t="s">
        <v>3105</v>
      </c>
      <c r="R2350">
        <v>23</v>
      </c>
      <c r="S2350" t="s">
        <v>22</v>
      </c>
      <c r="AA2350" s="10">
        <f t="shared" si="1574"/>
        <v>2994.1619999999998</v>
      </c>
      <c r="AB2350" s="3">
        <f t="shared" si="1575"/>
        <v>33388.589999999997</v>
      </c>
      <c r="AC2350" s="3" cm="1">
        <f t="array" ref="AC2350">100000000/LvacE(AA2350)</f>
        <v>33388.589539336877</v>
      </c>
      <c r="AD2350" s="10">
        <f t="shared" si="1576"/>
        <v>1.0575615070149324E-2</v>
      </c>
      <c r="AE2350" s="10" t="b">
        <f t="shared" si="1577"/>
        <v>1</v>
      </c>
      <c r="AP2350"/>
      <c r="AQ2350"/>
      <c r="AU2350" s="16" cm="1">
        <f t="array" ref="AU2350">$C2350*EXP(poly_from_str(100000000/$E2350,AU$4342))</f>
        <v>0</v>
      </c>
    </row>
    <row r="2351" spans="1:48" x14ac:dyDescent="0.25">
      <c r="A2351" t="s">
        <v>3106</v>
      </c>
      <c r="B2351" s="2" t="str">
        <f t="shared" si="1573"/>
        <v/>
      </c>
      <c r="C2351">
        <v>0</v>
      </c>
      <c r="E2351" t="s">
        <v>3107</v>
      </c>
      <c r="R2351">
        <v>23</v>
      </c>
      <c r="S2351" t="s">
        <v>22</v>
      </c>
      <c r="AA2351" s="10">
        <f t="shared" si="1574"/>
        <v>2994.1280000000002</v>
      </c>
      <c r="AB2351" s="3">
        <f t="shared" si="1575"/>
        <v>33388.97</v>
      </c>
      <c r="AC2351" s="3" cm="1">
        <f t="array" ref="AC2351">100000000/LvacE(AA2351)</f>
        <v>33388.968669317648</v>
      </c>
      <c r="AD2351" s="10">
        <f t="shared" si="1576"/>
        <v>1.057574169663382E-2</v>
      </c>
      <c r="AE2351" s="10" t="b">
        <f t="shared" si="1577"/>
        <v>1</v>
      </c>
      <c r="AP2351"/>
      <c r="AQ2351"/>
      <c r="AU2351" s="16" cm="1">
        <f t="array" ref="AU2351">$C2351*EXP(poly_from_str(100000000/$E2351,AU$4342))</f>
        <v>0</v>
      </c>
    </row>
    <row r="2352" spans="1:48" x14ac:dyDescent="0.25">
      <c r="A2352" t="s">
        <v>3108</v>
      </c>
      <c r="B2352" s="2" t="str">
        <f t="shared" si="1573"/>
        <v/>
      </c>
      <c r="C2352">
        <v>4</v>
      </c>
      <c r="E2352" t="s">
        <v>3109</v>
      </c>
      <c r="R2352">
        <v>23</v>
      </c>
      <c r="S2352" t="s">
        <v>22</v>
      </c>
      <c r="AA2352" s="10">
        <f t="shared" si="1574"/>
        <v>2993.02</v>
      </c>
      <c r="AB2352" s="3">
        <f t="shared" si="1575"/>
        <v>33401.33</v>
      </c>
      <c r="AC2352" s="3" cm="1">
        <f t="array" ref="AC2352">100000000/LvacE(AA2352)</f>
        <v>33401.328560157963</v>
      </c>
      <c r="AD2352" s="10">
        <f t="shared" si="1576"/>
        <v>1.0579870592271012E-2</v>
      </c>
      <c r="AE2352" s="10" t="b">
        <f t="shared" si="1577"/>
        <v>1</v>
      </c>
      <c r="AP2352"/>
      <c r="AQ2352"/>
      <c r="AU2352" s="16" cm="1">
        <f t="array" ref="AU2352">$C2352*EXP(poly_from_str(100000000/$E2352,AU$4342))</f>
        <v>7.4022229404373876</v>
      </c>
    </row>
    <row r="2353" spans="1:48" x14ac:dyDescent="0.25">
      <c r="A2353" t="s">
        <v>3110</v>
      </c>
      <c r="B2353" s="2" t="str">
        <f t="shared" si="1573"/>
        <v/>
      </c>
      <c r="C2353">
        <v>8</v>
      </c>
      <c r="E2353" t="s">
        <v>3111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1619">$G2353&amp;""</f>
        <v>e</v>
      </c>
      <c r="N2353" t="str">
        <f t="shared" ref="N2353:N2354" si="1620">$H2353&amp;""</f>
        <v>13/2</v>
      </c>
      <c r="O2353">
        <v>62678.7</v>
      </c>
      <c r="P2353" t="str">
        <f t="shared" ref="P2353:P2354" si="1621">$J2353&amp;""</f>
        <v>o</v>
      </c>
      <c r="Q2353" t="str">
        <f t="shared" ref="Q2353:Q2354" si="1622">$K2353&amp;""</f>
        <v>13/2</v>
      </c>
      <c r="R2353">
        <v>23</v>
      </c>
      <c r="AA2353" s="10">
        <f t="shared" si="1574"/>
        <v>2991.7449999999999</v>
      </c>
      <c r="AB2353" s="3">
        <f t="shared" si="1575"/>
        <v>33415.56</v>
      </c>
      <c r="AC2353" s="3" cm="1">
        <f t="array" ref="AC2353">100000000/LvacE(AA2353)</f>
        <v>33415.562686701451</v>
      </c>
      <c r="AD2353" s="10">
        <f t="shared" si="1576"/>
        <v>1.0584627481068984E-2</v>
      </c>
      <c r="AE2353" s="10" t="b">
        <f t="shared" si="1577"/>
        <v>1</v>
      </c>
      <c r="AJ2353" t="s">
        <v>4699</v>
      </c>
      <c r="AK2353" t="s">
        <v>4888</v>
      </c>
      <c r="AL2353">
        <v>29263.08</v>
      </c>
      <c r="AM2353">
        <v>62678.7</v>
      </c>
      <c r="AN2353" s="10" cm="1">
        <f t="array" ref="AN2353">Lair(100000000/($AM2353-$AL2353))</f>
        <v>2991.7398637289339</v>
      </c>
      <c r="AO2353" s="10">
        <f t="shared" ref="AO2353:AO2354" si="1623">100000000/($AM2353-$AL2353)</f>
        <v>2992.6124369381751</v>
      </c>
      <c r="AP2353" s="12">
        <v>22600000</v>
      </c>
      <c r="AQ2353" s="3">
        <v>0.17399999999999999</v>
      </c>
      <c r="AR2353" s="3">
        <f t="shared" ref="AR2353:AR2354" si="1624">LN(AU2353*100000000/($AM2353-$AL2353)/AP2353)</f>
        <v>-6.2357956261230258</v>
      </c>
      <c r="AS2353" s="13">
        <f t="shared" ref="AS2353:AS2354" si="1625">EXP(AR$4341*$AM2353+AR$4342)*$AP2353/(100000000/($AM2353-$AL2353))</f>
        <v>6.0492879933938095</v>
      </c>
      <c r="AT2353" s="3">
        <f t="shared" ref="AT2353:AT2354" si="1626">LN(AS2353/$C2353)</f>
        <v>-0.27950096360509474</v>
      </c>
      <c r="AU2353" s="16" cm="1">
        <f t="array" ref="AU2353">$C2353*EXP(poly_from_str(100000000/$E2353,AU$4342))</f>
        <v>14.787213113113234</v>
      </c>
      <c r="AV2353" s="13">
        <f t="shared" ref="AV2353:AV2354" si="1627">LN(AS2353/AU2353)</f>
        <v>-0.89382225040679208</v>
      </c>
    </row>
    <row r="2354" spans="1:48" x14ac:dyDescent="0.25">
      <c r="A2354" t="s">
        <v>3112</v>
      </c>
      <c r="B2354" s="2" t="str">
        <f t="shared" si="1573"/>
        <v/>
      </c>
      <c r="C2354">
        <v>20</v>
      </c>
      <c r="D2354" t="s">
        <v>134</v>
      </c>
      <c r="E2354" t="s">
        <v>3113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1619"/>
        <v>e</v>
      </c>
      <c r="N2354" t="str">
        <f t="shared" si="1620"/>
        <v>11/2</v>
      </c>
      <c r="O2354">
        <v>64150.94</v>
      </c>
      <c r="P2354" t="str">
        <f t="shared" si="1621"/>
        <v>o</v>
      </c>
      <c r="Q2354" t="str">
        <f t="shared" si="1622"/>
        <v>11/2</v>
      </c>
      <c r="R2354">
        <v>23</v>
      </c>
      <c r="S2354" t="s">
        <v>159</v>
      </c>
      <c r="AA2354" s="10">
        <f t="shared" si="1574"/>
        <v>2991.585</v>
      </c>
      <c r="AB2354" s="3">
        <f t="shared" si="1575"/>
        <v>33417.35</v>
      </c>
      <c r="AC2354" s="3" cm="1">
        <f t="array" ref="AC2354">100000000/LvacE(AA2354)</f>
        <v>33417.349786791347</v>
      </c>
      <c r="AD2354" s="10">
        <f t="shared" si="1576"/>
        <v>1.0585224853512661E-2</v>
      </c>
      <c r="AE2354" s="10" t="b">
        <f t="shared" si="1577"/>
        <v>1</v>
      </c>
      <c r="AJ2354" t="s">
        <v>4828</v>
      </c>
      <c r="AK2354" t="s">
        <v>4931</v>
      </c>
      <c r="AL2354">
        <v>30733.53</v>
      </c>
      <c r="AM2354">
        <v>64150.94</v>
      </c>
      <c r="AN2354" s="10" cm="1">
        <f t="array" ref="AN2354">Lair(100000000/($AM2354-$AL2354))</f>
        <v>2991.5796046629912</v>
      </c>
      <c r="AO2354" s="10">
        <f t="shared" si="1623"/>
        <v>2992.4521379723919</v>
      </c>
      <c r="AP2354" s="12">
        <v>189000000</v>
      </c>
      <c r="AQ2354" s="3">
        <v>0.35499999999999998</v>
      </c>
      <c r="AR2354" s="3">
        <f t="shared" si="1624"/>
        <v>-7.4435038990674265</v>
      </c>
      <c r="AS2354" s="13">
        <f t="shared" si="1625"/>
        <v>45.299881265402277</v>
      </c>
      <c r="AT2354" s="3">
        <f t="shared" si="1626"/>
        <v>0.81757213785876492</v>
      </c>
      <c r="AU2354" s="16" cm="1">
        <f t="array" ref="AU2354">$C2354*EXP(poly_from_str(100000000/$E2354,AU$4342))</f>
        <v>36.962549731889204</v>
      </c>
      <c r="AV2354" s="13">
        <f t="shared" si="1627"/>
        <v>0.20339918076630095</v>
      </c>
    </row>
    <row r="2355" spans="1:48" x14ac:dyDescent="0.25">
      <c r="A2355" t="s">
        <v>3114</v>
      </c>
      <c r="B2355" s="2" t="str">
        <f t="shared" si="1573"/>
        <v/>
      </c>
      <c r="C2355">
        <v>0</v>
      </c>
      <c r="E2355" t="s">
        <v>3115</v>
      </c>
      <c r="R2355">
        <v>23</v>
      </c>
      <c r="S2355" t="s">
        <v>22</v>
      </c>
      <c r="AA2355" s="10">
        <f t="shared" si="1574"/>
        <v>2991.55</v>
      </c>
      <c r="AB2355" s="3">
        <f t="shared" si="1575"/>
        <v>33417.74</v>
      </c>
      <c r="AC2355" s="3" cm="1">
        <f t="array" ref="AC2355">100000000/LvacE(AA2355)</f>
        <v>33417.7407404162</v>
      </c>
      <c r="AD2355" s="10">
        <f t="shared" si="1576"/>
        <v>1.058535554151129E-2</v>
      </c>
      <c r="AE2355" s="10" t="b">
        <f t="shared" si="1577"/>
        <v>1</v>
      </c>
      <c r="AP2355"/>
      <c r="AQ2355"/>
      <c r="AU2355" s="16" cm="1">
        <f t="array" ref="AU2355">$C2355*EXP(poly_from_str(100000000/$E2355,AU$4342))</f>
        <v>0</v>
      </c>
    </row>
    <row r="2356" spans="1:48" x14ac:dyDescent="0.25">
      <c r="A2356" t="s">
        <v>3116</v>
      </c>
      <c r="B2356" s="2" t="str">
        <f t="shared" si="1573"/>
        <v/>
      </c>
      <c r="C2356">
        <v>0</v>
      </c>
      <c r="E2356" t="s">
        <v>3117</v>
      </c>
      <c r="R2356">
        <v>23</v>
      </c>
      <c r="S2356" t="s">
        <v>22</v>
      </c>
      <c r="AA2356" s="10">
        <f t="shared" si="1574"/>
        <v>2991.5189999999998</v>
      </c>
      <c r="AB2356" s="3">
        <f t="shared" si="1575"/>
        <v>33418.089999999997</v>
      </c>
      <c r="AC2356" s="3" cm="1">
        <f t="array" ref="AC2356">100000000/LvacE(AA2356)</f>
        <v>33418.087021265834</v>
      </c>
      <c r="AD2356" s="10">
        <f t="shared" si="1576"/>
        <v>1.0585471297569201E-2</v>
      </c>
      <c r="AE2356" s="10" t="b">
        <f t="shared" si="1577"/>
        <v>1</v>
      </c>
      <c r="AP2356"/>
      <c r="AQ2356"/>
      <c r="AU2356" s="16" cm="1">
        <f t="array" ref="AU2356">$C2356*EXP(poly_from_str(100000000/$E2356,AU$4342))</f>
        <v>0</v>
      </c>
    </row>
    <row r="2357" spans="1:48" x14ac:dyDescent="0.25">
      <c r="A2357" t="s">
        <v>3118</v>
      </c>
      <c r="B2357" s="2" t="str">
        <f t="shared" si="1573"/>
        <v/>
      </c>
      <c r="C2357">
        <v>2</v>
      </c>
      <c r="E2357" t="s">
        <v>3119</v>
      </c>
      <c r="R2357">
        <v>23</v>
      </c>
      <c r="S2357" t="s">
        <v>22</v>
      </c>
      <c r="AA2357" s="10">
        <f t="shared" si="1574"/>
        <v>2991.221</v>
      </c>
      <c r="AB2357" s="3">
        <f t="shared" si="1575"/>
        <v>33421.42</v>
      </c>
      <c r="AC2357" s="3" cm="1">
        <f t="array" ref="AC2357">100000000/LvacE(AA2357)</f>
        <v>33421.416151660684</v>
      </c>
      <c r="AD2357" s="10">
        <f t="shared" si="1576"/>
        <v>1.05865842329371E-2</v>
      </c>
      <c r="AE2357" s="10" t="b">
        <f t="shared" si="1577"/>
        <v>1</v>
      </c>
      <c r="AP2357"/>
      <c r="AQ2357"/>
      <c r="AU2357" s="16" cm="1">
        <f t="array" ref="AU2357">$C2357*EXP(poly_from_str(100000000/$E2357,AU$4342))</f>
        <v>3.6950029768818053</v>
      </c>
    </row>
    <row r="2358" spans="1:48" x14ac:dyDescent="0.25">
      <c r="A2358" t="s">
        <v>3120</v>
      </c>
      <c r="B2358" s="2" t="str">
        <f t="shared" si="1573"/>
        <v/>
      </c>
      <c r="C2358">
        <v>20</v>
      </c>
      <c r="D2358" t="s">
        <v>14</v>
      </c>
      <c r="E2358" t="s">
        <v>3121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1574"/>
        <v>2989.0949999999998</v>
      </c>
      <c r="AB2358" s="3">
        <f t="shared" si="1575"/>
        <v>33445.19</v>
      </c>
      <c r="AC2358" s="3" cm="1">
        <f t="array" ref="AC2358">100000000/LvacE(AA2358)</f>
        <v>33445.186186759303</v>
      </c>
      <c r="AD2358" s="10">
        <f t="shared" si="1576"/>
        <v>1.059453382825894E-2</v>
      </c>
      <c r="AE2358" s="10" t="b">
        <f t="shared" si="1577"/>
        <v>1</v>
      </c>
      <c r="AJ2358" t="s">
        <v>4722</v>
      </c>
      <c r="AK2358" t="s">
        <v>4835</v>
      </c>
      <c r="AL2358">
        <v>34520.269999999997</v>
      </c>
      <c r="AM2358">
        <v>67965.47</v>
      </c>
      <c r="AN2358" s="10" cm="1">
        <f t="array" ref="AN2358">Lair(100000000/($AM2358-$AL2358))</f>
        <v>2989.0937607164997</v>
      </c>
      <c r="AO2358" s="10">
        <f>100000000/($AM2358-$AL2358)</f>
        <v>2989.9656751940483</v>
      </c>
      <c r="AP2358" s="12">
        <v>39200000</v>
      </c>
      <c r="AQ2358" s="3">
        <v>0.20300000000000001</v>
      </c>
      <c r="AR2358" s="3">
        <f>LN(AU2358*100000000/($AM2358-$AL2358)/AP2358)</f>
        <v>-5.8736242139051837</v>
      </c>
      <c r="AS2358" s="13">
        <f>EXP(AR$4341*$AM2358+AR$4342)*$AP2358/(100000000/($AM2358-$AL2358))</f>
        <v>7.0624871925695496</v>
      </c>
      <c r="AT2358" s="3">
        <f>LN(AS2358/$C2358)</f>
        <v>-1.0409349905245555</v>
      </c>
      <c r="AU2358" s="16" cm="1">
        <f t="array" ref="AU2358">$C2358*EXP(poly_from_str(100000000/$E2358,AU$4342))</f>
        <v>36.875445812037931</v>
      </c>
      <c r="AV2358" s="13">
        <f>LN(AS2358/AU2358)</f>
        <v>-1.652748621375445</v>
      </c>
    </row>
    <row r="2359" spans="1:48" x14ac:dyDescent="0.25">
      <c r="A2359" t="s">
        <v>3122</v>
      </c>
      <c r="B2359" s="2" t="str">
        <f t="shared" si="1573"/>
        <v/>
      </c>
      <c r="C2359">
        <v>3</v>
      </c>
      <c r="D2359" t="s">
        <v>14</v>
      </c>
      <c r="E2359" t="s">
        <v>3123</v>
      </c>
      <c r="R2359">
        <v>23</v>
      </c>
      <c r="S2359" t="s">
        <v>22</v>
      </c>
      <c r="AA2359" s="10">
        <f t="shared" si="1574"/>
        <v>2988.9409999999998</v>
      </c>
      <c r="AB2359" s="3">
        <f t="shared" si="1575"/>
        <v>33446.910000000003</v>
      </c>
      <c r="AC2359" s="3" cm="1">
        <f t="array" ref="AC2359">100000000/LvacE(AA2359)</f>
        <v>33446.909318242826</v>
      </c>
      <c r="AD2359" s="10">
        <f t="shared" si="1576"/>
        <v>1.0595110328079884E-2</v>
      </c>
      <c r="AE2359" s="10" t="b">
        <f t="shared" si="1577"/>
        <v>1</v>
      </c>
      <c r="AP2359"/>
      <c r="AQ2359"/>
      <c r="AU2359" s="16" cm="1">
        <f t="array" ref="AU2359">$C2359*EXP(poly_from_str(100000000/$E2359,AU$4342))</f>
        <v>5.5304928354579941</v>
      </c>
    </row>
    <row r="2360" spans="1:48" x14ac:dyDescent="0.25">
      <c r="A2360" t="s">
        <v>3124</v>
      </c>
      <c r="B2360" s="2" t="str">
        <f t="shared" si="1573"/>
        <v/>
      </c>
      <c r="C2360">
        <v>9</v>
      </c>
      <c r="D2360" t="s">
        <v>14</v>
      </c>
      <c r="E2360" t="s">
        <v>3125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1628">$G2360&amp;""</f>
        <v>e</v>
      </c>
      <c r="N2360" t="str">
        <f t="shared" ref="N2360:N2361" si="1629">$H2360&amp;""</f>
        <v>7/2</v>
      </c>
      <c r="O2360">
        <v>68492.429999999993</v>
      </c>
      <c r="P2360" t="str">
        <f t="shared" ref="P2360:P2361" si="1630">$J2360&amp;""</f>
        <v>o</v>
      </c>
      <c r="Q2360" t="str">
        <f t="shared" ref="Q2360:Q2361" si="1631">$K2360&amp;""</f>
        <v>7/2</v>
      </c>
      <c r="R2360">
        <v>23</v>
      </c>
      <c r="S2360" t="s">
        <v>159</v>
      </c>
      <c r="AA2360" s="10">
        <f t="shared" si="1574"/>
        <v>2987.0619999999999</v>
      </c>
      <c r="AB2360" s="3">
        <f t="shared" si="1575"/>
        <v>33467.949999999997</v>
      </c>
      <c r="AC2360" s="3" cm="1">
        <f t="array" ref="AC2360">100000000/LvacE(AA2360)</f>
        <v>33467.948068373713</v>
      </c>
      <c r="AD2360" s="10">
        <f t="shared" si="1576"/>
        <v>1.0602151557010487E-2</v>
      </c>
      <c r="AE2360" s="10" t="b">
        <f t="shared" si="1577"/>
        <v>1</v>
      </c>
      <c r="AJ2360" t="s">
        <v>4770</v>
      </c>
      <c r="AK2360" t="s">
        <v>4831</v>
      </c>
      <c r="AL2360">
        <v>35024.49</v>
      </c>
      <c r="AM2360">
        <v>68492.429999999993</v>
      </c>
      <c r="AN2360" s="10" cm="1">
        <f t="array" ref="AN2360">Lair(100000000/($AM2360-$AL2360))</f>
        <v>2987.0627154553099</v>
      </c>
      <c r="AO2360" s="10">
        <f t="shared" ref="AO2360:AO2361" si="1632">100000000/($AM2360-$AL2360)</f>
        <v>2987.9341244187726</v>
      </c>
      <c r="AP2360" s="12">
        <v>103000000</v>
      </c>
      <c r="AQ2360" s="3">
        <v>0.16400000000000001</v>
      </c>
      <c r="AR2360" s="3">
        <f t="shared" ref="AR2360:AR2361" si="1633">LN(AU2360*100000000/($AM2360-$AL2360)/AP2360)</f>
        <v>-7.6408656735427449</v>
      </c>
      <c r="AS2360" s="13">
        <f t="shared" ref="AS2360:AS2361" si="1634">EXP(AR$4341*$AM2360+AR$4342)*$AP2360/(100000000/($AM2360-$AL2360))</f>
        <v>17.849626274955387</v>
      </c>
      <c r="AT2360" s="3">
        <f t="shared" ref="AT2360:AT2361" si="1635">LN(AS2360/$C2360)</f>
        <v>0.68475799369295787</v>
      </c>
      <c r="AU2360" s="16" cm="1">
        <f t="array" ref="AU2360">$C2360*EXP(poly_from_str(100000000/$E2360,AU$4342))</f>
        <v>16.560765493728073</v>
      </c>
      <c r="AV2360" s="13">
        <f t="shared" ref="AV2360:AV2361" si="1636">LN(AS2360/AU2360)</f>
        <v>7.4946197673756584E-2</v>
      </c>
    </row>
    <row r="2361" spans="1:48" x14ac:dyDescent="0.25">
      <c r="A2361" t="s">
        <v>3126</v>
      </c>
      <c r="B2361" s="2" t="str">
        <f t="shared" si="1573"/>
        <v/>
      </c>
      <c r="C2361">
        <v>500</v>
      </c>
      <c r="D2361" t="s">
        <v>134</v>
      </c>
      <c r="E2361" t="s">
        <v>3127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1628"/>
        <v>e</v>
      </c>
      <c r="N2361" t="str">
        <f t="shared" si="1629"/>
        <v>11/2</v>
      </c>
      <c r="O2361">
        <v>64215.45</v>
      </c>
      <c r="P2361" t="str">
        <f t="shared" si="1630"/>
        <v>o</v>
      </c>
      <c r="Q2361" t="str">
        <f t="shared" si="1631"/>
        <v>13/2</v>
      </c>
      <c r="R2361">
        <v>23</v>
      </c>
      <c r="S2361" t="s">
        <v>159</v>
      </c>
      <c r="AA2361" s="10">
        <f t="shared" si="1574"/>
        <v>2985.8180000000002</v>
      </c>
      <c r="AB2361" s="3">
        <f t="shared" si="1575"/>
        <v>33481.89</v>
      </c>
      <c r="AC2361" s="3" cm="1">
        <f t="array" ref="AC2361">100000000/LvacE(AA2361)</f>
        <v>33481.891430681979</v>
      </c>
      <c r="AD2361" s="10">
        <f t="shared" si="1576"/>
        <v>1.0606820548118134E-2</v>
      </c>
      <c r="AE2361" s="10" t="b">
        <f t="shared" si="1577"/>
        <v>1</v>
      </c>
      <c r="AJ2361" t="s">
        <v>4828</v>
      </c>
      <c r="AK2361" t="s">
        <v>4823</v>
      </c>
      <c r="AL2361">
        <v>30733.53</v>
      </c>
      <c r="AM2361">
        <v>64215.45</v>
      </c>
      <c r="AN2361" s="10" cm="1">
        <f t="array" ref="AN2361">Lair(100000000/($AM2361-$AL2361))</f>
        <v>2985.8154474815206</v>
      </c>
      <c r="AO2361" s="10">
        <f t="shared" si="1632"/>
        <v>2986.6865460523172</v>
      </c>
      <c r="AP2361" s="12">
        <v>3280000000</v>
      </c>
      <c r="AQ2361" s="3">
        <v>0.871</v>
      </c>
      <c r="AR2361" s="3">
        <f t="shared" si="1633"/>
        <v>-7.0860279750861341</v>
      </c>
      <c r="AS2361" s="13">
        <f t="shared" si="1634"/>
        <v>783.87016536788758</v>
      </c>
      <c r="AT2361" s="3">
        <f t="shared" si="1635"/>
        <v>0.44963530281602548</v>
      </c>
      <c r="AU2361" s="16" cm="1">
        <f t="array" ref="AU2361">$C2361*EXP(poly_from_str(100000000/$E2361,AU$4342))</f>
        <v>918.88539734911524</v>
      </c>
      <c r="AV2361" s="13">
        <f t="shared" si="1636"/>
        <v>-0.15891800969509437</v>
      </c>
    </row>
    <row r="2362" spans="1:48" x14ac:dyDescent="0.25">
      <c r="A2362" t="s">
        <v>3128</v>
      </c>
      <c r="B2362" s="2" t="str">
        <f t="shared" si="1573"/>
        <v/>
      </c>
      <c r="C2362">
        <v>0</v>
      </c>
      <c r="E2362" t="s">
        <v>3129</v>
      </c>
      <c r="R2362">
        <v>23</v>
      </c>
      <c r="S2362" t="s">
        <v>22</v>
      </c>
      <c r="AA2362" s="10">
        <f t="shared" si="1574"/>
        <v>2985.7829999999999</v>
      </c>
      <c r="AB2362" s="3">
        <f t="shared" si="1575"/>
        <v>33482.28</v>
      </c>
      <c r="AC2362" s="3" cm="1">
        <f t="array" ref="AC2362">100000000/LvacE(AA2362)</f>
        <v>33482.283895886103</v>
      </c>
      <c r="AD2362" s="10">
        <f t="shared" si="1576"/>
        <v>1.0606951994817792E-2</v>
      </c>
      <c r="AE2362" s="10" t="b">
        <f t="shared" si="1577"/>
        <v>1</v>
      </c>
      <c r="AP2362"/>
      <c r="AQ2362"/>
      <c r="AU2362" s="16" cm="1">
        <f t="array" ref="AU2362">$C2362*EXP(poly_from_str(100000000/$E2362,AU$4342))</f>
        <v>0</v>
      </c>
    </row>
    <row r="2363" spans="1:48" x14ac:dyDescent="0.25">
      <c r="A2363" t="s">
        <v>3130</v>
      </c>
      <c r="B2363" s="2" t="str">
        <f t="shared" si="1573"/>
        <v/>
      </c>
      <c r="C2363">
        <v>0</v>
      </c>
      <c r="E2363" t="s">
        <v>3131</v>
      </c>
      <c r="R2363">
        <v>23</v>
      </c>
      <c r="S2363" t="s">
        <v>22</v>
      </c>
      <c r="AA2363" s="10">
        <f t="shared" si="1574"/>
        <v>2985.752</v>
      </c>
      <c r="AB2363" s="3">
        <f t="shared" si="1575"/>
        <v>33482.629999999997</v>
      </c>
      <c r="AC2363" s="3" cm="1">
        <f t="array" ref="AC2363">100000000/LvacE(AA2363)</f>
        <v>33482.631515607427</v>
      </c>
      <c r="AD2363" s="10">
        <f t="shared" si="1576"/>
        <v>1.0607068422897721E-2</v>
      </c>
      <c r="AE2363" s="10" t="b">
        <f t="shared" si="1577"/>
        <v>1</v>
      </c>
      <c r="AP2363"/>
      <c r="AQ2363"/>
      <c r="AU2363" s="16" cm="1">
        <f t="array" ref="AU2363">$C2363*EXP(poly_from_str(100000000/$E2363,AU$4342))</f>
        <v>0</v>
      </c>
    </row>
    <row r="2364" spans="1:48" x14ac:dyDescent="0.25">
      <c r="A2364" t="s">
        <v>3132</v>
      </c>
      <c r="B2364" s="2" t="str">
        <f t="shared" si="1573"/>
        <v/>
      </c>
      <c r="C2364">
        <v>0</v>
      </c>
      <c r="E2364" t="s">
        <v>3133</v>
      </c>
      <c r="R2364">
        <v>23</v>
      </c>
      <c r="S2364" t="s">
        <v>22</v>
      </c>
      <c r="AA2364" s="10">
        <f t="shared" si="1574"/>
        <v>2985.7289999999998</v>
      </c>
      <c r="AB2364" s="3">
        <f t="shared" si="1575"/>
        <v>33482.89</v>
      </c>
      <c r="AC2364" s="3" cm="1">
        <f t="array" ref="AC2364">100000000/LvacE(AA2364)</f>
        <v>33482.88943167781</v>
      </c>
      <c r="AD2364" s="10">
        <f t="shared" si="1576"/>
        <v>1.0607154807364936E-2</v>
      </c>
      <c r="AE2364" s="10" t="b">
        <f t="shared" si="1577"/>
        <v>1</v>
      </c>
      <c r="AP2364"/>
      <c r="AQ2364"/>
      <c r="AU2364" s="16" cm="1">
        <f t="array" ref="AU2364">$C2364*EXP(poly_from_str(100000000/$E2364,AU$4342))</f>
        <v>0</v>
      </c>
    </row>
    <row r="2365" spans="1:48" x14ac:dyDescent="0.25">
      <c r="A2365" t="s">
        <v>3134</v>
      </c>
      <c r="B2365" s="2" t="str">
        <f t="shared" si="1573"/>
        <v/>
      </c>
      <c r="C2365">
        <v>0</v>
      </c>
      <c r="E2365" t="s">
        <v>3135</v>
      </c>
      <c r="R2365">
        <v>23</v>
      </c>
      <c r="S2365" t="s">
        <v>22</v>
      </c>
      <c r="AA2365" s="10">
        <f t="shared" si="1574"/>
        <v>2985.7130000000002</v>
      </c>
      <c r="AB2365" s="3">
        <f t="shared" si="1575"/>
        <v>33483.07</v>
      </c>
      <c r="AC2365" s="3" cm="1">
        <f t="array" ref="AC2365">100000000/LvacE(AA2365)</f>
        <v>33483.0688538963</v>
      </c>
      <c r="AD2365" s="10">
        <f t="shared" si="1576"/>
        <v>1.0607214902084744E-2</v>
      </c>
      <c r="AE2365" s="10" t="b">
        <f t="shared" si="1577"/>
        <v>1</v>
      </c>
      <c r="AP2365"/>
      <c r="AQ2365"/>
      <c r="AU2365" s="16" cm="1">
        <f t="array" ref="AU2365">$C2365*EXP(poly_from_str(100000000/$E2365,AU$4342))</f>
        <v>0</v>
      </c>
    </row>
    <row r="2366" spans="1:48" x14ac:dyDescent="0.25">
      <c r="A2366" t="s">
        <v>3136</v>
      </c>
      <c r="B2366" s="2" t="str">
        <f t="shared" si="1573"/>
        <v/>
      </c>
      <c r="C2366">
        <v>0</v>
      </c>
      <c r="E2366" t="s">
        <v>3137</v>
      </c>
      <c r="R2366">
        <v>23</v>
      </c>
      <c r="S2366" t="s">
        <v>22</v>
      </c>
      <c r="AA2366" s="10">
        <f t="shared" si="1574"/>
        <v>2985.6990000000001</v>
      </c>
      <c r="AB2366" s="3">
        <f t="shared" si="1575"/>
        <v>33483.230000000003</v>
      </c>
      <c r="AC2366" s="3" cm="1">
        <f t="array" ref="AC2366">100000000/LvacE(AA2366)</f>
        <v>33483.225849914823</v>
      </c>
      <c r="AD2366" s="10">
        <f t="shared" si="1576"/>
        <v>1.0607267485757074E-2</v>
      </c>
      <c r="AE2366" s="10" t="b">
        <f t="shared" si="1577"/>
        <v>1</v>
      </c>
      <c r="AP2366"/>
      <c r="AQ2366"/>
      <c r="AU2366" s="16" cm="1">
        <f t="array" ref="AU2366">$C2366*EXP(poly_from_str(100000000/$E2366,AU$4342))</f>
        <v>0</v>
      </c>
    </row>
    <row r="2367" spans="1:48" x14ac:dyDescent="0.25">
      <c r="A2367" t="s">
        <v>3138</v>
      </c>
      <c r="B2367" s="2" t="str">
        <f t="shared" si="1573"/>
        <v/>
      </c>
      <c r="C2367">
        <v>6</v>
      </c>
      <c r="D2367" t="s">
        <v>14</v>
      </c>
      <c r="E2367" t="s">
        <v>3139</v>
      </c>
      <c r="R2367">
        <v>23</v>
      </c>
      <c r="S2367" t="s">
        <v>22</v>
      </c>
      <c r="AA2367" s="10">
        <f t="shared" si="1574"/>
        <v>2985.3420000000001</v>
      </c>
      <c r="AB2367" s="3">
        <f t="shared" si="1575"/>
        <v>33487.230000000003</v>
      </c>
      <c r="AC2367" s="3" cm="1">
        <f t="array" ref="AC2367">100000000/LvacE(AA2367)</f>
        <v>33487.22974586756</v>
      </c>
      <c r="AD2367" s="10">
        <f t="shared" si="1576"/>
        <v>1.0608608619358782E-2</v>
      </c>
      <c r="AE2367" s="10" t="b">
        <f t="shared" si="1577"/>
        <v>1</v>
      </c>
      <c r="AP2367"/>
      <c r="AQ2367"/>
      <c r="AU2367" s="16" cm="1">
        <f t="array" ref="AU2367">$C2367*EXP(poly_from_str(100000000/$E2367,AU$4342))</f>
        <v>11.02123842787752</v>
      </c>
    </row>
    <row r="2368" spans="1:48" x14ac:dyDescent="0.25">
      <c r="A2368" t="s">
        <v>3140</v>
      </c>
      <c r="B2368" s="2" t="str">
        <f t="shared" si="1573"/>
        <v/>
      </c>
      <c r="C2368">
        <v>5</v>
      </c>
      <c r="D2368" t="s">
        <v>1156</v>
      </c>
      <c r="E2368" t="s">
        <v>3141</v>
      </c>
      <c r="R2368">
        <v>23</v>
      </c>
      <c r="S2368" t="s">
        <v>22</v>
      </c>
      <c r="AA2368" s="10">
        <f t="shared" si="1574"/>
        <v>2984.9270000000001</v>
      </c>
      <c r="AB2368" s="3">
        <f t="shared" si="1575"/>
        <v>33491.89</v>
      </c>
      <c r="AC2368" s="3" cm="1">
        <f t="array" ref="AC2368">100000000/LvacE(AA2368)</f>
        <v>33491.885338407024</v>
      </c>
      <c r="AD2368" s="10">
        <f t="shared" si="1576"/>
        <v>1.0610168245053736E-2</v>
      </c>
      <c r="AE2368" s="10" t="b">
        <f t="shared" si="1577"/>
        <v>1</v>
      </c>
      <c r="AP2368"/>
      <c r="AQ2368"/>
      <c r="AU2368" s="16" cm="1">
        <f t="array" ref="AU2368">$C2368*EXP(poly_from_str(100000000/$E2368,AU$4342))</f>
        <v>9.1804230472120576</v>
      </c>
    </row>
    <row r="2369" spans="1:48" x14ac:dyDescent="0.25">
      <c r="A2369" t="s">
        <v>3142</v>
      </c>
      <c r="B2369" s="2" t="str">
        <f t="shared" si="1573"/>
        <v/>
      </c>
      <c r="C2369">
        <v>5</v>
      </c>
      <c r="D2369" t="s">
        <v>1156</v>
      </c>
      <c r="E2369" t="s">
        <v>3143</v>
      </c>
      <c r="R2369">
        <v>23</v>
      </c>
      <c r="S2369" t="s">
        <v>22</v>
      </c>
      <c r="AA2369" s="10">
        <f t="shared" si="1574"/>
        <v>2984.886</v>
      </c>
      <c r="AB2369" s="3">
        <f t="shared" si="1575"/>
        <v>33492.35</v>
      </c>
      <c r="AC2369" s="3" cm="1">
        <f t="array" ref="AC2369">100000000/LvacE(AA2369)</f>
        <v>33492.345358774452</v>
      </c>
      <c r="AD2369" s="10">
        <f t="shared" si="1576"/>
        <v>1.0610322363864893E-2</v>
      </c>
      <c r="AE2369" s="10" t="b">
        <f t="shared" si="1577"/>
        <v>1</v>
      </c>
      <c r="AP2369"/>
      <c r="AQ2369"/>
      <c r="AU2369" s="16" cm="1">
        <f t="array" ref="AU2369">$C2369*EXP(poly_from_str(100000000/$E2369,AU$4342))</f>
        <v>9.1800326162288712</v>
      </c>
    </row>
    <row r="2370" spans="1:48" x14ac:dyDescent="0.25">
      <c r="A2370" t="s">
        <v>3144</v>
      </c>
      <c r="B2370" s="2" t="str">
        <f t="shared" ref="B2370:B2433" si="1637">IF(OR(A2370=A2369,A2370=A2371),IF(B2369="",1,B2369+1),"")</f>
        <v/>
      </c>
      <c r="C2370">
        <v>3</v>
      </c>
      <c r="E2370" t="s">
        <v>3145</v>
      </c>
      <c r="R2370">
        <v>23</v>
      </c>
      <c r="S2370" t="s">
        <v>22</v>
      </c>
      <c r="AA2370" s="10">
        <f t="shared" si="1574"/>
        <v>2984.2930000000001</v>
      </c>
      <c r="AB2370" s="3">
        <f t="shared" si="1575"/>
        <v>33499</v>
      </c>
      <c r="AC2370" s="3" cm="1">
        <f t="array" ref="AC2370">100000000/LvacE(AA2370)</f>
        <v>33499.00023748172</v>
      </c>
      <c r="AD2370" s="10">
        <f t="shared" si="1576"/>
        <v>1.0612552158498129E-2</v>
      </c>
      <c r="AE2370" s="10" t="b">
        <f t="shared" si="1577"/>
        <v>1</v>
      </c>
      <c r="AP2370"/>
      <c r="AQ2370"/>
      <c r="AU2370" s="16" cm="1">
        <f t="array" ref="AU2370">$C2370*EXP(poly_from_str(100000000/$E2370,AU$4342))</f>
        <v>5.5046176564604252</v>
      </c>
    </row>
    <row r="2371" spans="1:48" x14ac:dyDescent="0.25">
      <c r="A2371" t="s">
        <v>3146</v>
      </c>
      <c r="B2371" s="2" t="str">
        <f t="shared" si="1637"/>
        <v/>
      </c>
      <c r="C2371">
        <v>9</v>
      </c>
      <c r="D2371" t="s">
        <v>134</v>
      </c>
      <c r="E2371" t="s">
        <v>3147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1638">ROUND($A2371,3)+0</f>
        <v>2984.0259999999998</v>
      </c>
      <c r="AB2371" s="3">
        <f t="shared" ref="AB2371:AB2434" si="1639">ROUND($E2371,2)+0</f>
        <v>33502</v>
      </c>
      <c r="AC2371" s="3" cm="1">
        <f t="array" ref="AC2371">100000000/LvacE(AA2371)</f>
        <v>33501.997479753787</v>
      </c>
      <c r="AD2371" s="10">
        <f t="shared" ref="AD2371:AD2434" si="1640">0.0005/$AA2371*AC2371+0.005</f>
        <v>1.0613556564144179E-2</v>
      </c>
      <c r="AE2371" s="10" t="b">
        <f t="shared" ref="AE2371:AE2434" si="1641">ABS(AB2371-AC2371)&lt;AD2371</f>
        <v>1</v>
      </c>
      <c r="AJ2371" t="s">
        <v>4828</v>
      </c>
      <c r="AK2371" t="s">
        <v>4842</v>
      </c>
      <c r="AL2371">
        <v>30733.53</v>
      </c>
      <c r="AM2371">
        <v>64235.61</v>
      </c>
      <c r="AN2371" s="10" cm="1">
        <f t="array" ref="AN2371">Lair(100000000/($AM2371-$AL2371))</f>
        <v>2984.0186449443322</v>
      </c>
      <c r="AO2371" s="10">
        <f>100000000/($AM2371-$AL2371)</f>
        <v>2984.8892964257739</v>
      </c>
      <c r="AP2371" s="12">
        <v>206000000</v>
      </c>
      <c r="AQ2371" s="3">
        <v>0.247</v>
      </c>
      <c r="AR2371" s="3">
        <f>LN(AU2371*100000000/($AM2371-$AL2371)/AP2371)</f>
        <v>-8.3381497322086258</v>
      </c>
      <c r="AS2371" s="13">
        <f>EXP(AR$4341*$AM2371+AR$4342)*$AP2371/(100000000/($AM2371-$AL2371))</f>
        <v>49.18604085484472</v>
      </c>
      <c r="AT2371" s="3">
        <f>LN(AS2371/$C2371)</f>
        <v>1.6983852834427049</v>
      </c>
      <c r="AU2371" s="16" cm="1">
        <f t="array" ref="AU2371">$C2371*EXP(poly_from_str(100000000/$E2371,AU$4342))</f>
        <v>16.509220715002321</v>
      </c>
      <c r="AV2371" s="13">
        <f>LN(AS2371/AU2371)</f>
        <v>1.0916908047481406</v>
      </c>
    </row>
    <row r="2372" spans="1:48" x14ac:dyDescent="0.25">
      <c r="A2372" t="s">
        <v>3148</v>
      </c>
      <c r="B2372" s="2" t="str">
        <f t="shared" si="1637"/>
        <v/>
      </c>
      <c r="C2372">
        <v>0</v>
      </c>
      <c r="E2372" t="s">
        <v>3149</v>
      </c>
      <c r="R2372">
        <v>23</v>
      </c>
      <c r="S2372" t="s">
        <v>22</v>
      </c>
      <c r="AA2372" s="10">
        <f t="shared" si="1638"/>
        <v>2983.9870000000001</v>
      </c>
      <c r="AB2372" s="3">
        <f t="shared" si="1639"/>
        <v>33502.44</v>
      </c>
      <c r="AC2372" s="3" cm="1">
        <f t="array" ref="AC2372">100000000/LvacE(AA2372)</f>
        <v>33502.435324078571</v>
      </c>
      <c r="AD2372" s="10">
        <f t="shared" si="1640"/>
        <v>1.0613703297648176E-2</v>
      </c>
      <c r="AE2372" s="10" t="b">
        <f t="shared" si="1641"/>
        <v>1</v>
      </c>
      <c r="AP2372"/>
      <c r="AQ2372"/>
      <c r="AU2372" s="16" cm="1">
        <f t="array" ref="AU2372">$C2372*EXP(poly_from_str(100000000/$E2372,AU$4342))</f>
        <v>0</v>
      </c>
    </row>
    <row r="2373" spans="1:48" x14ac:dyDescent="0.25">
      <c r="A2373" t="s">
        <v>3150</v>
      </c>
      <c r="B2373" s="2" t="str">
        <f t="shared" si="1637"/>
        <v/>
      </c>
      <c r="C2373">
        <v>0</v>
      </c>
      <c r="E2373" t="s">
        <v>3151</v>
      </c>
      <c r="R2373">
        <v>23</v>
      </c>
      <c r="S2373" t="s">
        <v>22</v>
      </c>
      <c r="AA2373" s="10">
        <f t="shared" si="1638"/>
        <v>2983.95</v>
      </c>
      <c r="AB2373" s="3">
        <f t="shared" si="1639"/>
        <v>33502.85</v>
      </c>
      <c r="AC2373" s="3" cm="1">
        <f t="array" ref="AC2373">100000000/LvacE(AA2373)</f>
        <v>33502.850725427277</v>
      </c>
      <c r="AD2373" s="10">
        <f t="shared" si="1640"/>
        <v>1.0613842511675343E-2</v>
      </c>
      <c r="AE2373" s="10" t="b">
        <f t="shared" si="1641"/>
        <v>1</v>
      </c>
      <c r="AP2373"/>
      <c r="AQ2373"/>
      <c r="AU2373" s="16" cm="1">
        <f t="array" ref="AU2373">$C2373*EXP(poly_from_str(100000000/$E2373,AU$4342))</f>
        <v>0</v>
      </c>
    </row>
    <row r="2374" spans="1:48" x14ac:dyDescent="0.25">
      <c r="A2374" t="s">
        <v>3152</v>
      </c>
      <c r="B2374" s="2" t="str">
        <f t="shared" si="1637"/>
        <v/>
      </c>
      <c r="C2374">
        <v>0</v>
      </c>
      <c r="E2374" t="s">
        <v>3153</v>
      </c>
      <c r="R2374">
        <v>23</v>
      </c>
      <c r="S2374" t="s">
        <v>22</v>
      </c>
      <c r="AA2374" s="10">
        <f t="shared" si="1638"/>
        <v>2983.9180000000001</v>
      </c>
      <c r="AB2374" s="3">
        <f t="shared" si="1639"/>
        <v>33503.21</v>
      </c>
      <c r="AC2374" s="3" cm="1">
        <f t="array" ref="AC2374">100000000/LvacE(AA2374)</f>
        <v>33503.209999765619</v>
      </c>
      <c r="AD2374" s="10">
        <f t="shared" si="1640"/>
        <v>1.0613962917172258E-2</v>
      </c>
      <c r="AE2374" s="10" t="b">
        <f t="shared" si="1641"/>
        <v>1</v>
      </c>
      <c r="AP2374"/>
      <c r="AQ2374"/>
      <c r="AU2374" s="16" cm="1">
        <f t="array" ref="AU2374">$C2374*EXP(poly_from_str(100000000/$E2374,AU$4342))</f>
        <v>0</v>
      </c>
    </row>
    <row r="2375" spans="1:48" x14ac:dyDescent="0.25">
      <c r="A2375" t="s">
        <v>3154</v>
      </c>
      <c r="B2375" s="2" t="str">
        <f t="shared" si="1637"/>
        <v/>
      </c>
      <c r="C2375">
        <v>40</v>
      </c>
      <c r="D2375" t="s">
        <v>134</v>
      </c>
      <c r="E2375" t="s">
        <v>3155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1638"/>
        <v>2983.66</v>
      </c>
      <c r="AB2375" s="3">
        <f t="shared" si="1639"/>
        <v>33506.11</v>
      </c>
      <c r="AC2375" s="3" cm="1">
        <f t="array" ref="AC2375">100000000/LvacE(AA2375)</f>
        <v>33506.106930640148</v>
      </c>
      <c r="AD2375" s="10">
        <f t="shared" si="1640"/>
        <v>1.0614933828023327E-2</v>
      </c>
      <c r="AE2375" s="10" t="b">
        <f t="shared" si="1641"/>
        <v>1</v>
      </c>
      <c r="AJ2375" t="s">
        <v>4761</v>
      </c>
      <c r="AK2375" t="s">
        <v>4923</v>
      </c>
      <c r="AL2375">
        <v>34825.49</v>
      </c>
      <c r="AM2375">
        <v>68331.75</v>
      </c>
      <c r="AN2375" s="10" cm="1">
        <f t="array" ref="AN2375">Lair(100000000/($AM2375-$AL2375))</f>
        <v>2983.6463642488184</v>
      </c>
      <c r="AO2375" s="10">
        <f>100000000/($AM2375-$AL2375)</f>
        <v>2984.5169231063087</v>
      </c>
      <c r="AP2375" s="12">
        <v>470000000</v>
      </c>
      <c r="AQ2375" s="3">
        <v>0.45400000000000001</v>
      </c>
      <c r="AR2375" s="3">
        <f>LN(AU2375*100000000/($AM2375-$AL2375)/AP2375)</f>
        <v>-7.6718623382591842</v>
      </c>
      <c r="AS2375" s="13">
        <f>EXP(AR$4341*$AM2375+AR$4342)*$AP2375/(100000000/($AM2375-$AL2375))</f>
        <v>82.532248861570281</v>
      </c>
      <c r="AT2375" s="3">
        <f>LN(AS2375/$C2375)</f>
        <v>0.72430965813879911</v>
      </c>
      <c r="AU2375" s="16" cm="1">
        <f t="array" ref="AU2375">$C2375*EXP(poly_from_str(100000000/$E2375,AU$4342))</f>
        <v>73.345982869535604</v>
      </c>
      <c r="AV2375" s="13">
        <f>LN(AS2375/AU2375)</f>
        <v>0.11800137576832147</v>
      </c>
    </row>
    <row r="2376" spans="1:48" x14ac:dyDescent="0.25">
      <c r="A2376" t="s">
        <v>3156</v>
      </c>
      <c r="B2376" s="2" t="str">
        <f t="shared" si="1637"/>
        <v/>
      </c>
      <c r="C2376">
        <v>0</v>
      </c>
      <c r="E2376" t="s">
        <v>3157</v>
      </c>
      <c r="R2376">
        <v>23</v>
      </c>
      <c r="S2376" t="s">
        <v>22</v>
      </c>
      <c r="AA2376" s="10">
        <f t="shared" si="1638"/>
        <v>2983.6239999999998</v>
      </c>
      <c r="AB2376" s="3">
        <f t="shared" si="1639"/>
        <v>33506.51</v>
      </c>
      <c r="AC2376" s="3" cm="1">
        <f t="array" ref="AC2376">100000000/LvacE(AA2376)</f>
        <v>33506.511193381135</v>
      </c>
      <c r="AD2376" s="10">
        <f t="shared" si="1640"/>
        <v>1.0615069323980021E-2</v>
      </c>
      <c r="AE2376" s="10" t="b">
        <f t="shared" si="1641"/>
        <v>1</v>
      </c>
      <c r="AP2376"/>
      <c r="AQ2376"/>
      <c r="AU2376" s="16" cm="1">
        <f t="array" ref="AU2376">$C2376*EXP(poly_from_str(100000000/$E2376,AU$4342))</f>
        <v>0</v>
      </c>
    </row>
    <row r="2377" spans="1:48" x14ac:dyDescent="0.25">
      <c r="A2377" t="s">
        <v>3158</v>
      </c>
      <c r="B2377" s="2" t="str">
        <f t="shared" si="1637"/>
        <v/>
      </c>
      <c r="C2377">
        <v>9</v>
      </c>
      <c r="D2377" t="s">
        <v>134</v>
      </c>
      <c r="E2377" t="s">
        <v>3159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1638"/>
        <v>2983.2570000000001</v>
      </c>
      <c r="AB2377" s="3">
        <f t="shared" si="1639"/>
        <v>33510.629999999997</v>
      </c>
      <c r="AC2377" s="3" cm="1">
        <f t="array" ref="AC2377">100000000/LvacE(AA2377)</f>
        <v>33510.632984119256</v>
      </c>
      <c r="AD2377" s="10">
        <f t="shared" si="1640"/>
        <v>1.0616450909881257E-2</v>
      </c>
      <c r="AE2377" s="10" t="b">
        <f t="shared" si="1641"/>
        <v>1</v>
      </c>
      <c r="AJ2377" t="s">
        <v>4807</v>
      </c>
      <c r="AK2377" t="s">
        <v>4857</v>
      </c>
      <c r="AL2377">
        <v>35291</v>
      </c>
      <c r="AM2377">
        <v>68801.67</v>
      </c>
      <c r="AN2377" s="10" cm="1">
        <f t="array" ref="AN2377">Lair(100000000/($AM2377-$AL2377))</f>
        <v>2983.2536998854671</v>
      </c>
      <c r="AO2377" s="10">
        <f>100000000/($AM2377-$AL2377)</f>
        <v>2984.1241610507936</v>
      </c>
      <c r="AP2377" s="12">
        <v>107000000</v>
      </c>
      <c r="AQ2377" s="3">
        <v>0.20499999999999999</v>
      </c>
      <c r="AR2377" s="3">
        <f>LN(AU2377*100000000/($AM2377-$AL2377)/AP2377)</f>
        <v>-7.6841721511269023</v>
      </c>
      <c r="AS2377" s="13">
        <f>EXP(AR$4341*$AM2377+AR$4342)*$AP2377/(100000000/($AM2377-$AL2377))</f>
        <v>18.140570375091279</v>
      </c>
      <c r="AT2377" s="3">
        <f>LN(AS2377/$C2377)</f>
        <v>0.70092630980525461</v>
      </c>
      <c r="AU2377" s="16" cm="1">
        <f t="array" ref="AU2377">$C2377*EXP(poly_from_str(100000000/$E2377,AU$4342))</f>
        <v>16.495797836744657</v>
      </c>
      <c r="AV2377" s="13">
        <f>LN(AS2377/AU2377)</f>
        <v>9.504521523145143E-2</v>
      </c>
    </row>
    <row r="2378" spans="1:48" x14ac:dyDescent="0.25">
      <c r="A2378" t="s">
        <v>3160</v>
      </c>
      <c r="B2378" s="2" t="str">
        <f t="shared" si="1637"/>
        <v/>
      </c>
      <c r="C2378">
        <v>0</v>
      </c>
      <c r="E2378" t="s">
        <v>3161</v>
      </c>
      <c r="R2378">
        <v>23</v>
      </c>
      <c r="S2378" t="s">
        <v>22</v>
      </c>
      <c r="AA2378" s="10">
        <f t="shared" si="1638"/>
        <v>2983.2159999999999</v>
      </c>
      <c r="AB2378" s="3">
        <f t="shared" si="1639"/>
        <v>33511.089999999997</v>
      </c>
      <c r="AC2378" s="3" cm="1">
        <f t="array" ref="AC2378">100000000/LvacE(AA2378)</f>
        <v>33511.09351962588</v>
      </c>
      <c r="AD2378" s="10">
        <f t="shared" si="1640"/>
        <v>1.061660528765364E-2</v>
      </c>
      <c r="AE2378" s="10" t="b">
        <f t="shared" si="1641"/>
        <v>1</v>
      </c>
      <c r="AP2378"/>
      <c r="AQ2378"/>
      <c r="AU2378" s="16" cm="1">
        <f t="array" ref="AU2378">$C2378*EXP(poly_from_str(100000000/$E2378,AU$4342))</f>
        <v>0</v>
      </c>
    </row>
    <row r="2379" spans="1:48" x14ac:dyDescent="0.25">
      <c r="A2379" t="s">
        <v>3162</v>
      </c>
      <c r="B2379" s="2" t="str">
        <f t="shared" si="1637"/>
        <v/>
      </c>
      <c r="C2379">
        <v>0</v>
      </c>
      <c r="E2379" t="s">
        <v>3163</v>
      </c>
      <c r="R2379">
        <v>23</v>
      </c>
      <c r="S2379" t="s">
        <v>22</v>
      </c>
      <c r="AA2379" s="10">
        <f t="shared" si="1638"/>
        <v>2983.1759999999999</v>
      </c>
      <c r="AB2379" s="3">
        <f t="shared" si="1639"/>
        <v>33511.54</v>
      </c>
      <c r="AC2379" s="3" cm="1">
        <f t="array" ref="AC2379">100000000/LvacE(AA2379)</f>
        <v>33511.542834757842</v>
      </c>
      <c r="AD2379" s="10">
        <f t="shared" si="1640"/>
        <v>1.0616755906248549E-2</v>
      </c>
      <c r="AE2379" s="10" t="b">
        <f t="shared" si="1641"/>
        <v>1</v>
      </c>
      <c r="AP2379"/>
      <c r="AQ2379"/>
      <c r="AU2379" s="16" cm="1">
        <f t="array" ref="AU2379">$C2379*EXP(poly_from_str(100000000/$E2379,AU$4342))</f>
        <v>0</v>
      </c>
    </row>
    <row r="2380" spans="1:48" x14ac:dyDescent="0.25">
      <c r="A2380" t="s">
        <v>3164</v>
      </c>
      <c r="B2380" s="2" t="str">
        <f t="shared" si="1637"/>
        <v/>
      </c>
      <c r="C2380">
        <v>7</v>
      </c>
      <c r="E2380" t="s">
        <v>3165</v>
      </c>
      <c r="R2380">
        <v>23</v>
      </c>
      <c r="S2380" t="s">
        <v>22</v>
      </c>
      <c r="AA2380" s="10">
        <f t="shared" si="1638"/>
        <v>2982.83</v>
      </c>
      <c r="AB2380" s="3">
        <f t="shared" si="1639"/>
        <v>33515.43</v>
      </c>
      <c r="AC2380" s="3" cm="1">
        <f t="array" ref="AC2380">100000000/LvacE(AA2380)</f>
        <v>33515.429913562621</v>
      </c>
      <c r="AD2380" s="10">
        <f t="shared" si="1640"/>
        <v>1.0618059009994303E-2</v>
      </c>
      <c r="AE2380" s="10" t="b">
        <f t="shared" si="1641"/>
        <v>1</v>
      </c>
      <c r="AP2380"/>
      <c r="AQ2380"/>
      <c r="AU2380" s="16" cm="1">
        <f t="array" ref="AU2380">$C2380*EXP(poly_from_str(100000000/$E2380,AU$4342))</f>
        <v>12.824209677412123</v>
      </c>
    </row>
    <row r="2381" spans="1:48" x14ac:dyDescent="0.25">
      <c r="A2381" t="s">
        <v>3166</v>
      </c>
      <c r="B2381" s="2" t="str">
        <f t="shared" si="1637"/>
        <v/>
      </c>
      <c r="C2381">
        <v>150</v>
      </c>
      <c r="D2381" t="s">
        <v>1156</v>
      </c>
      <c r="E2381" t="s">
        <v>3167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1638"/>
        <v>2982.4160000000002</v>
      </c>
      <c r="AB2381" s="3">
        <f t="shared" si="1639"/>
        <v>33520.080000000002</v>
      </c>
      <c r="AC2381" s="3" cm="1">
        <f t="array" ref="AC2381">100000000/LvacE(AA2381)</f>
        <v>33520.08211204422</v>
      </c>
      <c r="AD2381" s="10">
        <f t="shared" si="1640"/>
        <v>1.0619618811065296E-2</v>
      </c>
      <c r="AE2381" s="10" t="b">
        <f t="shared" si="1641"/>
        <v>1</v>
      </c>
      <c r="AJ2381" t="s">
        <v>4708</v>
      </c>
      <c r="AK2381" t="s">
        <v>4892</v>
      </c>
      <c r="AL2381">
        <v>28720.71</v>
      </c>
      <c r="AM2381">
        <v>62240.83</v>
      </c>
      <c r="AN2381" s="10" cm="1">
        <f t="array" ref="AN2381">Lair(100000000/($AM2381-$AL2381))</f>
        <v>2982.4126241527783</v>
      </c>
      <c r="AO2381" s="10">
        <f>100000000/($AM2381-$AL2381)</f>
        <v>2983.2828760756224</v>
      </c>
      <c r="AP2381" s="12">
        <v>705000000</v>
      </c>
      <c r="AQ2381" s="3">
        <v>0.69799999999999995</v>
      </c>
      <c r="AR2381" s="3">
        <f>LN(AU2381*100000000/($AM2381-$AL2381)/AP2381)</f>
        <v>-6.7573138304197897</v>
      </c>
      <c r="AS2381" s="13">
        <f>EXP(AR$4341*$AM2381+AR$4342)*$AP2381/(100000000/($AM2381-$AL2381))</f>
        <v>195.61953006737332</v>
      </c>
      <c r="AT2381" s="3">
        <f>LN(AS2381/$C2381)</f>
        <v>0.26553630549029555</v>
      </c>
      <c r="AU2381" s="16" cm="1">
        <f t="array" ref="AU2381">$C2381*EXP(poly_from_str(100000000/$E2381,AU$4342))</f>
        <v>274.6822351334842</v>
      </c>
      <c r="AV2381" s="13">
        <f>LN(AS2381/AU2381)</f>
        <v>-0.33944332135971472</v>
      </c>
    </row>
    <row r="2382" spans="1:48" x14ac:dyDescent="0.25">
      <c r="A2382" t="s">
        <v>3168</v>
      </c>
      <c r="B2382" s="2" t="str">
        <f t="shared" si="1637"/>
        <v/>
      </c>
      <c r="C2382">
        <v>0</v>
      </c>
      <c r="E2382" t="s">
        <v>3169</v>
      </c>
      <c r="R2382">
        <v>23</v>
      </c>
      <c r="S2382" t="s">
        <v>22</v>
      </c>
      <c r="AA2382" s="10">
        <f t="shared" si="1638"/>
        <v>2982.288</v>
      </c>
      <c r="AB2382" s="3">
        <f t="shared" si="1639"/>
        <v>33521.519999999997</v>
      </c>
      <c r="AC2382" s="3" cm="1">
        <f t="array" ref="AC2382">100000000/LvacE(AA2382)</f>
        <v>33521.52073431488</v>
      </c>
      <c r="AD2382" s="10">
        <f t="shared" si="1640"/>
        <v>1.0620101199869844E-2</v>
      </c>
      <c r="AE2382" s="10" t="b">
        <f t="shared" si="1641"/>
        <v>1</v>
      </c>
      <c r="AP2382"/>
      <c r="AQ2382"/>
      <c r="AU2382" s="16" cm="1">
        <f t="array" ref="AU2382">$C2382*EXP(poly_from_str(100000000/$E2382,AU$4342))</f>
        <v>0</v>
      </c>
    </row>
    <row r="2383" spans="1:48" x14ac:dyDescent="0.25">
      <c r="A2383" t="s">
        <v>3170</v>
      </c>
      <c r="B2383" s="2" t="str">
        <f t="shared" si="1637"/>
        <v/>
      </c>
      <c r="C2383">
        <v>9</v>
      </c>
      <c r="D2383" t="s">
        <v>170</v>
      </c>
      <c r="E2383" t="s">
        <v>3171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1642">$G2383&amp;""</f>
        <v>e</v>
      </c>
      <c r="N2383" t="str">
        <f t="shared" ref="N2383:N2385" si="1643">$H2383&amp;""</f>
        <v>3/2</v>
      </c>
      <c r="O2383">
        <v>79366.649999999994</v>
      </c>
      <c r="P2383" t="str">
        <f t="shared" ref="P2383:P2385" si="1644">$J2383&amp;""</f>
        <v>o</v>
      </c>
      <c r="Q2383" t="str">
        <f t="shared" ref="Q2383:Q2385" si="1645">$K2383&amp;""</f>
        <v>5/2</v>
      </c>
      <c r="R2383">
        <v>23</v>
      </c>
      <c r="AA2383" s="10">
        <f t="shared" si="1638"/>
        <v>2982.2359999999999</v>
      </c>
      <c r="AB2383" s="3">
        <f t="shared" si="1639"/>
        <v>33522.11</v>
      </c>
      <c r="AC2383" s="3" cm="1">
        <f t="array" ref="AC2383">100000000/LvacE(AA2383)</f>
        <v>33522.105209884961</v>
      </c>
      <c r="AD2383" s="10">
        <f t="shared" si="1640"/>
        <v>1.0620297188063749E-2</v>
      </c>
      <c r="AE2383" s="10" t="b">
        <f t="shared" si="1641"/>
        <v>1</v>
      </c>
      <c r="AJ2383" t="s">
        <v>4971</v>
      </c>
      <c r="AK2383" t="s">
        <v>4859</v>
      </c>
      <c r="AL2383">
        <v>45844.65</v>
      </c>
      <c r="AM2383">
        <v>79366.649999999994</v>
      </c>
      <c r="AN2383" s="10" cm="1">
        <f t="array" ref="AN2383">Lair(100000000/($AM2383-$AL2383))</f>
        <v>2982.2453555853463</v>
      </c>
      <c r="AO2383" s="10">
        <f t="shared" ref="AO2383:AO2385" si="1646">100000000/($AM2383-$AL2383)</f>
        <v>2983.1155658970233</v>
      </c>
      <c r="AP2383" s="12">
        <v>685000000</v>
      </c>
      <c r="AQ2383" s="3">
        <v>0.70799999999999996</v>
      </c>
      <c r="AR2383" s="3">
        <f t="shared" ref="AR2383:AR2385" si="1647">LN(AU2383*100000000/($AM2383-$AL2383)/AP2383)</f>
        <v>-9.5421967877416307</v>
      </c>
      <c r="AS2383" s="13">
        <f t="shared" ref="AS2383:AS2385" si="1648">EXP(AR$4341*$AM2383+AR$4342)*$AP2383/(100000000/($AM2383-$AL2383))</f>
        <v>52.573459377396738</v>
      </c>
      <c r="AT2383" s="3">
        <f t="shared" ref="AT2383:AT2385" si="1649">LN(AS2383/$C2383)</f>
        <v>1.7649868404926508</v>
      </c>
      <c r="AU2383" s="16" cm="1">
        <f t="array" ref="AU2383">$C2383*EXP(poly_from_str(100000000/$E2383,AU$4342))</f>
        <v>16.47771864592892</v>
      </c>
      <c r="AV2383" s="13">
        <f t="shared" ref="AV2383:AV2385" si="1650">LN(AS2383/AU2383)</f>
        <v>1.1602023346091641</v>
      </c>
    </row>
    <row r="2384" spans="1:48" x14ac:dyDescent="0.25">
      <c r="A2384" t="s">
        <v>3172</v>
      </c>
      <c r="B2384" s="2" t="str">
        <f t="shared" si="1637"/>
        <v/>
      </c>
      <c r="C2384">
        <v>100</v>
      </c>
      <c r="D2384" t="s">
        <v>170</v>
      </c>
      <c r="E2384" t="s">
        <v>3173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1642"/>
        <v>e</v>
      </c>
      <c r="N2384" t="str">
        <f t="shared" si="1643"/>
        <v>3/2</v>
      </c>
      <c r="O2384">
        <v>66867.09</v>
      </c>
      <c r="P2384" t="str">
        <f t="shared" si="1644"/>
        <v>o</v>
      </c>
      <c r="Q2384" t="str">
        <f t="shared" si="1645"/>
        <v>3/2</v>
      </c>
      <c r="R2384">
        <v>23</v>
      </c>
      <c r="S2384" t="s">
        <v>159</v>
      </c>
      <c r="AA2384" s="10">
        <f t="shared" si="1638"/>
        <v>2981.654</v>
      </c>
      <c r="AB2384" s="3">
        <f t="shared" si="1639"/>
        <v>33528.65</v>
      </c>
      <c r="AC2384" s="3" cm="1">
        <f t="array" ref="AC2384">100000000/LvacE(AA2384)</f>
        <v>33528.64823116958</v>
      </c>
      <c r="AD2384" s="10">
        <f t="shared" si="1640"/>
        <v>1.0622491447895963E-2</v>
      </c>
      <c r="AE2384" s="10" t="b">
        <f t="shared" si="1641"/>
        <v>1</v>
      </c>
      <c r="AJ2384" t="s">
        <v>4974</v>
      </c>
      <c r="AK2384" t="s">
        <v>4867</v>
      </c>
      <c r="AL2384">
        <v>33338.370000000003</v>
      </c>
      <c r="AM2384">
        <v>66867.09</v>
      </c>
      <c r="AN2384" s="10" cm="1">
        <f t="array" ref="AN2384">Lair(100000000/($AM2384-$AL2384))</f>
        <v>2981.6476127827073</v>
      </c>
      <c r="AO2384" s="10">
        <f t="shared" si="1646"/>
        <v>2982.517674399739</v>
      </c>
      <c r="AP2384" s="12">
        <v>734000000</v>
      </c>
      <c r="AQ2384" s="3">
        <v>0.74</v>
      </c>
      <c r="AR2384" s="3">
        <f t="shared" si="1647"/>
        <v>-7.2041739710377755</v>
      </c>
      <c r="AS2384" s="13">
        <f t="shared" si="1648"/>
        <v>143.96259824503323</v>
      </c>
      <c r="AT2384" s="3">
        <f t="shared" si="1649"/>
        <v>0.36438334544159423</v>
      </c>
      <c r="AU2384" s="16" cm="1">
        <f t="array" ref="AU2384">$C2384*EXP(poly_from_str(100000000/$E2384,AU$4342))</f>
        <v>182.97006048530122</v>
      </c>
      <c r="AV2384" s="13">
        <f t="shared" si="1650"/>
        <v>-0.23976900412169866</v>
      </c>
    </row>
    <row r="2385" spans="1:48" x14ac:dyDescent="0.25">
      <c r="A2385" t="s">
        <v>3174</v>
      </c>
      <c r="B2385" s="2" t="str">
        <f t="shared" si="1637"/>
        <v/>
      </c>
      <c r="C2385">
        <v>9</v>
      </c>
      <c r="D2385" t="s">
        <v>134</v>
      </c>
      <c r="E2385" t="s">
        <v>3175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1642"/>
        <v>e</v>
      </c>
      <c r="N2385" t="str">
        <f t="shared" si="1643"/>
        <v>9/2</v>
      </c>
      <c r="O2385">
        <v>71978.52</v>
      </c>
      <c r="P2385" t="str">
        <f t="shared" si="1644"/>
        <v>o</v>
      </c>
      <c r="Q2385" t="str">
        <f t="shared" si="1645"/>
        <v>7/2</v>
      </c>
      <c r="R2385">
        <v>23</v>
      </c>
      <c r="AA2385" s="10">
        <f t="shared" si="1638"/>
        <v>2981.527</v>
      </c>
      <c r="AB2385" s="3">
        <f t="shared" si="1639"/>
        <v>33530.080000000002</v>
      </c>
      <c r="AC2385" s="3" cm="1">
        <f t="array" ref="AC2385">100000000/LvacE(AA2385)</f>
        <v>33530.076343350651</v>
      </c>
      <c r="AD2385" s="10">
        <f t="shared" si="1640"/>
        <v>1.0622970434839372E-2</v>
      </c>
      <c r="AE2385" s="10" t="b">
        <f t="shared" si="1641"/>
        <v>1</v>
      </c>
      <c r="AJ2385" t="s">
        <v>4816</v>
      </c>
      <c r="AK2385" t="s">
        <v>4716</v>
      </c>
      <c r="AL2385">
        <v>38448.379999999997</v>
      </c>
      <c r="AM2385">
        <v>71978.52</v>
      </c>
      <c r="AN2385" s="10" cm="1">
        <f t="array" ref="AN2385">Lair(100000000/($AM2385-$AL2385))</f>
        <v>2981.5213346982741</v>
      </c>
      <c r="AO2385" s="10">
        <f t="shared" si="1646"/>
        <v>2982.391364903337</v>
      </c>
      <c r="AP2385" s="12">
        <v>447000000</v>
      </c>
      <c r="AQ2385" s="3">
        <v>0.36299999999999999</v>
      </c>
      <c r="AR2385" s="3">
        <f t="shared" si="1647"/>
        <v>-9.1163504400550366</v>
      </c>
      <c r="AS2385" s="13">
        <f t="shared" si="1648"/>
        <v>59.742830286710245</v>
      </c>
      <c r="AT2385" s="3">
        <f t="shared" si="1649"/>
        <v>1.8928246110738984</v>
      </c>
      <c r="AU2385" s="16" cm="1">
        <f t="array" ref="AU2385">$C2385*EXP(poly_from_str(100000000/$E2385,AU$4342))</f>
        <v>16.46501757736857</v>
      </c>
      <c r="AV2385" s="13">
        <f t="shared" si="1650"/>
        <v>1.2888112050227747</v>
      </c>
    </row>
    <row r="2386" spans="1:48" x14ac:dyDescent="0.25">
      <c r="A2386" t="s">
        <v>3176</v>
      </c>
      <c r="B2386" s="2" t="str">
        <f t="shared" si="1637"/>
        <v/>
      </c>
      <c r="C2386">
        <v>0</v>
      </c>
      <c r="E2386" t="s">
        <v>3177</v>
      </c>
      <c r="R2386">
        <v>23</v>
      </c>
      <c r="S2386" t="s">
        <v>22</v>
      </c>
      <c r="AA2386" s="10">
        <f t="shared" si="1638"/>
        <v>2981.482</v>
      </c>
      <c r="AB2386" s="3">
        <f t="shared" si="1639"/>
        <v>33530.58</v>
      </c>
      <c r="AC2386" s="3" cm="1">
        <f t="array" ref="AC2386">100000000/LvacE(AA2386)</f>
        <v>33530.582396541853</v>
      </c>
      <c r="AD2386" s="10">
        <f t="shared" si="1640"/>
        <v>1.062314016930873E-2</v>
      </c>
      <c r="AE2386" s="10" t="b">
        <f t="shared" si="1641"/>
        <v>1</v>
      </c>
      <c r="AP2386"/>
      <c r="AQ2386"/>
      <c r="AU2386" s="16" cm="1">
        <f t="array" ref="AU2386">$C2386*EXP(poly_from_str(100000000/$E2386,AU$4342))</f>
        <v>0</v>
      </c>
    </row>
    <row r="2387" spans="1:48" x14ac:dyDescent="0.25">
      <c r="A2387" t="s">
        <v>3178</v>
      </c>
      <c r="B2387" s="2" t="str">
        <f t="shared" si="1637"/>
        <v/>
      </c>
      <c r="C2387">
        <v>0</v>
      </c>
      <c r="E2387" t="s">
        <v>3179</v>
      </c>
      <c r="R2387">
        <v>23</v>
      </c>
      <c r="S2387" t="s">
        <v>22</v>
      </c>
      <c r="AA2387" s="10">
        <f t="shared" si="1638"/>
        <v>2981.4459999999999</v>
      </c>
      <c r="AB2387" s="3">
        <f t="shared" si="1639"/>
        <v>33530.99</v>
      </c>
      <c r="AC2387" s="3" cm="1">
        <f t="array" ref="AC2387">100000000/LvacE(AA2387)</f>
        <v>33530.987250092752</v>
      </c>
      <c r="AD2387" s="10">
        <f t="shared" si="1640"/>
        <v>1.0623275962417692E-2</v>
      </c>
      <c r="AE2387" s="10" t="b">
        <f t="shared" si="1641"/>
        <v>1</v>
      </c>
      <c r="AP2387"/>
      <c r="AQ2387"/>
      <c r="AU2387" s="16" cm="1">
        <f t="array" ref="AU2387">$C2387*EXP(poly_from_str(100000000/$E2387,AU$4342))</f>
        <v>0</v>
      </c>
    </row>
    <row r="2388" spans="1:48" x14ac:dyDescent="0.25">
      <c r="A2388" t="s">
        <v>3180</v>
      </c>
      <c r="B2388" s="2" t="str">
        <f t="shared" si="1637"/>
        <v/>
      </c>
      <c r="C2388">
        <v>6</v>
      </c>
      <c r="D2388" t="s">
        <v>170</v>
      </c>
      <c r="E2388" t="s">
        <v>3181</v>
      </c>
      <c r="R2388">
        <v>23</v>
      </c>
      <c r="S2388" t="s">
        <v>22</v>
      </c>
      <c r="AA2388" s="10">
        <f t="shared" si="1638"/>
        <v>2981.201</v>
      </c>
      <c r="AB2388" s="3">
        <f t="shared" si="1639"/>
        <v>33533.74</v>
      </c>
      <c r="AC2388" s="3" cm="1">
        <f t="array" ref="AC2388">100000000/LvacE(AA2388)</f>
        <v>33533.74276310837</v>
      </c>
      <c r="AD2388" s="10">
        <f t="shared" si="1640"/>
        <v>1.0624200240625905E-2</v>
      </c>
      <c r="AE2388" s="10" t="b">
        <f t="shared" si="1641"/>
        <v>1</v>
      </c>
      <c r="AP2388"/>
      <c r="AQ2388"/>
      <c r="AU2388" s="16" cm="1">
        <f t="array" ref="AU2388">$C2388*EXP(poly_from_str(100000000/$E2388,AU$4342))</f>
        <v>10.972762671720211</v>
      </c>
    </row>
    <row r="2389" spans="1:48" x14ac:dyDescent="0.25">
      <c r="A2389" t="s">
        <v>3182</v>
      </c>
      <c r="B2389" s="2" t="str">
        <f t="shared" si="1637"/>
        <v/>
      </c>
      <c r="C2389" s="4">
        <v>0</v>
      </c>
      <c r="D2389" s="4"/>
      <c r="E2389" t="s">
        <v>3183</v>
      </c>
      <c r="R2389">
        <v>23</v>
      </c>
      <c r="S2389" t="s">
        <v>3184</v>
      </c>
      <c r="T2389" s="4">
        <v>1</v>
      </c>
      <c r="U2389" s="4" t="s">
        <v>4665</v>
      </c>
      <c r="AA2389" s="10">
        <f t="shared" si="1638"/>
        <v>2980.607</v>
      </c>
      <c r="AB2389" s="3">
        <f t="shared" si="1639"/>
        <v>33540.43</v>
      </c>
      <c r="AC2389" s="3" cm="1">
        <f t="array" ref="AC2389">100000000/LvacE(AA2389)</f>
        <v>33540.425356684085</v>
      </c>
      <c r="AD2389" s="10">
        <f t="shared" si="1640"/>
        <v>1.0626442089930691E-2</v>
      </c>
      <c r="AE2389" s="10" t="b">
        <f t="shared" si="1641"/>
        <v>1</v>
      </c>
      <c r="AP2389"/>
      <c r="AQ2389"/>
      <c r="AU2389" s="16" cm="1">
        <f t="array" ref="AU2389">$C2389*EXP(poly_from_str(100000000/$E2389,AU$4342))</f>
        <v>0</v>
      </c>
    </row>
    <row r="2390" spans="1:48" x14ac:dyDescent="0.25">
      <c r="A2390" t="s">
        <v>3185</v>
      </c>
      <c r="B2390" s="2" t="str">
        <f t="shared" si="1637"/>
        <v/>
      </c>
      <c r="C2390">
        <v>5</v>
      </c>
      <c r="D2390" t="s">
        <v>170</v>
      </c>
      <c r="E2390" t="s">
        <v>3186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1651">$G2390&amp;""</f>
        <v>e</v>
      </c>
      <c r="N2390" t="str">
        <f t="shared" ref="N2390:N2391" si="1652">$H2390&amp;""</f>
        <v>1/2</v>
      </c>
      <c r="O2390">
        <v>84409.93</v>
      </c>
      <c r="P2390" t="str">
        <f t="shared" ref="P2390:P2391" si="1653">$J2390&amp;""</f>
        <v>o</v>
      </c>
      <c r="Q2390" t="str">
        <f t="shared" ref="Q2390:Q2391" si="1654">$K2390&amp;""</f>
        <v>3/2</v>
      </c>
      <c r="R2390">
        <v>23</v>
      </c>
      <c r="AA2390" s="10">
        <f t="shared" si="1638"/>
        <v>2980.5830000000001</v>
      </c>
      <c r="AB2390" s="3">
        <f t="shared" si="1639"/>
        <v>33540.699999999997</v>
      </c>
      <c r="AC2390" s="3" cm="1">
        <f t="array" ref="AC2390">100000000/LvacE(AA2390)</f>
        <v>33540.695416443799</v>
      </c>
      <c r="AD2390" s="10">
        <f t="shared" si="1640"/>
        <v>1.062653269787216E-2</v>
      </c>
      <c r="AE2390" s="10" t="b">
        <f t="shared" si="1641"/>
        <v>1</v>
      </c>
      <c r="AJ2390" t="s">
        <v>4784</v>
      </c>
      <c r="AK2390" t="s">
        <v>4930</v>
      </c>
      <c r="AL2390">
        <v>50869.3</v>
      </c>
      <c r="AM2390">
        <v>84409.93</v>
      </c>
      <c r="AN2390" s="10" cm="1">
        <f t="array" ref="AN2390">Lair(100000000/($AM2390-$AL2390))</f>
        <v>2980.5888088206357</v>
      </c>
      <c r="AO2390" s="10">
        <f t="shared" ref="AO2390:AO2391" si="1655">100000000/($AM2390-$AL2390)</f>
        <v>2981.4586070685027</v>
      </c>
      <c r="AP2390" s="12">
        <v>318000000</v>
      </c>
      <c r="AQ2390" s="3">
        <v>0.61599999999999999</v>
      </c>
      <c r="AR2390" s="3">
        <f t="shared" ref="AR2390:AR2391" si="1656">LN(AU2390*100000000/($AM2390-$AL2390)/AP2390)</f>
        <v>-9.3649826502134044</v>
      </c>
      <c r="AS2390" s="13">
        <f t="shared" ref="AS2390:AS2391" si="1657">EXP(AR$4341*$AM2390+AR$4342)*$AP2390/(100000000/($AM2390-$AL2390))</f>
        <v>16.725219654236618</v>
      </c>
      <c r="AT2390" s="3">
        <f t="shared" ref="AT2390:AT2391" si="1658">LN(AS2390/$C2390)</f>
        <v>1.2074798267816411</v>
      </c>
      <c r="AU2390" s="16" cm="1">
        <f t="array" ref="AU2390">$C2390*EXP(poly_from_str(100000000/$E2390,AU$4342))</f>
        <v>9.1377242392457383</v>
      </c>
      <c r="AV2390" s="13">
        <f t="shared" ref="AV2390:AV2391" si="1659">LN(AS2390/AU2390)</f>
        <v>0.60450637389422968</v>
      </c>
    </row>
    <row r="2391" spans="1:48" x14ac:dyDescent="0.25">
      <c r="A2391" t="s">
        <v>3187</v>
      </c>
      <c r="B2391" s="2" t="str">
        <f t="shared" si="1637"/>
        <v/>
      </c>
      <c r="C2391">
        <v>500</v>
      </c>
      <c r="D2391" t="s">
        <v>134</v>
      </c>
      <c r="E2391" t="s">
        <v>3188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1651"/>
        <v>e</v>
      </c>
      <c r="N2391" t="str">
        <f t="shared" si="1652"/>
        <v>13/2</v>
      </c>
      <c r="O2391">
        <v>66301.350000000006</v>
      </c>
      <c r="P2391" t="str">
        <f t="shared" si="1653"/>
        <v>o</v>
      </c>
      <c r="Q2391" t="str">
        <f t="shared" si="1654"/>
        <v>15/2</v>
      </c>
      <c r="R2391">
        <v>23</v>
      </c>
      <c r="S2391" t="s">
        <v>159</v>
      </c>
      <c r="AA2391" s="10">
        <f t="shared" si="1638"/>
        <v>2980.5369999999998</v>
      </c>
      <c r="AB2391" s="3">
        <f t="shared" si="1639"/>
        <v>33541.21</v>
      </c>
      <c r="AC2391" s="3" cm="1">
        <f t="array" ref="AC2391">100000000/LvacE(AA2391)</f>
        <v>33541.213043138887</v>
      </c>
      <c r="AD2391" s="10">
        <f t="shared" si="1640"/>
        <v>1.0626706369211134E-2</v>
      </c>
      <c r="AE2391" s="10" t="b">
        <f t="shared" si="1641"/>
        <v>1</v>
      </c>
      <c r="AJ2391" t="s">
        <v>4829</v>
      </c>
      <c r="AK2391" t="s">
        <v>4824</v>
      </c>
      <c r="AL2391">
        <v>32760.11</v>
      </c>
      <c r="AM2391">
        <v>66301.350000000006</v>
      </c>
      <c r="AN2391" s="10" cm="1">
        <f t="array" ref="AN2391">Lair(100000000/($AM2391-$AL2391))</f>
        <v>2980.5345998080829</v>
      </c>
      <c r="AO2391" s="10">
        <f t="shared" si="1655"/>
        <v>2981.4043845725437</v>
      </c>
      <c r="AP2391" s="12">
        <v>4520000000</v>
      </c>
      <c r="AQ2391" s="3">
        <v>0.89200000000000002</v>
      </c>
      <c r="AR2391" s="3">
        <f t="shared" si="1656"/>
        <v>-7.4140968405359837</v>
      </c>
      <c r="AS2391" s="13">
        <f t="shared" si="1657"/>
        <v>925.32226468409817</v>
      </c>
      <c r="AT2391" s="3">
        <f t="shared" si="1658"/>
        <v>0.61553397266812693</v>
      </c>
      <c r="AU2391" s="16" cm="1">
        <f t="array" ref="AU2391">$C2391*EXP(poly_from_str(100000000/$E2391,AU$4342))</f>
        <v>913.7264627548102</v>
      </c>
      <c r="AV2391" s="13">
        <f t="shared" si="1659"/>
        <v>1.2610819313161985E-2</v>
      </c>
    </row>
    <row r="2392" spans="1:48" x14ac:dyDescent="0.25">
      <c r="A2392" t="s">
        <v>3189</v>
      </c>
      <c r="B2392" s="2" t="str">
        <f t="shared" si="1637"/>
        <v/>
      </c>
      <c r="C2392">
        <v>0</v>
      </c>
      <c r="E2392" t="s">
        <v>3190</v>
      </c>
      <c r="R2392">
        <v>23</v>
      </c>
      <c r="S2392" t="s">
        <v>22</v>
      </c>
      <c r="AA2392" s="10">
        <f t="shared" si="1638"/>
        <v>2980.5030000000002</v>
      </c>
      <c r="AB2392" s="3">
        <f t="shared" si="1639"/>
        <v>33541.599999999999</v>
      </c>
      <c r="AC2392" s="3" cm="1">
        <f t="array" ref="AC2392">100000000/LvacE(AA2392)</f>
        <v>33541.59564705153</v>
      </c>
      <c r="AD2392" s="10">
        <f t="shared" si="1640"/>
        <v>1.0626834740151501E-2</v>
      </c>
      <c r="AE2392" s="10" t="b">
        <f t="shared" si="1641"/>
        <v>1</v>
      </c>
      <c r="AP2392"/>
      <c r="AQ2392"/>
      <c r="AU2392" s="16" cm="1">
        <f t="array" ref="AU2392">$C2392*EXP(poly_from_str(100000000/$E2392,AU$4342))</f>
        <v>0</v>
      </c>
    </row>
    <row r="2393" spans="1:48" x14ac:dyDescent="0.25">
      <c r="A2393" t="s">
        <v>3191</v>
      </c>
      <c r="B2393" s="2" t="str">
        <f t="shared" si="1637"/>
        <v/>
      </c>
      <c r="C2393">
        <v>0</v>
      </c>
      <c r="E2393" t="s">
        <v>3192</v>
      </c>
      <c r="R2393">
        <v>23</v>
      </c>
      <c r="S2393" t="s">
        <v>22</v>
      </c>
      <c r="AA2393" s="10">
        <f t="shared" si="1638"/>
        <v>2980.47</v>
      </c>
      <c r="AB2393" s="3">
        <f t="shared" si="1639"/>
        <v>33541.97</v>
      </c>
      <c r="AC2393" s="3" cm="1">
        <f t="array" ref="AC2393">100000000/LvacE(AA2393)</f>
        <v>33541.967006255145</v>
      </c>
      <c r="AD2393" s="10">
        <f t="shared" si="1640"/>
        <v>1.0626959339677156E-2</v>
      </c>
      <c r="AE2393" s="10" t="b">
        <f t="shared" si="1641"/>
        <v>1</v>
      </c>
      <c r="AP2393"/>
      <c r="AQ2393"/>
      <c r="AU2393" s="16" cm="1">
        <f t="array" ref="AU2393">$C2393*EXP(poly_from_str(100000000/$E2393,AU$4342))</f>
        <v>0</v>
      </c>
    </row>
    <row r="2394" spans="1:48" x14ac:dyDescent="0.25">
      <c r="A2394" t="s">
        <v>3193</v>
      </c>
      <c r="B2394" s="2" t="str">
        <f t="shared" si="1637"/>
        <v/>
      </c>
      <c r="C2394">
        <v>8</v>
      </c>
      <c r="D2394" t="s">
        <v>1156</v>
      </c>
      <c r="E2394" t="s">
        <v>3194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1638"/>
        <v>2979.7950000000001</v>
      </c>
      <c r="AB2394" s="3">
        <f t="shared" si="1639"/>
        <v>33549.56</v>
      </c>
      <c r="AC2394" s="3" cm="1">
        <f t="array" ref="AC2394">100000000/LvacE(AA2394)</f>
        <v>33549.564794636142</v>
      </c>
      <c r="AD2394" s="10">
        <f t="shared" si="1640"/>
        <v>1.0629508874710532E-2</v>
      </c>
      <c r="AE2394" s="10" t="b">
        <f t="shared" si="1641"/>
        <v>1</v>
      </c>
      <c r="AJ2394" t="s">
        <v>4761</v>
      </c>
      <c r="AK2394" t="s">
        <v>4739</v>
      </c>
      <c r="AL2394">
        <v>34825.49</v>
      </c>
      <c r="AM2394">
        <v>68374.539999999994</v>
      </c>
      <c r="AN2394" s="10" cm="1">
        <f t="array" ref="AN2394">Lair(100000000/($AM2394-$AL2394))</f>
        <v>2979.8407208978119</v>
      </c>
      <c r="AO2394" s="10">
        <f>100000000/($AM2394-$AL2394)</f>
        <v>2980.7103330794766</v>
      </c>
      <c r="AP2394" s="12">
        <v>1190000</v>
      </c>
      <c r="AQ2394" s="3">
        <v>1E-3</v>
      </c>
      <c r="AR2394" s="3"/>
      <c r="AS2394" s="13">
        <f>EXP(AR$4341*$AM2394+AR$4342)*$AP2394/(100000000/($AM2394-$AL2394))</f>
        <v>0.20856067640258091</v>
      </c>
      <c r="AT2394" s="3"/>
      <c r="AU2394" s="16" cm="1">
        <f t="array" ref="AU2394">$C2394*EXP(poly_from_str(100000000/$E2394,AU$4342))</f>
        <v>14.607520449692348</v>
      </c>
    </row>
    <row r="2395" spans="1:48" x14ac:dyDescent="0.25">
      <c r="A2395" t="s">
        <v>3195</v>
      </c>
      <c r="B2395" s="2" t="str">
        <f t="shared" si="1637"/>
        <v/>
      </c>
      <c r="C2395">
        <v>6</v>
      </c>
      <c r="E2395" t="s">
        <v>3196</v>
      </c>
      <c r="R2395">
        <v>23</v>
      </c>
      <c r="S2395" t="s">
        <v>22</v>
      </c>
      <c r="AA2395" s="10">
        <f t="shared" si="1638"/>
        <v>2979.3580000000002</v>
      </c>
      <c r="AB2395" s="3">
        <f t="shared" si="1639"/>
        <v>33554.480000000003</v>
      </c>
      <c r="AC2395" s="3" cm="1">
        <f t="array" ref="AC2395">100000000/LvacE(AA2395)</f>
        <v>33554.485494866036</v>
      </c>
      <c r="AD2395" s="10">
        <f t="shared" si="1640"/>
        <v>1.063116038671184E-2</v>
      </c>
      <c r="AE2395" s="10" t="b">
        <f t="shared" si="1641"/>
        <v>1</v>
      </c>
      <c r="AP2395"/>
      <c r="AQ2395"/>
      <c r="AU2395" s="16" cm="1">
        <f t="array" ref="AU2395">$C2395*EXP(poly_from_str(100000000/$E2395,AU$4342))</f>
        <v>10.950250264258045</v>
      </c>
    </row>
    <row r="2396" spans="1:48" x14ac:dyDescent="0.25">
      <c r="A2396" t="s">
        <v>3197</v>
      </c>
      <c r="B2396" s="2" t="str">
        <f t="shared" si="1637"/>
        <v/>
      </c>
      <c r="C2396">
        <v>7</v>
      </c>
      <c r="D2396" t="s">
        <v>14</v>
      </c>
      <c r="E2396" t="s">
        <v>3198</v>
      </c>
      <c r="R2396">
        <v>23</v>
      </c>
      <c r="S2396" t="s">
        <v>22</v>
      </c>
      <c r="AA2396" s="10">
        <f t="shared" si="1638"/>
        <v>2979.2809999999999</v>
      </c>
      <c r="AB2396" s="3">
        <f t="shared" si="1639"/>
        <v>33555.35</v>
      </c>
      <c r="AC2396" s="3" cm="1">
        <f t="array" ref="AC2396">100000000/LvacE(AA2396)</f>
        <v>33555.352678576251</v>
      </c>
      <c r="AD2396" s="10">
        <f t="shared" si="1640"/>
        <v>1.0631451460700797E-2</v>
      </c>
      <c r="AE2396" s="10" t="b">
        <f t="shared" si="1641"/>
        <v>1</v>
      </c>
      <c r="AP2396"/>
      <c r="AQ2396"/>
      <c r="AU2396" s="16" cm="1">
        <f t="array" ref="AU2396">$C2396*EXP(poly_from_str(100000000/$E2396,AU$4342))</f>
        <v>12.774176262107819</v>
      </c>
    </row>
    <row r="2397" spans="1:48" x14ac:dyDescent="0.25">
      <c r="A2397" t="s">
        <v>3199</v>
      </c>
      <c r="B2397" s="2" t="str">
        <f t="shared" si="1637"/>
        <v/>
      </c>
      <c r="C2397">
        <v>9</v>
      </c>
      <c r="D2397" t="s">
        <v>134</v>
      </c>
      <c r="E2397" t="s">
        <v>3200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1638"/>
        <v>2978.9070000000002</v>
      </c>
      <c r="AB2397" s="3">
        <f t="shared" si="1639"/>
        <v>33559.56</v>
      </c>
      <c r="AC2397" s="3" cm="1">
        <f t="array" ref="AC2397">100000000/LvacE(AA2397)</f>
        <v>33559.56535138467</v>
      </c>
      <c r="AD2397" s="10">
        <f t="shared" si="1640"/>
        <v>1.0632865569718132E-2</v>
      </c>
      <c r="AE2397" s="10" t="b">
        <f t="shared" si="1641"/>
        <v>1</v>
      </c>
      <c r="AJ2397" t="s">
        <v>4972</v>
      </c>
      <c r="AK2397" t="s">
        <v>4859</v>
      </c>
      <c r="AL2397">
        <v>45807.1</v>
      </c>
      <c r="AM2397">
        <v>79366.649999999994</v>
      </c>
      <c r="AN2397" s="10" cm="1">
        <f t="array" ref="AN2397">Lair(100000000/($AM2397-$AL2397))</f>
        <v>2978.9083580791557</v>
      </c>
      <c r="AO2397" s="10">
        <f>100000000/($AM2397-$AL2397)</f>
        <v>2979.7777383784946</v>
      </c>
      <c r="AP2397" s="12">
        <v>619000000</v>
      </c>
      <c r="AQ2397" s="3">
        <v>0.34399999999999997</v>
      </c>
      <c r="AR2397" s="3">
        <f>LN(AU2397*100000000/($AM2397-$AL2397)/AP2397)</f>
        <v>-9.4456957381835522</v>
      </c>
      <c r="AS2397" s="13">
        <f>EXP(AR$4341*$AM2397+AR$4342)*$AP2397/(100000000/($AM2397-$AL2397))</f>
        <v>47.561203921144482</v>
      </c>
      <c r="AT2397" s="3">
        <f>LN(AS2397/$C2397)</f>
        <v>1.6647928078990377</v>
      </c>
      <c r="AU2397" s="16" cm="1">
        <f t="array" ref="AU2397">$C2397*EXP(poly_from_str(100000000/$E2397,AU$4342))</f>
        <v>16.416978934897692</v>
      </c>
      <c r="AV2397" s="13">
        <f>LN(AS2397/AU2397)</f>
        <v>1.0637012850510859</v>
      </c>
    </row>
    <row r="2398" spans="1:48" x14ac:dyDescent="0.25">
      <c r="A2398" t="s">
        <v>3201</v>
      </c>
      <c r="B2398" s="2" t="str">
        <f t="shared" si="1637"/>
        <v/>
      </c>
      <c r="C2398">
        <v>0</v>
      </c>
      <c r="E2398" t="s">
        <v>3202</v>
      </c>
      <c r="R2398">
        <v>23</v>
      </c>
      <c r="S2398" t="s">
        <v>22</v>
      </c>
      <c r="AA2398" s="10">
        <f t="shared" si="1638"/>
        <v>2978.8580000000002</v>
      </c>
      <c r="AB2398" s="3">
        <f t="shared" si="1639"/>
        <v>33560.120000000003</v>
      </c>
      <c r="AC2398" s="3" cm="1">
        <f t="array" ref="AC2398">100000000/LvacE(AA2398)</f>
        <v>33560.117357473755</v>
      </c>
      <c r="AD2398" s="10">
        <f t="shared" si="1640"/>
        <v>1.0633050880148324E-2</v>
      </c>
      <c r="AE2398" s="10" t="b">
        <f t="shared" si="1641"/>
        <v>1</v>
      </c>
      <c r="AP2398"/>
      <c r="AQ2398"/>
      <c r="AU2398" s="16" cm="1">
        <f t="array" ref="AU2398">$C2398*EXP(poly_from_str(100000000/$E2398,AU$4342))</f>
        <v>0</v>
      </c>
    </row>
    <row r="2399" spans="1:48" x14ac:dyDescent="0.25">
      <c r="A2399" t="s">
        <v>3203</v>
      </c>
      <c r="B2399" s="2" t="str">
        <f t="shared" si="1637"/>
        <v/>
      </c>
      <c r="C2399">
        <v>0</v>
      </c>
      <c r="E2399" t="s">
        <v>3204</v>
      </c>
      <c r="R2399">
        <v>23</v>
      </c>
      <c r="S2399" t="s">
        <v>22</v>
      </c>
      <c r="AA2399" s="10">
        <f t="shared" si="1638"/>
        <v>2978.8130000000001</v>
      </c>
      <c r="AB2399" s="3">
        <f t="shared" si="1639"/>
        <v>33560.620000000003</v>
      </c>
      <c r="AC2399" s="3" cm="1">
        <f t="array" ref="AC2399">100000000/LvacE(AA2399)</f>
        <v>33560.624317837304</v>
      </c>
      <c r="AD2399" s="10">
        <f t="shared" si="1640"/>
        <v>1.0633221071251754E-2</v>
      </c>
      <c r="AE2399" s="10" t="b">
        <f t="shared" si="1641"/>
        <v>1</v>
      </c>
      <c r="AP2399"/>
      <c r="AQ2399"/>
      <c r="AU2399" s="16" cm="1">
        <f t="array" ref="AU2399">$C2399*EXP(poly_from_str(100000000/$E2399,AU$4342))</f>
        <v>0</v>
      </c>
    </row>
    <row r="2400" spans="1:48" x14ac:dyDescent="0.25">
      <c r="A2400" t="s">
        <v>3205</v>
      </c>
      <c r="B2400" s="2" t="str">
        <f t="shared" si="1637"/>
        <v/>
      </c>
      <c r="C2400">
        <v>150</v>
      </c>
      <c r="D2400" t="s">
        <v>134</v>
      </c>
      <c r="E2400" t="s">
        <v>3206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1638"/>
        <v>2977.0619999999999</v>
      </c>
      <c r="AB2400" s="3">
        <f t="shared" si="1639"/>
        <v>33580.36</v>
      </c>
      <c r="AC2400" s="3" cm="1">
        <f t="array" ref="AC2400">100000000/LvacE(AA2400)</f>
        <v>33580.36260849284</v>
      </c>
      <c r="AD2400" s="10">
        <f t="shared" si="1640"/>
        <v>1.063984938985027E-2</v>
      </c>
      <c r="AE2400" s="10" t="b">
        <f t="shared" si="1641"/>
        <v>1</v>
      </c>
      <c r="AJ2400" t="s">
        <v>4895</v>
      </c>
      <c r="AK2400" t="s">
        <v>4852</v>
      </c>
      <c r="AL2400">
        <v>33659.99</v>
      </c>
      <c r="AM2400">
        <v>67240.350000000006</v>
      </c>
      <c r="AN2400" s="10" cm="1">
        <f t="array" ref="AN2400">Lair(100000000/($AM2400-$AL2400))</f>
        <v>2977.0622266340811</v>
      </c>
      <c r="AO2400" s="10">
        <f>100000000/($AM2400-$AL2400)</f>
        <v>2977.931147849516</v>
      </c>
      <c r="AP2400" s="12">
        <v>1610000000</v>
      </c>
      <c r="AQ2400" s="3">
        <v>0.81399999999999995</v>
      </c>
      <c r="AR2400" s="3">
        <f>LN(AU2400*100000000/($AM2400-$AL2400)/AP2400)</f>
        <v>-7.5909166275697144</v>
      </c>
      <c r="AS2400" s="13">
        <f>EXP(AR$4341*$AM2400+AR$4342)*$AP2400/(100000000/($AM2400-$AL2400))</f>
        <v>307.5264176083333</v>
      </c>
      <c r="AT2400" s="3">
        <f>LN(AS2400/$C2400)</f>
        <v>0.71792570038159409</v>
      </c>
      <c r="AU2400" s="16" cm="1">
        <f t="array" ref="AU2400">$C2400*EXP(poly_from_str(100000000/$E2400,AU$4342))</f>
        <v>273.03480984927529</v>
      </c>
      <c r="AV2400" s="13">
        <f>LN(AS2400/AU2400)</f>
        <v>0.11896169881601741</v>
      </c>
    </row>
    <row r="2401" spans="1:48" x14ac:dyDescent="0.25">
      <c r="A2401" t="s">
        <v>3207</v>
      </c>
      <c r="B2401" s="2" t="str">
        <f t="shared" si="1637"/>
        <v/>
      </c>
      <c r="C2401">
        <v>0</v>
      </c>
      <c r="E2401" t="s">
        <v>3208</v>
      </c>
      <c r="R2401">
        <v>23</v>
      </c>
      <c r="S2401" t="s">
        <v>22</v>
      </c>
      <c r="AA2401" s="10">
        <f t="shared" si="1638"/>
        <v>2977.018</v>
      </c>
      <c r="AB2401" s="3">
        <f t="shared" si="1639"/>
        <v>33580.86</v>
      </c>
      <c r="AC2401" s="3" cm="1">
        <f t="array" ref="AC2401">100000000/LvacE(AA2401)</f>
        <v>33580.858901127911</v>
      </c>
      <c r="AD2401" s="10">
        <f t="shared" si="1640"/>
        <v>1.0640016100192863E-2</v>
      </c>
      <c r="AE2401" s="10" t="b">
        <f t="shared" si="1641"/>
        <v>1</v>
      </c>
      <c r="AP2401"/>
      <c r="AQ2401"/>
      <c r="AU2401" s="16" cm="1">
        <f t="array" ref="AU2401">$C2401*EXP(poly_from_str(100000000/$E2401,AU$4342))</f>
        <v>0</v>
      </c>
    </row>
    <row r="2402" spans="1:48" x14ac:dyDescent="0.25">
      <c r="A2402" t="s">
        <v>3209</v>
      </c>
      <c r="B2402" s="2" t="str">
        <f t="shared" si="1637"/>
        <v/>
      </c>
      <c r="C2402">
        <v>150</v>
      </c>
      <c r="D2402" t="s">
        <v>170</v>
      </c>
      <c r="E2402" t="s">
        <v>3210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1660">$G2402&amp;""</f>
        <v>e</v>
      </c>
      <c r="N2402" t="str">
        <f t="shared" ref="N2402:N2403" si="1661">$H2402&amp;""</f>
        <v>11/2</v>
      </c>
      <c r="O2402">
        <v>67049.179999999993</v>
      </c>
      <c r="P2402" t="str">
        <f t="shared" ref="P2402:P2403" si="1662">$J2402&amp;""</f>
        <v>o</v>
      </c>
      <c r="Q2402" t="str">
        <f t="shared" ref="Q2402:Q2403" si="1663">$K2402&amp;""</f>
        <v>9/2</v>
      </c>
      <c r="R2402">
        <v>23</v>
      </c>
      <c r="S2402" t="s">
        <v>159</v>
      </c>
      <c r="AA2402" s="10">
        <f t="shared" si="1638"/>
        <v>2976.86</v>
      </c>
      <c r="AB2402" s="3">
        <f t="shared" si="1639"/>
        <v>33582.639999999999</v>
      </c>
      <c r="AC2402" s="3" cm="1">
        <f t="array" ref="AC2402">100000000/LvacE(AA2402)</f>
        <v>33582.641163784079</v>
      </c>
      <c r="AD2402" s="10">
        <f t="shared" si="1640"/>
        <v>1.0640614802809686E-2</v>
      </c>
      <c r="AE2402" s="10" t="b">
        <f t="shared" si="1641"/>
        <v>1</v>
      </c>
      <c r="AJ2402" t="s">
        <v>4774</v>
      </c>
      <c r="AK2402" t="s">
        <v>4862</v>
      </c>
      <c r="AL2402">
        <v>33466.410000000003</v>
      </c>
      <c r="AM2402">
        <v>67049.179999999993</v>
      </c>
      <c r="AN2402" s="10" cm="1">
        <f t="array" ref="AN2402">Lair(100000000/($AM2402-$AL2402))</f>
        <v>2976.8485745145822</v>
      </c>
      <c r="AO2402" s="10">
        <f t="shared" ref="AO2402:AO2403" si="1664">100000000/($AM2402-$AL2402)</f>
        <v>2977.7174426052416</v>
      </c>
      <c r="AP2402" s="12">
        <v>1820000000</v>
      </c>
      <c r="AQ2402" s="3">
        <v>0.746</v>
      </c>
      <c r="AR2402" s="3">
        <f t="shared" ref="AR2402:AR2403" si="1665">LN(AU2402*100000000/($AM2402-$AL2402)/AP2402)</f>
        <v>-7.713827239736804</v>
      </c>
      <c r="AS2402" s="13">
        <f t="shared" ref="AS2402:AS2403" si="1666">EXP(AR$4341*$AM2402+AR$4342)*$AP2402/(100000000/($AM2402-$AL2402))</f>
        <v>352.68727974434825</v>
      </c>
      <c r="AT2402" s="3">
        <f t="shared" ref="AT2402:AT2403" si="1667">LN(AS2402/$C2402)</f>
        <v>0.85494647712636407</v>
      </c>
      <c r="AU2402" s="16" cm="1">
        <f t="array" ref="AU2402">$C2402*EXP(poly_from_str(100000000/$E2402,AU$4342))</f>
        <v>272.97023806155886</v>
      </c>
      <c r="AV2402" s="13">
        <f t="shared" ref="AV2402:AV2403" si="1668">LN(AS2402/AU2402)</f>
        <v>0.25621900007009191</v>
      </c>
    </row>
    <row r="2403" spans="1:48" x14ac:dyDescent="0.25">
      <c r="A2403" t="s">
        <v>3211</v>
      </c>
      <c r="B2403" s="2" t="str">
        <f t="shared" si="1637"/>
        <v/>
      </c>
      <c r="C2403">
        <v>40</v>
      </c>
      <c r="D2403" t="s">
        <v>134</v>
      </c>
      <c r="E2403" t="s">
        <v>3212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1660"/>
        <v>e</v>
      </c>
      <c r="N2403" t="str">
        <f t="shared" si="1661"/>
        <v>5/2</v>
      </c>
      <c r="O2403">
        <v>79395.55</v>
      </c>
      <c r="P2403" t="str">
        <f t="shared" si="1662"/>
        <v>o</v>
      </c>
      <c r="Q2403" t="str">
        <f t="shared" si="1663"/>
        <v>7/2</v>
      </c>
      <c r="R2403">
        <v>23</v>
      </c>
      <c r="AA2403" s="10">
        <f t="shared" si="1638"/>
        <v>2976.3470000000002</v>
      </c>
      <c r="AB2403" s="3">
        <f t="shared" si="1639"/>
        <v>33588.43</v>
      </c>
      <c r="AC2403" s="3" cm="1">
        <f t="array" ref="AC2403">100000000/LvacE(AA2403)</f>
        <v>33588.429181826432</v>
      </c>
      <c r="AD2403" s="10">
        <f t="shared" si="1640"/>
        <v>1.0642559349065554E-2</v>
      </c>
      <c r="AE2403" s="10" t="b">
        <f t="shared" si="1641"/>
        <v>1</v>
      </c>
      <c r="AJ2403" t="s">
        <v>4972</v>
      </c>
      <c r="AK2403" t="s">
        <v>4917</v>
      </c>
      <c r="AL2403">
        <v>45807.1</v>
      </c>
      <c r="AM2403">
        <v>79395.55</v>
      </c>
      <c r="AN2403" s="10" cm="1">
        <f t="array" ref="AN2403">Lair(100000000/($AM2403-$AL2403))</f>
        <v>2976.3451505485073</v>
      </c>
      <c r="AO2403" s="10">
        <f t="shared" si="1664"/>
        <v>2977.2138934663549</v>
      </c>
      <c r="AP2403" s="12">
        <v>1330000000</v>
      </c>
      <c r="AQ2403" s="3">
        <v>0.77700000000000002</v>
      </c>
      <c r="AR2403" s="3">
        <f t="shared" si="1665"/>
        <v>-8.7226982311825711</v>
      </c>
      <c r="AS2403" s="13">
        <f t="shared" si="1666"/>
        <v>102.05769264895821</v>
      </c>
      <c r="AT2403" s="3">
        <f t="shared" si="1667"/>
        <v>0.93665881347638413</v>
      </c>
      <c r="AU2403" s="16" cm="1">
        <f t="array" ref="AU2403">$C2403*EXP(poly_from_str(100000000/$E2403,AU$4342))</f>
        <v>72.748140159057073</v>
      </c>
      <c r="AV2403" s="13">
        <f t="shared" si="1668"/>
        <v>0.33853492668946206</v>
      </c>
    </row>
    <row r="2404" spans="1:48" x14ac:dyDescent="0.25">
      <c r="A2404" t="s">
        <v>3213</v>
      </c>
      <c r="B2404" s="2" t="str">
        <f t="shared" si="1637"/>
        <v/>
      </c>
      <c r="C2404">
        <v>0</v>
      </c>
      <c r="E2404" t="s">
        <v>3214</v>
      </c>
      <c r="R2404">
        <v>23</v>
      </c>
      <c r="S2404" t="s">
        <v>22</v>
      </c>
      <c r="AA2404" s="10">
        <f t="shared" si="1638"/>
        <v>2976.2939999999999</v>
      </c>
      <c r="AB2404" s="3">
        <f t="shared" si="1639"/>
        <v>33589.03</v>
      </c>
      <c r="AC2404" s="3" cm="1">
        <f t="array" ref="AC2404">100000000/LvacE(AA2404)</f>
        <v>33589.027277906578</v>
      </c>
      <c r="AD2404" s="10">
        <f t="shared" si="1640"/>
        <v>1.0642760304913859E-2</v>
      </c>
      <c r="AE2404" s="10" t="b">
        <f t="shared" si="1641"/>
        <v>1</v>
      </c>
      <c r="AP2404"/>
      <c r="AQ2404"/>
      <c r="AU2404" s="16" cm="1">
        <f t="array" ref="AU2404">$C2404*EXP(poly_from_str(100000000/$E2404,AU$4342))</f>
        <v>0</v>
      </c>
    </row>
    <row r="2405" spans="1:48" x14ac:dyDescent="0.25">
      <c r="A2405" t="s">
        <v>3215</v>
      </c>
      <c r="B2405" s="2" t="str">
        <f t="shared" si="1637"/>
        <v/>
      </c>
      <c r="C2405">
        <v>0</v>
      </c>
      <c r="E2405" t="s">
        <v>3216</v>
      </c>
      <c r="R2405">
        <v>23</v>
      </c>
      <c r="S2405" t="s">
        <v>22</v>
      </c>
      <c r="AA2405" s="10">
        <f t="shared" si="1638"/>
        <v>2976.2539999999999</v>
      </c>
      <c r="AB2405" s="3">
        <f t="shared" si="1639"/>
        <v>33589.480000000003</v>
      </c>
      <c r="AC2405" s="3" cm="1">
        <f t="array" ref="AC2405">100000000/LvacE(AA2405)</f>
        <v>33589.478685278373</v>
      </c>
      <c r="AD2405" s="10">
        <f t="shared" si="1640"/>
        <v>1.0642911976813534E-2</v>
      </c>
      <c r="AE2405" s="10" t="b">
        <f t="shared" si="1641"/>
        <v>1</v>
      </c>
      <c r="AP2405"/>
      <c r="AQ2405"/>
      <c r="AU2405" s="16" cm="1">
        <f t="array" ref="AU2405">$C2405*EXP(poly_from_str(100000000/$E2405,AU$4342))</f>
        <v>0</v>
      </c>
    </row>
    <row r="2406" spans="1:48" x14ac:dyDescent="0.25">
      <c r="A2406" t="s">
        <v>3217</v>
      </c>
      <c r="B2406" s="2" t="str">
        <f t="shared" si="1637"/>
        <v/>
      </c>
      <c r="C2406">
        <v>20</v>
      </c>
      <c r="D2406" t="s">
        <v>170</v>
      </c>
      <c r="E2406" t="s">
        <v>3218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1669">$G2406&amp;""</f>
        <v>e</v>
      </c>
      <c r="N2406" t="str">
        <f t="shared" ref="N2406:N2407" si="1670">$H2406&amp;""</f>
        <v>5/2</v>
      </c>
      <c r="O2406">
        <v>68978.55</v>
      </c>
      <c r="P2406" t="str">
        <f t="shared" ref="P2406:P2407" si="1671">$J2406&amp;""</f>
        <v>o</v>
      </c>
      <c r="Q2406" t="str">
        <f t="shared" ref="Q2406:Q2407" si="1672">$K2406&amp;""</f>
        <v>5/2</v>
      </c>
      <c r="R2406">
        <v>23</v>
      </c>
      <c r="S2406" t="s">
        <v>159</v>
      </c>
      <c r="AA2406" s="10">
        <f t="shared" si="1638"/>
        <v>2975.837</v>
      </c>
      <c r="AB2406" s="3">
        <f t="shared" si="1639"/>
        <v>33594.18</v>
      </c>
      <c r="AC2406" s="3" cm="1">
        <f t="array" ref="AC2406">100000000/LvacE(AA2406)</f>
        <v>33594.18532976391</v>
      </c>
      <c r="AD2406" s="10">
        <f t="shared" si="1640"/>
        <v>1.0644493520606792E-2</v>
      </c>
      <c r="AE2406" s="10" t="b">
        <f t="shared" si="1641"/>
        <v>1</v>
      </c>
      <c r="AJ2406" t="s">
        <v>4728</v>
      </c>
      <c r="AK2406" t="s">
        <v>4918</v>
      </c>
      <c r="AL2406">
        <v>35384.17</v>
      </c>
      <c r="AM2406">
        <v>68978.55</v>
      </c>
      <c r="AN2406" s="10" cm="1">
        <f t="array" ref="AN2406">Lair(100000000/($AM2406-$AL2406))</f>
        <v>2975.8197504691293</v>
      </c>
      <c r="AO2406" s="10">
        <f t="shared" ref="AO2406:AO2407" si="1673">100000000/($AM2406-$AL2406)</f>
        <v>2976.6883627559127</v>
      </c>
      <c r="AP2406" s="12">
        <v>506000000</v>
      </c>
      <c r="AQ2406" s="3">
        <v>0.39</v>
      </c>
      <c r="AR2406" s="3">
        <f>LN(AU2406*100000000/($AM2406-$AL2406)/AP2406)</f>
        <v>-8.4502279911238158</v>
      </c>
      <c r="AS2406" s="13">
        <f t="shared" ref="AS2406:AS2407" si="1674">EXP(AR$4341*$AM2406+AR$4342)*$AP2406/(100000000/($AM2406-$AL2406))</f>
        <v>84.866492615256732</v>
      </c>
      <c r="AT2406" s="3">
        <f t="shared" ref="AT2406" si="1675">LN(AS2406/$C2406)</f>
        <v>1.4453470730183884</v>
      </c>
      <c r="AU2406" s="16" cm="1">
        <f t="array" ref="AU2406">$C2406*EXP(poly_from_str(100000000/$E2406,AU$4342))</f>
        <v>36.352121384386308</v>
      </c>
      <c r="AV2406" s="13">
        <f>LN(AS2406/AU2406)</f>
        <v>0.84782678434012004</v>
      </c>
    </row>
    <row r="2407" spans="1:48" x14ac:dyDescent="0.25">
      <c r="A2407" t="s">
        <v>3219</v>
      </c>
      <c r="B2407" s="2" t="str">
        <f t="shared" si="1637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1669"/>
        <v>e</v>
      </c>
      <c r="N2407" t="str">
        <f t="shared" si="1670"/>
        <v>9/2</v>
      </c>
      <c r="O2407">
        <v>69431</v>
      </c>
      <c r="P2407" t="str">
        <f t="shared" si="1671"/>
        <v>o</v>
      </c>
      <c r="Q2407" t="str">
        <f t="shared" si="1672"/>
        <v>7/2</v>
      </c>
      <c r="R2407">
        <v>24</v>
      </c>
      <c r="AA2407" s="10">
        <f t="shared" si="1638"/>
        <v>2975.096</v>
      </c>
      <c r="AB2407" s="3">
        <f t="shared" si="1639"/>
        <v>33602.550000000003</v>
      </c>
      <c r="AC2407" s="3" cm="1">
        <f t="array" ref="AC2407">100000000/LvacE(AA2407)</f>
        <v>33602.552190560476</v>
      </c>
      <c r="AD2407" s="10">
        <f t="shared" si="1640"/>
        <v>1.0647305530739257E-2</v>
      </c>
      <c r="AE2407" s="10" t="b">
        <f t="shared" si="1641"/>
        <v>1</v>
      </c>
      <c r="AJ2407" t="s">
        <v>4773</v>
      </c>
      <c r="AK2407" t="s">
        <v>4864</v>
      </c>
      <c r="AL2407">
        <v>35828.46</v>
      </c>
      <c r="AM2407">
        <v>69431</v>
      </c>
      <c r="AN2407" s="10" cm="1">
        <f t="array" ref="AN2407">Lair(100000000/($AM2407-$AL2407))</f>
        <v>2975.0970747526803</v>
      </c>
      <c r="AO2407" s="10">
        <f t="shared" si="1673"/>
        <v>2975.9655073693834</v>
      </c>
      <c r="AP2407" s="12">
        <v>2820000</v>
      </c>
      <c r="AQ2407" s="3">
        <v>8.0000000000000002E-3</v>
      </c>
      <c r="AR2407" s="3"/>
      <c r="AS2407" s="13">
        <f t="shared" si="1674"/>
        <v>0.45729230476629745</v>
      </c>
      <c r="AT2407" s="3"/>
      <c r="AU2407" s="16" cm="1">
        <f t="array" ref="AU2407">$C2407*EXP(poly_from_str(100000000/$E2407,AU$4342))</f>
        <v>14.527970088985462</v>
      </c>
    </row>
    <row r="2408" spans="1:48" x14ac:dyDescent="0.25">
      <c r="A2408" t="s">
        <v>3220</v>
      </c>
      <c r="B2408" s="2" t="str">
        <f t="shared" si="1637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1638"/>
        <v>2974.951</v>
      </c>
      <c r="AB2408" s="3">
        <f t="shared" si="1639"/>
        <v>33604.19</v>
      </c>
      <c r="AC2408" s="3" cm="1">
        <f t="array" ref="AC2408">100000000/LvacE(AA2408)</f>
        <v>33604.189918093158</v>
      </c>
      <c r="AD2408" s="10">
        <f t="shared" si="1640"/>
        <v>1.0647856034955393E-2</v>
      </c>
      <c r="AE2408" s="10" t="b">
        <f t="shared" si="1641"/>
        <v>1</v>
      </c>
      <c r="AP2408"/>
      <c r="AQ2408"/>
      <c r="AU2408" s="16" cm="1">
        <f t="array" ref="AU2408">$C2408*EXP(poly_from_str(100000000/$E2408,AU$4342))</f>
        <v>0</v>
      </c>
    </row>
    <row r="2409" spans="1:48" x14ac:dyDescent="0.25">
      <c r="A2409" t="s">
        <v>3221</v>
      </c>
      <c r="B2409" s="2" t="str">
        <f t="shared" si="1637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1676">$G2409&amp;""</f>
        <v>e</v>
      </c>
      <c r="N2409" t="str">
        <f t="shared" ref="N2409:N2411" si="1677">$H2409&amp;""</f>
        <v>3/2</v>
      </c>
      <c r="O2409">
        <v>66943.039999999994</v>
      </c>
      <c r="P2409" t="str">
        <f t="shared" ref="P2409:P2411" si="1678">$J2409&amp;""</f>
        <v>o</v>
      </c>
      <c r="Q2409" t="str">
        <f t="shared" ref="Q2409:Q2411" si="1679">$K2409&amp;""</f>
        <v>5/2</v>
      </c>
      <c r="R2409">
        <v>24</v>
      </c>
      <c r="AA2409" s="10">
        <f t="shared" si="1638"/>
        <v>2974.9119999999998</v>
      </c>
      <c r="AB2409" s="3">
        <f t="shared" si="1639"/>
        <v>33604.629999999997</v>
      </c>
      <c r="AC2409" s="3" cm="1">
        <f t="array" ref="AC2409">100000000/LvacE(AA2409)</f>
        <v>33604.63043756871</v>
      </c>
      <c r="AD2409" s="10">
        <f t="shared" si="1640"/>
        <v>1.0648004115343364E-2</v>
      </c>
      <c r="AE2409" s="10" t="b">
        <f t="shared" si="1641"/>
        <v>1</v>
      </c>
      <c r="AJ2409" t="s">
        <v>4974</v>
      </c>
      <c r="AK2409" t="s">
        <v>4847</v>
      </c>
      <c r="AL2409">
        <v>33338.370000000003</v>
      </c>
      <c r="AM2409">
        <v>66943.039999999994</v>
      </c>
      <c r="AN2409" s="10" cm="1">
        <f t="array" ref="AN2409">Lair(100000000/($AM2409-$AL2409))</f>
        <v>2974.9084928964794</v>
      </c>
      <c r="AO2409" s="10">
        <f t="shared" ref="AO2409:AO2411" si="1680">100000000/($AM2409-$AL2409)</f>
        <v>2975.7768786302627</v>
      </c>
      <c r="AP2409" s="12">
        <v>7120000</v>
      </c>
      <c r="AQ2409" s="3">
        <v>9.7000000000000003E-2</v>
      </c>
      <c r="AR2409" s="3">
        <f t="shared" ref="AR2409:AR2411" si="1681">LN(AU2409*100000000/($AM2409-$AL2409)/AP2409)</f>
        <v>-4.9865206264074118</v>
      </c>
      <c r="AS2409" s="13">
        <f t="shared" ref="AS2409:AS2411" si="1682">EXP(AR$4341*$AM2409+AR$4342)*$AP2409/(100000000/($AM2409-$AL2409))</f>
        <v>1.3916847829682668</v>
      </c>
      <c r="AT2409" s="3">
        <f t="shared" ref="AT2409:AT2411" si="1683">LN(AS2409/$C2409)</f>
        <v>-1.8667094900844912</v>
      </c>
      <c r="AU2409" s="16" cm="1">
        <f t="array" ref="AU2409">$C2409*EXP(poly_from_str(100000000/$E2409,AU$4342))</f>
        <v>16.340345561730608</v>
      </c>
      <c r="AV2409" s="13">
        <f t="shared" ref="AV2409:AV2411" si="1684">LN(AS2409/AU2409)</f>
        <v>-2.4631221501652361</v>
      </c>
    </row>
    <row r="2410" spans="1:48" x14ac:dyDescent="0.25">
      <c r="A2410" t="s">
        <v>3222</v>
      </c>
      <c r="B2410" s="2" t="str">
        <f t="shared" si="1637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1676"/>
        <v>e</v>
      </c>
      <c r="N2410" t="str">
        <f t="shared" si="1677"/>
        <v>7/2</v>
      </c>
      <c r="O2410">
        <v>71536.38</v>
      </c>
      <c r="P2410" t="str">
        <f t="shared" si="1678"/>
        <v>o</v>
      </c>
      <c r="Q2410" t="str">
        <f t="shared" si="1679"/>
        <v>5/2</v>
      </c>
      <c r="R2410">
        <v>24</v>
      </c>
      <c r="AA2410" s="10">
        <f t="shared" si="1638"/>
        <v>2973.8380000000002</v>
      </c>
      <c r="AB2410" s="3">
        <f t="shared" si="1639"/>
        <v>33616.769999999997</v>
      </c>
      <c r="AC2410" s="3" cm="1">
        <f t="array" ref="AC2410">100000000/LvacE(AA2410)</f>
        <v>33616.766206137232</v>
      </c>
      <c r="AD2410" s="10">
        <f t="shared" si="1640"/>
        <v>1.0652084310937119E-2</v>
      </c>
      <c r="AE2410" s="10" t="b">
        <f t="shared" si="1641"/>
        <v>1</v>
      </c>
      <c r="AJ2410" t="s">
        <v>4764</v>
      </c>
      <c r="AK2410" t="s">
        <v>4860</v>
      </c>
      <c r="AL2410">
        <v>37919.58</v>
      </c>
      <c r="AM2410">
        <v>71536.38</v>
      </c>
      <c r="AN2410" s="10" cm="1">
        <f t="array" ref="AN2410">Lair(100000000/($AM2410-$AL2410))</f>
        <v>2973.8350057566918</v>
      </c>
      <c r="AO2410" s="10">
        <f t="shared" si="1680"/>
        <v>2974.7031246281617</v>
      </c>
      <c r="AP2410" s="12">
        <v>146000000</v>
      </c>
      <c r="AQ2410" s="3">
        <v>0.47799999999999998</v>
      </c>
      <c r="AR2410" s="3">
        <f t="shared" si="1681"/>
        <v>-8.0088844282993055</v>
      </c>
      <c r="AS2410" s="13">
        <f t="shared" si="1682"/>
        <v>20.22378922922978</v>
      </c>
      <c r="AT2410" s="3">
        <f t="shared" si="1683"/>
        <v>0.80963501875972799</v>
      </c>
      <c r="AU2410" s="16" cm="1">
        <f t="array" ref="AU2410">$C2410*EXP(poly_from_str(100000000/$E2410,AU$4342))</f>
        <v>16.319051490852203</v>
      </c>
      <c r="AV2410" s="13">
        <f t="shared" si="1684"/>
        <v>0.21452636768206185</v>
      </c>
    </row>
    <row r="2411" spans="1:48" x14ac:dyDescent="0.25">
      <c r="A2411" t="s">
        <v>3223</v>
      </c>
      <c r="B2411" s="2" t="str">
        <f t="shared" si="1637"/>
        <v/>
      </c>
      <c r="C2411">
        <v>8</v>
      </c>
      <c r="D2411" t="s">
        <v>1156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1676"/>
        <v>e</v>
      </c>
      <c r="N2411" t="str">
        <f t="shared" si="1677"/>
        <v>7/2</v>
      </c>
      <c r="O2411">
        <v>69431</v>
      </c>
      <c r="P2411" t="str">
        <f t="shared" si="1678"/>
        <v>o</v>
      </c>
      <c r="Q2411" t="str">
        <f t="shared" si="1679"/>
        <v>7/2</v>
      </c>
      <c r="R2411">
        <v>24</v>
      </c>
      <c r="AA2411" s="10">
        <f t="shared" si="1638"/>
        <v>2972.7130000000002</v>
      </c>
      <c r="AB2411" s="3">
        <f t="shared" si="1639"/>
        <v>33629.49</v>
      </c>
      <c r="AC2411" s="3" cm="1">
        <f t="array" ref="AC2411">100000000/LvacE(AA2411)</f>
        <v>33629.487656963756</v>
      </c>
      <c r="AD2411" s="10">
        <f t="shared" si="1640"/>
        <v>1.0656363001904952E-2</v>
      </c>
      <c r="AE2411" s="10" t="b">
        <f t="shared" si="1641"/>
        <v>1</v>
      </c>
      <c r="AJ2411" t="s">
        <v>4810</v>
      </c>
      <c r="AK2411" t="s">
        <v>4864</v>
      </c>
      <c r="AL2411">
        <v>35801.120000000003</v>
      </c>
      <c r="AM2411">
        <v>69431</v>
      </c>
      <c r="AN2411" s="10" cm="1">
        <f t="array" ref="AN2411">Lair(100000000/($AM2411-$AL2411))</f>
        <v>2972.6783127305739</v>
      </c>
      <c r="AO2411" s="10">
        <f t="shared" si="1680"/>
        <v>2973.5461440837735</v>
      </c>
      <c r="AP2411" s="12">
        <v>28500000</v>
      </c>
      <c r="AQ2411" s="3">
        <v>0.109</v>
      </c>
      <c r="AR2411" s="3">
        <f t="shared" si="1681"/>
        <v>-6.4947401351882661</v>
      </c>
      <c r="AS2411" s="13">
        <f t="shared" si="1682"/>
        <v>4.6253314093769022</v>
      </c>
      <c r="AT2411" s="3">
        <f t="shared" si="1683"/>
        <v>-0.54789351720112944</v>
      </c>
      <c r="AU2411" s="16" cm="1">
        <f t="array" ref="AU2411">$C2411*EXP(poly_from_str(100000000/$E2411,AU$4342))</f>
        <v>14.485729647558598</v>
      </c>
      <c r="AV2411" s="13">
        <f t="shared" si="1684"/>
        <v>-1.1416159781048496</v>
      </c>
    </row>
    <row r="2412" spans="1:48" x14ac:dyDescent="0.25">
      <c r="A2412" t="s">
        <v>3224</v>
      </c>
      <c r="B2412" s="2" t="str">
        <f t="shared" si="1637"/>
        <v/>
      </c>
      <c r="C2412">
        <v>3</v>
      </c>
      <c r="D2412" t="s">
        <v>1156</v>
      </c>
      <c r="E2412">
        <v>33631.25</v>
      </c>
      <c r="R2412">
        <v>24</v>
      </c>
      <c r="S2412" t="s">
        <v>22</v>
      </c>
      <c r="AA2412" s="10">
        <f t="shared" si="1638"/>
        <v>2972.5569999999998</v>
      </c>
      <c r="AB2412" s="3">
        <f t="shared" si="1639"/>
        <v>33631.25</v>
      </c>
      <c r="AC2412" s="3" cm="1">
        <f t="array" ref="AC2412">100000000/LvacE(AA2412)</f>
        <v>33631.252458286675</v>
      </c>
      <c r="AD2412" s="10">
        <f t="shared" si="1640"/>
        <v>1.0656956697262101E-2</v>
      </c>
      <c r="AE2412" s="10" t="b">
        <f t="shared" si="1641"/>
        <v>1</v>
      </c>
      <c r="AP2412"/>
      <c r="AQ2412"/>
      <c r="AU2412" s="16" cm="1">
        <f t="array" ref="AU2412">$C2412*EXP(poly_from_str(100000000/$E2412,AU$4342))</f>
        <v>5.4310981341004503</v>
      </c>
    </row>
    <row r="2413" spans="1:48" x14ac:dyDescent="0.25">
      <c r="A2413" t="s">
        <v>3225</v>
      </c>
      <c r="B2413" s="2" t="str">
        <f t="shared" si="1637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1685">$G2413&amp;""</f>
        <v>e</v>
      </c>
      <c r="N2413" t="str">
        <f t="shared" ref="N2413:N2414" si="1686">$H2413&amp;""</f>
        <v>11/2</v>
      </c>
      <c r="O2413">
        <v>64150.94</v>
      </c>
      <c r="P2413" t="str">
        <f t="shared" ref="P2413:P2414" si="1687">$J2413&amp;""</f>
        <v>o</v>
      </c>
      <c r="Q2413" t="str">
        <f t="shared" ref="Q2413:Q2414" si="1688">$K2413&amp;""</f>
        <v>11/2</v>
      </c>
      <c r="R2413">
        <v>24</v>
      </c>
      <c r="AA2413" s="10">
        <f t="shared" si="1638"/>
        <v>2971.33</v>
      </c>
      <c r="AB2413" s="3">
        <f t="shared" si="1639"/>
        <v>33645.14</v>
      </c>
      <c r="AC2413" s="3" cm="1">
        <f t="array" ref="AC2413">100000000/LvacE(AA2413)</f>
        <v>33645.139759779355</v>
      </c>
      <c r="AD2413" s="10">
        <f t="shared" si="1640"/>
        <v>1.0661629600175571E-2</v>
      </c>
      <c r="AE2413" s="10" t="b">
        <f t="shared" si="1641"/>
        <v>1</v>
      </c>
      <c r="AJ2413" t="s">
        <v>4706</v>
      </c>
      <c r="AK2413" t="s">
        <v>4931</v>
      </c>
      <c r="AL2413">
        <v>30505.72</v>
      </c>
      <c r="AM2413">
        <v>64150.94</v>
      </c>
      <c r="AN2413" s="10" cm="1">
        <f t="array" ref="AN2413">Lair(100000000/($AM2413-$AL2413))</f>
        <v>2971.3229087935174</v>
      </c>
      <c r="AO2413" s="10">
        <f t="shared" ref="AO2413:AO2414" si="1689">100000000/($AM2413-$AL2413)</f>
        <v>2972.190403272738</v>
      </c>
      <c r="AP2413" s="12">
        <v>49400000</v>
      </c>
      <c r="AQ2413" s="3">
        <v>0.23100000000000001</v>
      </c>
      <c r="AR2413" s="3">
        <f t="shared" ref="AR2413:AR2414" si="1690">LN(AU2413*100000000/($AM2413-$AL2413)/AP2413)</f>
        <v>-7.0469758985581397</v>
      </c>
      <c r="AS2413" s="13">
        <f t="shared" ref="AS2413:AS2414" si="1691">EXP(AR$4341*$AM2413+AR$4342)*$AP2413/(100000000/($AM2413-$AL2413))</f>
        <v>11.921002904331214</v>
      </c>
      <c r="AT2413" s="3">
        <f t="shared" ref="AT2413:AT2414" si="1692">LN(AS2413/$C2413)</f>
        <v>0.39886025268750752</v>
      </c>
      <c r="AU2413" s="16" cm="1">
        <f t="array" ref="AU2413">$C2413*EXP(poly_from_str(100000000/$E2413,AU$4342))</f>
        <v>14.46064200036208</v>
      </c>
      <c r="AV2413" s="13">
        <f t="shared" ref="AV2413:AV2414" si="1693">LN(AS2413/AU2413)</f>
        <v>-0.19312881974298604</v>
      </c>
    </row>
    <row r="2414" spans="1:48" x14ac:dyDescent="0.25">
      <c r="A2414" t="s">
        <v>3226</v>
      </c>
      <c r="B2414" s="2" t="str">
        <f t="shared" si="1637"/>
        <v/>
      </c>
      <c r="C2414">
        <v>7</v>
      </c>
      <c r="D2414" t="s">
        <v>1156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1685"/>
        <v>e</v>
      </c>
      <c r="N2414" t="str">
        <f t="shared" si="1686"/>
        <v>9/2</v>
      </c>
      <c r="O2414">
        <v>62535.62</v>
      </c>
      <c r="P2414" t="str">
        <f t="shared" si="1687"/>
        <v>o</v>
      </c>
      <c r="Q2414" t="str">
        <f t="shared" si="1688"/>
        <v>9/2</v>
      </c>
      <c r="R2414">
        <v>24</v>
      </c>
      <c r="AA2414" s="10">
        <f t="shared" si="1638"/>
        <v>2970.8139999999999</v>
      </c>
      <c r="AB2414" s="3">
        <f t="shared" si="1639"/>
        <v>33650.980000000003</v>
      </c>
      <c r="AC2414" s="3" cm="1">
        <f t="array" ref="AC2414">100000000/LvacE(AA2414)</f>
        <v>33650.983322540764</v>
      </c>
      <c r="AD2414" s="10">
        <f t="shared" si="1640"/>
        <v>1.0663596462542044E-2</v>
      </c>
      <c r="AE2414" s="10" t="b">
        <f t="shared" si="1641"/>
        <v>1</v>
      </c>
      <c r="AJ2414" t="s">
        <v>4742</v>
      </c>
      <c r="AK2414" t="s">
        <v>4839</v>
      </c>
      <c r="AL2414">
        <v>28885.14</v>
      </c>
      <c r="AM2414">
        <v>62535.62</v>
      </c>
      <c r="AN2414" s="10" cm="1">
        <f t="array" ref="AN2414">Lair(100000000/($AM2414-$AL2414))</f>
        <v>2970.8584328878183</v>
      </c>
      <c r="AO2414" s="10">
        <f t="shared" si="1689"/>
        <v>2971.7258119349262</v>
      </c>
      <c r="AP2414" s="12">
        <v>31400000</v>
      </c>
      <c r="AQ2414" s="3">
        <v>0.113</v>
      </c>
      <c r="AR2414" s="3">
        <f t="shared" si="1690"/>
        <v>-6.7281758017288293</v>
      </c>
      <c r="AS2414" s="13">
        <f t="shared" si="1691"/>
        <v>8.5552071439940569</v>
      </c>
      <c r="AT2414" s="3">
        <f t="shared" si="1692"/>
        <v>0.20062997120366369</v>
      </c>
      <c r="AU2414" s="16" cm="1">
        <f t="array" ref="AU2414">$C2414*EXP(poly_from_str(100000000/$E2414,AU$4342))</f>
        <v>12.64478028913952</v>
      </c>
      <c r="AV2414" s="13">
        <f t="shared" si="1693"/>
        <v>-0.39070438439681654</v>
      </c>
    </row>
    <row r="2415" spans="1:48" x14ac:dyDescent="0.25">
      <c r="A2415" t="s">
        <v>3227</v>
      </c>
      <c r="B2415" s="2" t="str">
        <f t="shared" si="1637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1638"/>
        <v>2969.9879999999998</v>
      </c>
      <c r="AB2415" s="3">
        <f t="shared" si="1639"/>
        <v>33660.339999999997</v>
      </c>
      <c r="AC2415" s="3" cm="1">
        <f t="array" ref="AC2415">100000000/LvacE(AA2415)</f>
        <v>33660.341779272756</v>
      </c>
      <c r="AD2415" s="10">
        <f t="shared" si="1640"/>
        <v>1.0666747101212659E-2</v>
      </c>
      <c r="AE2415" s="10" t="b">
        <f t="shared" si="1641"/>
        <v>1</v>
      </c>
      <c r="AP2415"/>
      <c r="AQ2415"/>
      <c r="AU2415" s="16" cm="1">
        <f t="array" ref="AU2415">$C2415*EXP(poly_from_str(100000000/$E2415,AU$4342))</f>
        <v>10.826919240978837</v>
      </c>
    </row>
    <row r="2416" spans="1:48" x14ac:dyDescent="0.25">
      <c r="A2416" t="s">
        <v>3228</v>
      </c>
      <c r="B2416" s="2" t="str">
        <f t="shared" si="1637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1638"/>
        <v>2969.7930000000001</v>
      </c>
      <c r="AB2416" s="3">
        <f t="shared" si="1639"/>
        <v>33662.550000000003</v>
      </c>
      <c r="AC2416" s="3" cm="1">
        <f t="array" ref="AC2416">100000000/LvacE(AA2416)</f>
        <v>33662.551859667328</v>
      </c>
      <c r="AD2416" s="10">
        <f t="shared" si="1640"/>
        <v>1.0667491279639242E-2</v>
      </c>
      <c r="AE2416" s="10" t="b">
        <f t="shared" si="1641"/>
        <v>1</v>
      </c>
      <c r="AP2416"/>
      <c r="AQ2416"/>
      <c r="AU2416" s="16" cm="1">
        <f t="array" ref="AU2416">$C2416*EXP(poly_from_str(100000000/$E2416,AU$4342))</f>
        <v>0</v>
      </c>
    </row>
    <row r="2417" spans="1:48" x14ac:dyDescent="0.25">
      <c r="A2417" t="s">
        <v>3229</v>
      </c>
      <c r="B2417" s="2" t="str">
        <f t="shared" si="1637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1638"/>
        <v>2969.7660000000001</v>
      </c>
      <c r="AB2417" s="3">
        <f t="shared" si="1639"/>
        <v>33662.86</v>
      </c>
      <c r="AC2417" s="3" cm="1">
        <f t="array" ref="AC2417">100000000/LvacE(AA2417)</f>
        <v>33662.857893672495</v>
      </c>
      <c r="AD2417" s="10">
        <f t="shared" si="1640"/>
        <v>1.066759433128275E-2</v>
      </c>
      <c r="AE2417" s="10" t="b">
        <f t="shared" si="1641"/>
        <v>1</v>
      </c>
      <c r="AP2417"/>
      <c r="AQ2417"/>
      <c r="AU2417" s="16" cm="1">
        <f t="array" ref="AU2417">$C2417*EXP(poly_from_str(100000000/$E2417,AU$4342))</f>
        <v>0</v>
      </c>
    </row>
    <row r="2418" spans="1:48" x14ac:dyDescent="0.25">
      <c r="A2418" t="s">
        <v>3230</v>
      </c>
      <c r="B2418" s="2" t="str">
        <f t="shared" si="1637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1694">$G2418&amp;""</f>
        <v>e</v>
      </c>
      <c r="N2418" t="str">
        <f t="shared" ref="N2418:N2419" si="1695">$H2418&amp;""</f>
        <v>7/2</v>
      </c>
      <c r="O2418">
        <v>62062.63</v>
      </c>
      <c r="P2418" t="str">
        <f t="shared" ref="P2418:P2419" si="1696">$J2418&amp;""</f>
        <v>o</v>
      </c>
      <c r="Q2418" t="str">
        <f t="shared" ref="Q2418:Q2419" si="1697">$K2418&amp;""</f>
        <v>9/2</v>
      </c>
      <c r="R2418">
        <v>24</v>
      </c>
      <c r="AA2418" s="10">
        <f t="shared" si="1638"/>
        <v>2969.7280000000001</v>
      </c>
      <c r="AB2418" s="3">
        <f t="shared" si="1639"/>
        <v>33663.29</v>
      </c>
      <c r="AC2418" s="3" cm="1">
        <f t="array" ref="AC2418">100000000/LvacE(AA2418)</f>
        <v>33663.288617624843</v>
      </c>
      <c r="AD2418" s="10">
        <f t="shared" si="1640"/>
        <v>1.0667739371690747E-2</v>
      </c>
      <c r="AE2418" s="10" t="b">
        <f t="shared" si="1641"/>
        <v>1</v>
      </c>
      <c r="AJ2418" t="s">
        <v>4975</v>
      </c>
      <c r="AK2418" t="s">
        <v>4848</v>
      </c>
      <c r="AL2418">
        <v>28399.43</v>
      </c>
      <c r="AM2418">
        <v>62062.63</v>
      </c>
      <c r="AN2418" s="10" cm="1">
        <f t="array" ref="AN2418">Lair(100000000/($AM2418-$AL2418))</f>
        <v>2969.7358134951683</v>
      </c>
      <c r="AO2418" s="10">
        <f t="shared" ref="AO2418:AO2419" si="1698">100000000/($AM2418-$AL2418)</f>
        <v>2970.602913567338</v>
      </c>
      <c r="AP2418" s="12">
        <v>429000000</v>
      </c>
      <c r="AQ2418" s="3">
        <v>0.70699999999999996</v>
      </c>
      <c r="AR2418" s="3">
        <f t="shared" ref="AR2418:AR2419" si="1699">LN(AU2418*100000000/($AM2418-$AL2418)/AP2418)</f>
        <v>-7.60162753853783</v>
      </c>
      <c r="AS2418" s="13">
        <f t="shared" ref="AS2418:AS2419" si="1700">EXP(AR$4341*$AM2418+AR$4342)*$AP2418/(100000000/($AM2418-$AL2418))</f>
        <v>121.15411893566861</v>
      </c>
      <c r="AT2418" s="3">
        <f t="shared" ref="AT2418:AT2419" si="1701">LN(AS2418/$C2418)</f>
        <v>1.1081839912142286</v>
      </c>
      <c r="AU2418" s="16" cm="1">
        <f t="array" ref="AU2418">$C2418*EXP(poly_from_str(100000000/$E2418,AU$4342))</f>
        <v>72.1552267886088</v>
      </c>
      <c r="AV2418" s="13">
        <f t="shared" ref="AV2418:AV2419" si="1702">LN(AS2418/AU2418)</f>
        <v>0.51824371936961722</v>
      </c>
    </row>
    <row r="2419" spans="1:48" x14ac:dyDescent="0.25">
      <c r="A2419" t="s">
        <v>3231</v>
      </c>
      <c r="B2419" s="2" t="str">
        <f t="shared" si="1637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1694"/>
        <v>e</v>
      </c>
      <c r="N2419" t="str">
        <f t="shared" si="1695"/>
        <v>7/2</v>
      </c>
      <c r="O2419">
        <v>68492.429999999993</v>
      </c>
      <c r="P2419" t="str">
        <f t="shared" si="1696"/>
        <v>o</v>
      </c>
      <c r="Q2419" t="str">
        <f t="shared" si="1697"/>
        <v>7/2</v>
      </c>
      <c r="R2419">
        <v>24</v>
      </c>
      <c r="AA2419" s="10">
        <f t="shared" si="1638"/>
        <v>2969.4119999999998</v>
      </c>
      <c r="AB2419" s="3">
        <f t="shared" si="1639"/>
        <v>33666.870000000003</v>
      </c>
      <c r="AC2419" s="3" cm="1">
        <f t="array" ref="AC2419">100000000/LvacE(AA2419)</f>
        <v>33666.870854308458</v>
      </c>
      <c r="AD2419" s="10">
        <f t="shared" si="1640"/>
        <v>1.0668945712873199E-2</v>
      </c>
      <c r="AE2419" s="10" t="b">
        <f t="shared" si="1641"/>
        <v>1</v>
      </c>
      <c r="AJ2419" t="s">
        <v>4761</v>
      </c>
      <c r="AK2419" t="s">
        <v>4831</v>
      </c>
      <c r="AL2419">
        <v>34825.49</v>
      </c>
      <c r="AM2419">
        <v>68492.429999999993</v>
      </c>
      <c r="AN2419" s="10" cm="1">
        <f t="array" ref="AN2419">Lair(100000000/($AM2419-$AL2419))</f>
        <v>2969.4058965239924</v>
      </c>
      <c r="AO2419" s="10">
        <f t="shared" si="1698"/>
        <v>2970.2729146159413</v>
      </c>
      <c r="AP2419" s="12">
        <v>409000000</v>
      </c>
      <c r="AQ2419" s="3">
        <v>0.318</v>
      </c>
      <c r="AR2419" s="3">
        <f t="shared" si="1699"/>
        <v>-6.8612586862148399</v>
      </c>
      <c r="AS2419" s="13">
        <f t="shared" si="1700"/>
        <v>71.300056519509724</v>
      </c>
      <c r="AT2419" s="3">
        <f t="shared" si="1701"/>
        <v>-0.11512951455394947</v>
      </c>
      <c r="AU2419" s="16" cm="1">
        <f t="array" ref="AU2419">$C2419*EXP(poly_from_str(100000000/$E2419,AU$4342))</f>
        <v>144.25144313988091</v>
      </c>
      <c r="AV2419" s="13">
        <f t="shared" si="1702"/>
        <v>-0.70466078965414891</v>
      </c>
    </row>
    <row r="2420" spans="1:48" x14ac:dyDescent="0.25">
      <c r="A2420" t="s">
        <v>3232</v>
      </c>
      <c r="B2420" s="2" t="str">
        <f t="shared" si="1637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1638"/>
        <v>2969.3760000000002</v>
      </c>
      <c r="AB2420" s="3">
        <f t="shared" si="1639"/>
        <v>33667.279999999999</v>
      </c>
      <c r="AC2420" s="3" cm="1">
        <f t="array" ref="AC2420">100000000/LvacE(AA2420)</f>
        <v>33667.279005595992</v>
      </c>
      <c r="AD2420" s="10">
        <f t="shared" si="1640"/>
        <v>1.066908316858424E-2</v>
      </c>
      <c r="AE2420" s="10" t="b">
        <f t="shared" si="1641"/>
        <v>1</v>
      </c>
      <c r="AP2420"/>
      <c r="AQ2420"/>
      <c r="AU2420" s="16" cm="1">
        <f t="array" ref="AU2420">$C2420*EXP(poly_from_str(100000000/$E2420,AU$4342))</f>
        <v>0</v>
      </c>
    </row>
    <row r="2421" spans="1:48" x14ac:dyDescent="0.25">
      <c r="A2421" t="s">
        <v>3233</v>
      </c>
      <c r="B2421" s="2" t="str">
        <f t="shared" si="1637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1638"/>
        <v>2969.3470000000002</v>
      </c>
      <c r="AB2421" s="3">
        <f t="shared" si="1639"/>
        <v>33667.61</v>
      </c>
      <c r="AC2421" s="3" cm="1">
        <f t="array" ref="AC2421">100000000/LvacE(AA2421)</f>
        <v>33667.607801329912</v>
      </c>
      <c r="AD2421" s="10">
        <f t="shared" si="1640"/>
        <v>1.0669193900431629E-2</v>
      </c>
      <c r="AE2421" s="10" t="b">
        <f t="shared" si="1641"/>
        <v>1</v>
      </c>
      <c r="AP2421"/>
      <c r="AQ2421"/>
      <c r="AU2421" s="16" cm="1">
        <f t="array" ref="AU2421">$C2421*EXP(poly_from_str(100000000/$E2421,AU$4342))</f>
        <v>0</v>
      </c>
    </row>
    <row r="2422" spans="1:48" x14ac:dyDescent="0.25">
      <c r="A2422" t="s">
        <v>3234</v>
      </c>
      <c r="B2422" s="2" t="str">
        <f t="shared" si="1637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1638"/>
        <v>2968.8330000000001</v>
      </c>
      <c r="AB2422" s="3">
        <f t="shared" si="1639"/>
        <v>33673.440000000002</v>
      </c>
      <c r="AC2422" s="3" cm="1">
        <f t="array" ref="AC2422">100000000/LvacE(AA2422)</f>
        <v>33673.436488060208</v>
      </c>
      <c r="AD2422" s="10">
        <f t="shared" si="1640"/>
        <v>1.0671157065429447E-2</v>
      </c>
      <c r="AE2422" s="10" t="b">
        <f t="shared" si="1641"/>
        <v>1</v>
      </c>
      <c r="AJ2422" t="s">
        <v>4742</v>
      </c>
      <c r="AK2422" t="s">
        <v>4821</v>
      </c>
      <c r="AL2422">
        <v>28885.14</v>
      </c>
      <c r="AM2422">
        <v>62558.67</v>
      </c>
      <c r="AN2422" s="10" cm="1">
        <f t="array" ref="AN2422">Lair(100000000/($AM2422-$AL2422))</f>
        <v>2968.8247505616723</v>
      </c>
      <c r="AO2422" s="10">
        <f>100000000/($AM2422-$AL2422)</f>
        <v>2969.691624252046</v>
      </c>
      <c r="AP2422" s="12">
        <v>860000000</v>
      </c>
      <c r="AQ2422" s="3">
        <v>0.623</v>
      </c>
      <c r="AR2422" s="3">
        <f>LN(AU2422*100000000/($AM2422-$AL2422)/AP2422)</f>
        <v>-6.9768177526228348</v>
      </c>
      <c r="AS2422" s="13">
        <f>EXP(AR$4341*$AM2422+AR$4342)*$AP2422/(100000000/($AM2422-$AL2422))</f>
        <v>234.06984110425557</v>
      </c>
      <c r="AT2422" s="3">
        <f>LN(AS2422/$C2422)</f>
        <v>0.44498424298675537</v>
      </c>
      <c r="AU2422" s="16" cm="1">
        <f t="array" ref="AU2422">$C2422*EXP(poly_from_str(100000000/$E2422,AU$4342))</f>
        <v>270.26738895297666</v>
      </c>
      <c r="AV2422" s="13">
        <f>LN(AS2422/AU2422)</f>
        <v>-0.14379226131813325</v>
      </c>
    </row>
    <row r="2423" spans="1:48" x14ac:dyDescent="0.25">
      <c r="A2423" t="s">
        <v>3235</v>
      </c>
      <c r="B2423" s="2" t="str">
        <f t="shared" si="1637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1638"/>
        <v>2968.797</v>
      </c>
      <c r="AB2423" s="3">
        <f t="shared" si="1639"/>
        <v>33673.839999999997</v>
      </c>
      <c r="AC2423" s="3" cm="1">
        <f t="array" ref="AC2423">100000000/LvacE(AA2423)</f>
        <v>33673.844798552367</v>
      </c>
      <c r="AD2423" s="10">
        <f t="shared" si="1640"/>
        <v>1.0671294601576391E-2</v>
      </c>
      <c r="AE2423" s="10" t="b">
        <f t="shared" si="1641"/>
        <v>1</v>
      </c>
      <c r="AP2423"/>
      <c r="AQ2423"/>
      <c r="AU2423" s="16" cm="1">
        <f t="array" ref="AU2423">$C2423*EXP(poly_from_str(100000000/$E2423,AU$4342))</f>
        <v>0</v>
      </c>
    </row>
    <row r="2424" spans="1:48" x14ac:dyDescent="0.25">
      <c r="A2424" t="s">
        <v>3236</v>
      </c>
      <c r="B2424" s="2" t="str">
        <f t="shared" si="1637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1638"/>
        <v>2967.598</v>
      </c>
      <c r="AB2424" s="3">
        <f t="shared" si="1639"/>
        <v>33687.449999999997</v>
      </c>
      <c r="AC2424" s="3" cm="1">
        <f t="array" ref="AC2424">100000000/LvacE(AA2424)</f>
        <v>33687.449465282458</v>
      </c>
      <c r="AD2424" s="10">
        <f t="shared" si="1640"/>
        <v>1.0675878179133843E-2</v>
      </c>
      <c r="AE2424" s="10" t="b">
        <f t="shared" si="1641"/>
        <v>1</v>
      </c>
      <c r="AP2424"/>
      <c r="AQ2424"/>
      <c r="AU2424" s="16" cm="1">
        <f t="array" ref="AU2424">$C2424*EXP(poly_from_str(100000000/$E2424,AU$4342))</f>
        <v>10.793114795081687</v>
      </c>
    </row>
    <row r="2425" spans="1:48" x14ac:dyDescent="0.25">
      <c r="A2425" t="s">
        <v>3237</v>
      </c>
      <c r="B2425" s="2" t="str">
        <f t="shared" si="1637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1703">$G2425&amp;""</f>
        <v>e</v>
      </c>
      <c r="N2425" t="str">
        <f t="shared" ref="N2425:N2426" si="1704">$H2425&amp;""</f>
        <v>11/2</v>
      </c>
      <c r="O2425">
        <v>64215.45</v>
      </c>
      <c r="P2425" t="str">
        <f t="shared" ref="P2425:P2426" si="1705">$J2425&amp;""</f>
        <v>o</v>
      </c>
      <c r="Q2425" t="str">
        <f t="shared" ref="Q2425:Q2426" si="1706">$K2425&amp;""</f>
        <v>13/2</v>
      </c>
      <c r="R2425">
        <v>24</v>
      </c>
      <c r="AA2425" s="10">
        <f t="shared" si="1638"/>
        <v>2965.643</v>
      </c>
      <c r="AB2425" s="3">
        <f t="shared" si="1639"/>
        <v>33709.660000000003</v>
      </c>
      <c r="AC2425" s="3" cm="1">
        <f t="array" ref="AC2425">100000000/LvacE(AA2425)</f>
        <v>33709.655810298143</v>
      </c>
      <c r="AD2425" s="10">
        <f t="shared" si="1640"/>
        <v>1.068336374443892E-2</v>
      </c>
      <c r="AE2425" s="10" t="b">
        <f t="shared" si="1641"/>
        <v>1</v>
      </c>
      <c r="AJ2425" t="s">
        <v>4706</v>
      </c>
      <c r="AK2425" t="s">
        <v>4823</v>
      </c>
      <c r="AL2425">
        <v>30505.72</v>
      </c>
      <c r="AM2425">
        <v>64215.45</v>
      </c>
      <c r="AN2425" s="10" cm="1">
        <f t="array" ref="AN2425">Lair(100000000/($AM2425-$AL2425))</f>
        <v>2965.6364682486346</v>
      </c>
      <c r="AO2425" s="10">
        <f t="shared" ref="AO2425:AO2426" si="1707">100000000/($AM2425-$AL2425)</f>
        <v>2966.5025498572672</v>
      </c>
      <c r="AP2425" s="12">
        <v>390000000</v>
      </c>
      <c r="AQ2425" s="3">
        <v>0.63500000000000001</v>
      </c>
      <c r="AR2425" s="3">
        <f t="shared" ref="AR2425:AR2426" si="1708">LN(AU2425*100000000/($AM2425-$AL2425)/AP2425)</f>
        <v>-9.0047753879394765</v>
      </c>
      <c r="AS2425" s="13">
        <f t="shared" ref="AS2425:AS2426" si="1709">EXP(AR$4341*$AM2425+AR$4342)*$AP2425/(100000000/($AM2425-$AL2425))</f>
        <v>93.83823232558548</v>
      </c>
      <c r="AT2425" s="3">
        <f t="shared" ref="AT2425:AT2426" si="1710">LN(AS2425/$C2425)</f>
        <v>2.3443477897214509</v>
      </c>
      <c r="AU2425" s="16" cm="1">
        <f t="array" ref="AU2425">$C2425*EXP(poly_from_str(100000000/$E2425,AU$4342))</f>
        <v>16.147140318038698</v>
      </c>
      <c r="AV2425" s="13">
        <f t="shared" ref="AV2425:AV2426" si="1711">LN(AS2425/AU2425)</f>
        <v>1.7598294031582471</v>
      </c>
    </row>
    <row r="2426" spans="1:48" x14ac:dyDescent="0.25">
      <c r="A2426" t="s">
        <v>3238</v>
      </c>
      <c r="B2426" s="2" t="str">
        <f t="shared" si="1637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1703"/>
        <v>e</v>
      </c>
      <c r="N2426" t="str">
        <f t="shared" si="1704"/>
        <v>7/2</v>
      </c>
      <c r="O2426">
        <v>68544.19</v>
      </c>
      <c r="P2426" t="str">
        <f t="shared" si="1705"/>
        <v>o</v>
      </c>
      <c r="Q2426" t="str">
        <f t="shared" si="1706"/>
        <v>9/2</v>
      </c>
      <c r="R2426">
        <v>24</v>
      </c>
      <c r="AA2426" s="10">
        <f t="shared" si="1638"/>
        <v>2964.848</v>
      </c>
      <c r="AB2426" s="3">
        <f t="shared" si="1639"/>
        <v>33718.69</v>
      </c>
      <c r="AC2426" s="3" cm="1">
        <f t="array" ref="AC2426">100000000/LvacE(AA2426)</f>
        <v>33718.694387163348</v>
      </c>
      <c r="AD2426" s="10">
        <f t="shared" si="1640"/>
        <v>1.0686411982530529E-2</v>
      </c>
      <c r="AE2426" s="10" t="b">
        <f t="shared" si="1641"/>
        <v>1</v>
      </c>
      <c r="AJ2426" t="s">
        <v>4761</v>
      </c>
      <c r="AK2426" t="s">
        <v>4901</v>
      </c>
      <c r="AL2426">
        <v>34825.49</v>
      </c>
      <c r="AM2426">
        <v>68544.19</v>
      </c>
      <c r="AN2426" s="10" cm="1">
        <f t="array" ref="AN2426">Lair(100000000/($AM2426-$AL2426))</f>
        <v>2964.8475018901595</v>
      </c>
      <c r="AO2426" s="10">
        <f t="shared" si="1707"/>
        <v>2965.7133875268023</v>
      </c>
      <c r="AP2426" s="12">
        <v>1080000000</v>
      </c>
      <c r="AQ2426" s="3">
        <v>0.65500000000000003</v>
      </c>
      <c r="AR2426" s="3">
        <f t="shared" si="1708"/>
        <v>-7.7221131067430218</v>
      </c>
      <c r="AS2426" s="13">
        <f t="shared" si="1709"/>
        <v>187.8324038879943</v>
      </c>
      <c r="AT2426" s="3">
        <f t="shared" si="1710"/>
        <v>0.73574042622428537</v>
      </c>
      <c r="AU2426" s="16" cm="1">
        <f t="array" ref="AU2426">$C2426*EXP(poly_from_str(100000000/$E2426,AU$4342))</f>
        <v>161.29595155645004</v>
      </c>
      <c r="AV2426" s="13">
        <f t="shared" si="1711"/>
        <v>0.1523092105824477</v>
      </c>
    </row>
    <row r="2427" spans="1:48" x14ac:dyDescent="0.25">
      <c r="A2427" t="s">
        <v>3239</v>
      </c>
      <c r="B2427" s="2" t="str">
        <f t="shared" si="1637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1638"/>
        <v>2964.817</v>
      </c>
      <c r="AB2427" s="3">
        <f t="shared" si="1639"/>
        <v>33719.050000000003</v>
      </c>
      <c r="AC2427" s="3" cm="1">
        <f t="array" ref="AC2427">100000000/LvacE(AA2427)</f>
        <v>33719.046932999299</v>
      </c>
      <c r="AD2427" s="10">
        <f t="shared" si="1640"/>
        <v>1.0686530894318149E-2</v>
      </c>
      <c r="AE2427" s="10" t="b">
        <f t="shared" si="1641"/>
        <v>1</v>
      </c>
      <c r="AP2427"/>
      <c r="AQ2427"/>
      <c r="AU2427" s="16" cm="1">
        <f t="array" ref="AU2427">$C2427*EXP(poly_from_str(100000000/$E2427,AU$4342))</f>
        <v>0</v>
      </c>
    </row>
    <row r="2428" spans="1:48" x14ac:dyDescent="0.25">
      <c r="A2428" t="s">
        <v>3240</v>
      </c>
      <c r="B2428" s="2" t="str">
        <f t="shared" si="1637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1638"/>
        <v>2964.5160000000001</v>
      </c>
      <c r="AB2428" s="3">
        <f t="shared" si="1639"/>
        <v>33722.47</v>
      </c>
      <c r="AC2428" s="3" cm="1">
        <f t="array" ref="AC2428">100000000/LvacE(AA2428)</f>
        <v>33722.470422670543</v>
      </c>
      <c r="AD2428" s="10">
        <f t="shared" si="1640"/>
        <v>1.0687685683374713E-2</v>
      </c>
      <c r="AE2428" s="10" t="b">
        <f t="shared" si="1641"/>
        <v>1</v>
      </c>
      <c r="AP2428"/>
      <c r="AQ2428"/>
      <c r="AU2428" s="16" cm="1">
        <f t="array" ref="AU2428">$C2428*EXP(poly_from_str(100000000/$E2428,AU$4342))</f>
        <v>12.53949472133084</v>
      </c>
    </row>
    <row r="2429" spans="1:48" x14ac:dyDescent="0.25">
      <c r="A2429" t="s">
        <v>3241</v>
      </c>
      <c r="B2429" s="2" t="str">
        <f t="shared" si="1637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1638"/>
        <v>2964.3130000000001</v>
      </c>
      <c r="AB2429" s="3">
        <f t="shared" si="1639"/>
        <v>33724.78</v>
      </c>
      <c r="AC2429" s="3" cm="1">
        <f t="array" ref="AC2429">100000000/LvacE(AA2429)</f>
        <v>33724.779680326566</v>
      </c>
      <c r="AD2429" s="10">
        <f t="shared" si="1640"/>
        <v>1.0688464693223449E-2</v>
      </c>
      <c r="AE2429" s="10" t="b">
        <f t="shared" si="1641"/>
        <v>1</v>
      </c>
      <c r="AJ2429" t="s">
        <v>4735</v>
      </c>
      <c r="AK2429" t="s">
        <v>4912</v>
      </c>
      <c r="AL2429">
        <v>31254.71</v>
      </c>
      <c r="AM2429">
        <v>64979.55</v>
      </c>
      <c r="AN2429" s="10" cm="1">
        <f t="array" ref="AN2429">Lair(100000000/($AM2429-$AL2429))</f>
        <v>2964.3076932942972</v>
      </c>
      <c r="AO2429" s="10">
        <f>100000000/($AM2429-$AL2429)</f>
        <v>2965.173444855483</v>
      </c>
      <c r="AP2429" s="12">
        <v>14300000</v>
      </c>
      <c r="AQ2429" s="3">
        <v>2.5999999999999999E-2</v>
      </c>
      <c r="AR2429" s="3"/>
      <c r="AS2429" s="13">
        <f>EXP(AR$4341*$AM2429+AR$4342)*$AP2429/(100000000/($AM2429-$AL2429))</f>
        <v>3.2504390322976033</v>
      </c>
      <c r="AT2429" s="3"/>
      <c r="AU2429" s="16" cm="1">
        <f t="array" ref="AU2429">$C2429*EXP(poly_from_str(100000000/$E2429,AU$4342))</f>
        <v>14.326826938836906</v>
      </c>
    </row>
    <row r="2430" spans="1:48" x14ac:dyDescent="0.25">
      <c r="A2430" t="s">
        <v>3242</v>
      </c>
      <c r="B2430" s="2" t="str">
        <f t="shared" si="1637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1638"/>
        <v>2963.8040000000001</v>
      </c>
      <c r="AB2430" s="3">
        <f t="shared" si="1639"/>
        <v>33730.57</v>
      </c>
      <c r="AC2430" s="3" cm="1">
        <f t="array" ref="AC2430">100000000/LvacE(AA2430)</f>
        <v>33730.571278831827</v>
      </c>
      <c r="AD2430" s="10">
        <f t="shared" si="1640"/>
        <v>1.0690418677961132E-2</v>
      </c>
      <c r="AE2430" s="10" t="b">
        <f t="shared" si="1641"/>
        <v>1</v>
      </c>
      <c r="AP2430"/>
      <c r="AQ2430"/>
      <c r="AU2430" s="16" cm="1">
        <f t="array" ref="AU2430">$C2430*EXP(poly_from_str(100000000/$E2430,AU$4342))</f>
        <v>5.3687637618173989</v>
      </c>
    </row>
    <row r="2431" spans="1:48" x14ac:dyDescent="0.25">
      <c r="A2431" t="s">
        <v>3243</v>
      </c>
      <c r="B2431" s="2" t="str">
        <f t="shared" si="1637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1638"/>
        <v>2963.39</v>
      </c>
      <c r="AB2431" s="3">
        <f t="shared" si="1639"/>
        <v>33735.279999999999</v>
      </c>
      <c r="AC2431" s="3" cm="1">
        <f t="array" ref="AC2431">100000000/LvacE(AA2431)</f>
        <v>33735.283397763771</v>
      </c>
      <c r="AD2431" s="10">
        <f t="shared" si="1640"/>
        <v>1.069200871261693E-2</v>
      </c>
      <c r="AE2431" s="10" t="b">
        <f t="shared" si="1641"/>
        <v>1</v>
      </c>
      <c r="AJ2431" t="s">
        <v>4895</v>
      </c>
      <c r="AK2431" t="s">
        <v>4894</v>
      </c>
      <c r="AL2431">
        <v>33659.99</v>
      </c>
      <c r="AM2431">
        <v>67395.320000000007</v>
      </c>
      <c r="AN2431" s="10" cm="1">
        <f t="array" ref="AN2431">Lair(100000000/($AM2431-$AL2431))</f>
        <v>2963.3859016232618</v>
      </c>
      <c r="AO2431" s="10">
        <f>100000000/($AM2431-$AL2431)</f>
        <v>2964.2514242487023</v>
      </c>
      <c r="AP2431" s="12">
        <v>345000000</v>
      </c>
      <c r="AQ2431" s="3">
        <v>0.32900000000000001</v>
      </c>
      <c r="AR2431" s="3">
        <f>LN(AU2431*100000000/($AM2431-$AL2431)/AP2431)</f>
        <v>-8.0875356182489462</v>
      </c>
      <c r="AS2431" s="13">
        <f>EXP(AR$4341*$AM2431+AR$4342)*$AP2431/(100000000/($AM2431-$AL2431))</f>
        <v>65.437156612299347</v>
      </c>
      <c r="AT2431" s="3">
        <f>LN(AS2431/$C2431)</f>
        <v>1.1853579674954597</v>
      </c>
      <c r="AU2431" s="16" cm="1">
        <f t="array" ref="AU2431">$C2431*EXP(poly_from_str(100000000/$E2431,AU$4342))</f>
        <v>35.771072925167346</v>
      </c>
      <c r="AV2431" s="13">
        <f>LN(AS2431/AU2431)</f>
        <v>0.60395069311605831</v>
      </c>
    </row>
    <row r="2432" spans="1:48" x14ac:dyDescent="0.25">
      <c r="A2432" t="s">
        <v>3244</v>
      </c>
      <c r="B2432" s="2" t="str">
        <f t="shared" si="1637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1638"/>
        <v>2963.3440000000001</v>
      </c>
      <c r="AB2432" s="3">
        <f t="shared" si="1639"/>
        <v>33735.81</v>
      </c>
      <c r="AC2432" s="3" cm="1">
        <f t="array" ref="AC2432">100000000/LvacE(AA2432)</f>
        <v>33735.807047801325</v>
      </c>
      <c r="AD2432" s="10">
        <f t="shared" si="1640"/>
        <v>1.0692185424270913E-2</v>
      </c>
      <c r="AE2432" s="10" t="b">
        <f t="shared" si="1641"/>
        <v>1</v>
      </c>
      <c r="AP2432"/>
      <c r="AQ2432"/>
      <c r="AU2432" s="16" cm="1">
        <f t="array" ref="AU2432">$C2432*EXP(poly_from_str(100000000/$E2432,AU$4342))</f>
        <v>0</v>
      </c>
    </row>
    <row r="2433" spans="1:48" x14ac:dyDescent="0.25">
      <c r="A2433" t="s">
        <v>3245</v>
      </c>
      <c r="B2433" s="2" t="str">
        <f t="shared" si="1637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1638"/>
        <v>2963.0320000000002</v>
      </c>
      <c r="AB2433" s="3">
        <f t="shared" si="1639"/>
        <v>33739.360000000001</v>
      </c>
      <c r="AC2433" s="3" cm="1">
        <f t="array" ref="AC2433">100000000/LvacE(AA2433)</f>
        <v>33739.359190192234</v>
      </c>
      <c r="AD2433" s="10">
        <f t="shared" si="1640"/>
        <v>1.0693384207492905E-2</v>
      </c>
      <c r="AE2433" s="10" t="b">
        <f t="shared" si="1641"/>
        <v>1</v>
      </c>
      <c r="AJ2433" t="s">
        <v>4793</v>
      </c>
      <c r="AK2433" t="s">
        <v>4876</v>
      </c>
      <c r="AL2433">
        <v>36642.129999999997</v>
      </c>
      <c r="AM2433">
        <v>70381.48</v>
      </c>
      <c r="AN2433" s="10" cm="1">
        <f t="array" ref="AN2433">Lair(100000000/($AM2433-$AL2433))</f>
        <v>2963.0328025829308</v>
      </c>
      <c r="AO2433" s="10">
        <f>100000000/($AM2433-$AL2433)</f>
        <v>2963.898237517913</v>
      </c>
      <c r="AP2433" s="12">
        <v>7420000</v>
      </c>
      <c r="AQ2433" s="3">
        <v>5.3999999999999999E-2</v>
      </c>
      <c r="AR2433" s="3">
        <f>LN(AU2433*100000000/($AM2433-$AL2433)/AP2433)</f>
        <v>-6.5513775289870315</v>
      </c>
      <c r="AS2433" s="13">
        <f>EXP(AR$4341*$AM2433+AR$4342)*$AP2433/(100000000/($AM2433-$AL2433))</f>
        <v>1.1249542908897525</v>
      </c>
      <c r="AT2433" s="3">
        <f>LN(AS2433/$C2433)</f>
        <v>-0.57540477604921569</v>
      </c>
      <c r="AU2433" s="16" cm="1">
        <f t="array" ref="AU2433">$C2433*EXP(poly_from_str(100000000/$E2433,AU$4342))</f>
        <v>3.5753083820934024</v>
      </c>
      <c r="AV2433" s="13">
        <f>LN(AS2433/AU2433)</f>
        <v>-1.1563090286404261</v>
      </c>
    </row>
    <row r="2434" spans="1:48" x14ac:dyDescent="0.25">
      <c r="A2434" t="s">
        <v>3246</v>
      </c>
      <c r="B2434" s="2" t="str">
        <f t="shared" ref="B2434:B2497" si="1712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1638"/>
        <v>2962.915</v>
      </c>
      <c r="AB2434" s="3">
        <f t="shared" si="1639"/>
        <v>33740.69</v>
      </c>
      <c r="AC2434" s="3" cm="1">
        <f t="array" ref="AC2434">100000000/LvacE(AA2434)</f>
        <v>33740.691436441783</v>
      </c>
      <c r="AD2434" s="10">
        <f t="shared" si="1640"/>
        <v>1.0693833848834978E-2</v>
      </c>
      <c r="AE2434" s="10" t="b">
        <f t="shared" si="1641"/>
        <v>1</v>
      </c>
      <c r="AP2434"/>
      <c r="AQ2434"/>
      <c r="AU2434" s="16" cm="1">
        <f t="array" ref="AU2434">$C2434*EXP(poly_from_str(100000000/$E2434,AU$4342))</f>
        <v>3.5747205610048813</v>
      </c>
    </row>
    <row r="2435" spans="1:48" x14ac:dyDescent="0.25">
      <c r="A2435" t="s">
        <v>3247</v>
      </c>
      <c r="B2435" s="2" t="str">
        <f t="shared" si="1712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1713">$G2435&amp;""</f>
        <v>e</v>
      </c>
      <c r="N2435" t="str">
        <f t="shared" ref="N2435:N2437" si="1714">$H2435&amp;""</f>
        <v>9/2</v>
      </c>
      <c r="O2435">
        <v>63593.35</v>
      </c>
      <c r="P2435" t="str">
        <f t="shared" ref="P2435:P2437" si="1715">$J2435&amp;""</f>
        <v>o</v>
      </c>
      <c r="Q2435" t="str">
        <f t="shared" ref="Q2435:Q2437" si="1716">$K2435&amp;""</f>
        <v>9/2</v>
      </c>
      <c r="R2435">
        <v>24</v>
      </c>
      <c r="AA2435" s="10">
        <f t="shared" ref="AA2435:AA2498" si="1717">ROUND($A2435,3)+0</f>
        <v>2961.38</v>
      </c>
      <c r="AB2435" s="3">
        <f t="shared" ref="AB2435:AB2498" si="1718">ROUND($E2435,2)+0</f>
        <v>33758.18</v>
      </c>
      <c r="AC2435" s="3" cm="1">
        <f t="array" ref="AC2435">100000000/LvacE(AA2435)</f>
        <v>33758.179801426202</v>
      </c>
      <c r="AD2435" s="10">
        <f t="shared" ref="AD2435:AD2498" si="1719">0.0005/$AA2435*AC2435+0.005</f>
        <v>1.0699737926477892E-2</v>
      </c>
      <c r="AE2435" s="10" t="b">
        <f t="shared" ref="AE2435:AE2498" si="1720">ABS(AB2435-AC2435)&lt;AD2435</f>
        <v>1</v>
      </c>
      <c r="AJ2435" t="s">
        <v>4697</v>
      </c>
      <c r="AK2435" t="s">
        <v>4840</v>
      </c>
      <c r="AL2435">
        <v>29835.09</v>
      </c>
      <c r="AM2435">
        <v>63593.35</v>
      </c>
      <c r="AN2435" s="10" cm="1">
        <f t="array" ref="AN2435">Lair(100000000/($AM2435-$AL2435))</f>
        <v>2961.372959886296</v>
      </c>
      <c r="AO2435" s="10">
        <f t="shared" ref="AO2435:AO2437" si="1721">100000000/($AM2435-$AL2435)</f>
        <v>2962.2379826448405</v>
      </c>
      <c r="AP2435" s="12">
        <v>57800000</v>
      </c>
      <c r="AQ2435" s="3">
        <v>0.17699999999999999</v>
      </c>
      <c r="AR2435" s="3">
        <f t="shared" ref="AR2435:AR2437" si="1722">LN(AU2435*100000000/($AM2435-$AL2435)/AP2435)</f>
        <v>-7.1030173981848455</v>
      </c>
      <c r="AS2435" s="13">
        <f t="shared" ref="AS2435:AS2437" si="1723">EXP(AR$4341*$AM2435+AR$4342)*$AP2435/(100000000/($AM2435-$AL2435))</f>
        <v>14.592965555371295</v>
      </c>
      <c r="AT2435" s="3">
        <f t="shared" ref="AT2435:AT2437" si="1724">LN(AS2435/$C2435)</f>
        <v>0.48331502399378351</v>
      </c>
      <c r="AU2435" s="16" cm="1">
        <f t="array" ref="AU2435">$C2435*EXP(poly_from_str(100000000/$E2435,AU$4342))</f>
        <v>16.051167664350551</v>
      </c>
      <c r="AV2435" s="13">
        <f t="shared" ref="AV2435:AV2437" si="1725">LN(AS2435/AU2435)</f>
        <v>-9.5241997272678944E-2</v>
      </c>
    </row>
    <row r="2436" spans="1:48" x14ac:dyDescent="0.25">
      <c r="A2436" t="s">
        <v>3248</v>
      </c>
      <c r="B2436" s="2" t="str">
        <f t="shared" si="1712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1713"/>
        <v>e</v>
      </c>
      <c r="N2436" t="str">
        <f t="shared" si="1714"/>
        <v>11/2</v>
      </c>
      <c r="O2436">
        <v>84410.63</v>
      </c>
      <c r="P2436" t="str">
        <f t="shared" si="1715"/>
        <v>o</v>
      </c>
      <c r="Q2436" t="str">
        <f t="shared" si="1716"/>
        <v>9/2</v>
      </c>
      <c r="R2436">
        <v>24</v>
      </c>
      <c r="AA2436" s="10">
        <f t="shared" si="1717"/>
        <v>2960.9470000000001</v>
      </c>
      <c r="AB2436" s="3">
        <f t="shared" si="1718"/>
        <v>33763.120000000003</v>
      </c>
      <c r="AC2436" s="3" cm="1">
        <f t="array" ref="AC2436">100000000/LvacE(AA2436)</f>
        <v>33763.116280060494</v>
      </c>
      <c r="AD2436" s="10">
        <f t="shared" si="1719"/>
        <v>1.0701405036979805E-2</v>
      </c>
      <c r="AE2436" s="10" t="b">
        <f t="shared" si="1720"/>
        <v>1</v>
      </c>
      <c r="AJ2436" t="s">
        <v>4937</v>
      </c>
      <c r="AK2436" t="s">
        <v>4933</v>
      </c>
      <c r="AL2436">
        <v>50647.35</v>
      </c>
      <c r="AM2436">
        <v>84410.63</v>
      </c>
      <c r="AN2436" s="10" cm="1">
        <f t="array" ref="AN2436">Lair(100000000/($AM2436-$AL2436))</f>
        <v>2960.9326370481085</v>
      </c>
      <c r="AO2436" s="10">
        <f t="shared" si="1721"/>
        <v>2961.7975504749534</v>
      </c>
      <c r="AP2436" s="12">
        <v>1980000000</v>
      </c>
      <c r="AQ2436" s="3">
        <v>0.59</v>
      </c>
      <c r="AR2436" s="3">
        <f t="shared" si="1722"/>
        <v>-9.4336800801662211</v>
      </c>
      <c r="AS2436" s="13">
        <f t="shared" si="1723"/>
        <v>104.82394504453684</v>
      </c>
      <c r="AT2436" s="3">
        <f t="shared" si="1724"/>
        <v>1.2510848473758613</v>
      </c>
      <c r="AU2436" s="16" cm="1">
        <f t="array" ref="AU2436">$C2436*EXP(poly_from_str(100000000/$E2436,AU$4342))</f>
        <v>53.470545875997828</v>
      </c>
      <c r="AV2436" s="13">
        <f t="shared" si="1725"/>
        <v>0.67315127111512829</v>
      </c>
    </row>
    <row r="2437" spans="1:48" x14ac:dyDescent="0.25">
      <c r="A2437" t="s">
        <v>3249</v>
      </c>
      <c r="B2437" s="2" t="str">
        <f t="shared" si="1712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1713"/>
        <v>e</v>
      </c>
      <c r="N2437" t="str">
        <f t="shared" si="1714"/>
        <v>1/2</v>
      </c>
      <c r="O2437">
        <v>67965.47</v>
      </c>
      <c r="P2437" t="str">
        <f t="shared" si="1715"/>
        <v>o</v>
      </c>
      <c r="Q2437" t="str">
        <f t="shared" si="1716"/>
        <v>3/2</v>
      </c>
      <c r="R2437">
        <v>24</v>
      </c>
      <c r="AA2437" s="10">
        <f t="shared" si="1717"/>
        <v>2960.6210000000001</v>
      </c>
      <c r="AB2437" s="3">
        <f t="shared" si="1718"/>
        <v>33766.83</v>
      </c>
      <c r="AC2437" s="3" cm="1">
        <f t="array" ref="AC2437">100000000/LvacE(AA2437)</f>
        <v>33766.83384257619</v>
      </c>
      <c r="AD2437" s="10">
        <f t="shared" si="1719"/>
        <v>1.070266066520777E-2</v>
      </c>
      <c r="AE2437" s="10" t="b">
        <f t="shared" si="1720"/>
        <v>1</v>
      </c>
      <c r="AJ2437" t="s">
        <v>4727</v>
      </c>
      <c r="AK2437" t="s">
        <v>4835</v>
      </c>
      <c r="AL2437">
        <v>34198.61</v>
      </c>
      <c r="AM2437">
        <v>67965.47</v>
      </c>
      <c r="AN2437" s="10" cm="1">
        <f t="array" ref="AN2437">Lair(100000000/($AM2437-$AL2437))</f>
        <v>2960.6187019294116</v>
      </c>
      <c r="AO2437" s="10">
        <f t="shared" si="1721"/>
        <v>2961.483537409164</v>
      </c>
      <c r="AP2437" s="12">
        <v>5080000</v>
      </c>
      <c r="AQ2437" s="3">
        <v>0.11600000000000001</v>
      </c>
      <c r="AR2437" s="3">
        <f t="shared" si="1722"/>
        <v>-5.7713005551523038</v>
      </c>
      <c r="AS2437" s="13">
        <f t="shared" si="1723"/>
        <v>0.92404303610077532</v>
      </c>
      <c r="AT2437" s="3">
        <f t="shared" si="1724"/>
        <v>-1.1776089212265446</v>
      </c>
      <c r="AU2437" s="16" cm="1">
        <f t="array" ref="AU2437">$C2437*EXP(poly_from_str(100000000/$E2437,AU$4342))</f>
        <v>5.3445409007493403</v>
      </c>
      <c r="AV2437" s="13">
        <f t="shared" si="1725"/>
        <v>-1.7550722801283256</v>
      </c>
    </row>
    <row r="2438" spans="1:48" x14ac:dyDescent="0.25">
      <c r="A2438" t="s">
        <v>3250</v>
      </c>
      <c r="B2438" s="2" t="str">
        <f t="shared" si="1712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1717"/>
        <v>2960.14</v>
      </c>
      <c r="AB2438" s="3">
        <f t="shared" si="1718"/>
        <v>33772.32</v>
      </c>
      <c r="AC2438" s="3" cm="1">
        <f t="array" ref="AC2438">100000000/LvacE(AA2438)</f>
        <v>33772.320453070657</v>
      </c>
      <c r="AD2438" s="10">
        <f t="shared" si="1719"/>
        <v>1.0704514052218925E-2</v>
      </c>
      <c r="AE2438" s="10" t="b">
        <f t="shared" si="1720"/>
        <v>1</v>
      </c>
      <c r="AP2438"/>
      <c r="AQ2438"/>
      <c r="AU2438" s="16" cm="1">
        <f t="array" ref="AU2438">$C2438*EXP(poly_from_str(100000000/$E2438,AU$4342))</f>
        <v>8.9013442085101744</v>
      </c>
    </row>
    <row r="2439" spans="1:48" x14ac:dyDescent="0.25">
      <c r="A2439" t="s">
        <v>3251</v>
      </c>
      <c r="B2439" s="2" t="str">
        <f t="shared" si="1712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1717"/>
        <v>2959.7170000000001</v>
      </c>
      <c r="AB2439" s="3">
        <f t="shared" si="1718"/>
        <v>33777.15</v>
      </c>
      <c r="AC2439" s="3" cm="1">
        <f t="array" ref="AC2439">100000000/LvacE(AA2439)</f>
        <v>33777.146950052142</v>
      </c>
      <c r="AD2439" s="10">
        <f t="shared" si="1719"/>
        <v>1.070614470066769E-2</v>
      </c>
      <c r="AE2439" s="10" t="b">
        <f t="shared" si="1720"/>
        <v>1</v>
      </c>
      <c r="AJ2439" t="s">
        <v>4770</v>
      </c>
      <c r="AK2439" t="s">
        <v>4857</v>
      </c>
      <c r="AL2439">
        <v>35024.49</v>
      </c>
      <c r="AM2439">
        <v>68801.67</v>
      </c>
      <c r="AN2439" s="10" cm="1">
        <f t="array" ref="AN2439">Lair(100000000/($AM2439-$AL2439))</f>
        <v>2959.7140993536468</v>
      </c>
      <c r="AO2439" s="10">
        <f>100000000/($AM2439-$AL2439)</f>
        <v>2960.5787102416484</v>
      </c>
      <c r="AP2439" s="12">
        <v>64600000</v>
      </c>
      <c r="AQ2439" s="3">
        <v>0.09</v>
      </c>
      <c r="AR2439" s="3">
        <f>LN(AU2439*100000000/($AM2439-$AL2439)/AP2439)</f>
        <v>-7.334997052032608</v>
      </c>
      <c r="AS2439" s="13">
        <f>EXP(AR$4341*$AM2439+AR$4342)*$AP2439/(100000000/($AM2439-$AL2439))</f>
        <v>11.039259832371403</v>
      </c>
      <c r="AT2439" s="3">
        <f>LN(AS2439/$C2439)</f>
        <v>0.32201645275229562</v>
      </c>
      <c r="AU2439" s="16" cm="1">
        <f t="array" ref="AU2439">$C2439*EXP(poly_from_str(100000000/$E2439,AU$4342))</f>
        <v>14.233351078446793</v>
      </c>
      <c r="AV2439" s="13">
        <f>LN(AS2439/AU2439)</f>
        <v>-0.25412988386284335</v>
      </c>
    </row>
    <row r="2440" spans="1:48" x14ac:dyDescent="0.25">
      <c r="A2440" t="s">
        <v>3252</v>
      </c>
      <c r="B2440" s="2" t="str">
        <f t="shared" si="1712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1717"/>
        <v>2959.1390000000001</v>
      </c>
      <c r="AB2440" s="3">
        <f t="shared" si="1718"/>
        <v>33783.74</v>
      </c>
      <c r="AC2440" s="3" cm="1">
        <f t="array" ref="AC2440">100000000/LvacE(AA2440)</f>
        <v>33783.744252346893</v>
      </c>
      <c r="AD2440" s="10">
        <f t="shared" si="1719"/>
        <v>1.07083739987116E-2</v>
      </c>
      <c r="AE2440" s="10" t="b">
        <f t="shared" si="1720"/>
        <v>1</v>
      </c>
      <c r="AP2440"/>
      <c r="AQ2440"/>
      <c r="AU2440" s="16" cm="1">
        <f t="array" ref="AU2440">$C2440*EXP(poly_from_str(100000000/$E2440,AU$4342))</f>
        <v>5.3329826093675274</v>
      </c>
    </row>
    <row r="2441" spans="1:48" x14ac:dyDescent="0.25">
      <c r="A2441" t="s">
        <v>3253</v>
      </c>
      <c r="B2441" s="2" t="str">
        <f t="shared" si="1712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1726">$G2441&amp;""</f>
        <v>e</v>
      </c>
      <c r="N2441" t="str">
        <f t="shared" ref="N2441:N2442" si="1727">$H2441&amp;""</f>
        <v>5/2</v>
      </c>
      <c r="O2441">
        <v>68331.73</v>
      </c>
      <c r="P2441" t="str">
        <f t="shared" ref="P2441:P2442" si="1728">$J2441&amp;""</f>
        <v>o</v>
      </c>
      <c r="Q2441" t="str">
        <f t="shared" ref="Q2441:Q2442" si="1729">$K2441&amp;""</f>
        <v>7/2</v>
      </c>
      <c r="R2441">
        <v>24</v>
      </c>
      <c r="AA2441" s="10">
        <f t="shared" si="1717"/>
        <v>2956.7170000000001</v>
      </c>
      <c r="AB2441" s="3">
        <f t="shared" si="1718"/>
        <v>33811.42</v>
      </c>
      <c r="AC2441" s="3" cm="1">
        <f t="array" ref="AC2441">100000000/LvacE(AA2441)</f>
        <v>33811.417050752374</v>
      </c>
      <c r="AD2441" s="10">
        <f t="shared" si="1719"/>
        <v>1.0717729672936634E-2</v>
      </c>
      <c r="AE2441" s="10" t="b">
        <f t="shared" si="1720"/>
        <v>1</v>
      </c>
      <c r="AJ2441" t="s">
        <v>4722</v>
      </c>
      <c r="AK2441" t="s">
        <v>4923</v>
      </c>
      <c r="AL2441">
        <v>34520.269999999997</v>
      </c>
      <c r="AM2441">
        <v>68331.75</v>
      </c>
      <c r="AN2441" s="10" cm="1">
        <f t="array" ref="AN2441">Lair(100000000/($AM2441-$AL2441))</f>
        <v>2956.71149051974</v>
      </c>
      <c r="AO2441" s="10">
        <f t="shared" ref="AO2441:AO2442" si="1730">100000000/($AM2441-$AL2441)</f>
        <v>2957.5753560624967</v>
      </c>
      <c r="AP2441" s="12">
        <v>8550000</v>
      </c>
      <c r="AQ2441" s="3">
        <v>4.5999999999999999E-2</v>
      </c>
      <c r="AR2441" s="3"/>
      <c r="AS2441" s="13">
        <f t="shared" ref="AS2441:AS2442" si="1731">EXP(AR$4341*$AM2441+AR$4342)*$AP2441/(100000000/($AM2441-$AL2441))</f>
        <v>1.5150611531238636</v>
      </c>
      <c r="AT2441" s="3"/>
      <c r="AU2441" s="16" cm="1">
        <f t="array" ref="AU2441">$C2441*EXP(poly_from_str(100000000/$E2441,AU$4342))</f>
        <v>35.424720009765373</v>
      </c>
    </row>
    <row r="2442" spans="1:48" x14ac:dyDescent="0.25">
      <c r="A2442" t="s">
        <v>3254</v>
      </c>
      <c r="B2442" s="2" t="str">
        <f t="shared" si="1712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1726"/>
        <v>e</v>
      </c>
      <c r="N2442" t="str">
        <f t="shared" si="1727"/>
        <v>9/2</v>
      </c>
      <c r="O2442">
        <v>62535.62</v>
      </c>
      <c r="P2442" t="str">
        <f t="shared" si="1728"/>
        <v>o</v>
      </c>
      <c r="Q2442" t="str">
        <f t="shared" si="1729"/>
        <v>9/2</v>
      </c>
      <c r="R2442">
        <v>24</v>
      </c>
      <c r="AA2442" s="10">
        <f t="shared" si="1717"/>
        <v>2956.4160000000002</v>
      </c>
      <c r="AB2442" s="3">
        <f t="shared" si="1718"/>
        <v>33814.86</v>
      </c>
      <c r="AC2442" s="3" cm="1">
        <f t="array" ref="AC2442">100000000/LvacE(AA2442)</f>
        <v>33814.859323090626</v>
      </c>
      <c r="AD2442" s="10">
        <f t="shared" si="1719"/>
        <v>1.0718893978907337E-2</v>
      </c>
      <c r="AE2442" s="10" t="b">
        <f t="shared" si="1720"/>
        <v>1</v>
      </c>
      <c r="AJ2442" t="s">
        <v>4708</v>
      </c>
      <c r="AK2442" t="s">
        <v>4839</v>
      </c>
      <c r="AL2442">
        <v>28720.71</v>
      </c>
      <c r="AM2442">
        <v>62535.62</v>
      </c>
      <c r="AN2442" s="10" cm="1">
        <f t="array" ref="AN2442">Lair(100000000/($AM2442-$AL2442))</f>
        <v>2956.4115646502191</v>
      </c>
      <c r="AO2442" s="10">
        <f t="shared" si="1730"/>
        <v>2957.2753557528317</v>
      </c>
      <c r="AP2442" s="12">
        <v>4050000</v>
      </c>
      <c r="AQ2442" s="3">
        <v>1.4999999999999999E-2</v>
      </c>
      <c r="AR2442" s="3"/>
      <c r="AS2442" s="13">
        <f t="shared" si="1731"/>
        <v>1.108850194312198</v>
      </c>
      <c r="AT2442" s="3"/>
      <c r="AU2442" s="16" cm="1">
        <f t="array" ref="AU2442">$C2442*EXP(poly_from_str(100000000/$E2442,AU$4342))</f>
        <v>7.0817094250698629</v>
      </c>
    </row>
    <row r="2443" spans="1:48" x14ac:dyDescent="0.25">
      <c r="A2443" t="s">
        <v>3255</v>
      </c>
      <c r="B2443" s="2" t="str">
        <f t="shared" si="1712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1717"/>
        <v>2956.2939999999999</v>
      </c>
      <c r="AB2443" s="3">
        <f t="shared" si="1718"/>
        <v>33816.25</v>
      </c>
      <c r="AC2443" s="3" cm="1">
        <f t="array" ref="AC2443">100000000/LvacE(AA2443)</f>
        <v>33816.254729436143</v>
      </c>
      <c r="AD2443" s="10">
        <f t="shared" si="1719"/>
        <v>1.0719365991582052E-2</v>
      </c>
      <c r="AE2443" s="10" t="b">
        <f t="shared" si="1720"/>
        <v>1</v>
      </c>
      <c r="AP2443"/>
      <c r="AQ2443"/>
      <c r="AU2443" s="16" cm="1">
        <f t="array" ref="AU2443">$C2443*EXP(poly_from_str(100000000/$E2443,AU$4342))</f>
        <v>1.7700999727517261</v>
      </c>
    </row>
    <row r="2444" spans="1:48" x14ac:dyDescent="0.25">
      <c r="A2444" t="s">
        <v>3256</v>
      </c>
      <c r="B2444" s="2" t="str">
        <f t="shared" si="1712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1717"/>
        <v>2956.1329999999998</v>
      </c>
      <c r="AB2444" s="3">
        <f t="shared" si="1718"/>
        <v>33818.1</v>
      </c>
      <c r="AC2444" s="3" cm="1">
        <f t="array" ref="AC2444">100000000/LvacE(AA2444)</f>
        <v>33818.096384578887</v>
      </c>
      <c r="AD2444" s="10">
        <f t="shared" si="1719"/>
        <v>1.071998898300227E-2</v>
      </c>
      <c r="AE2444" s="10" t="b">
        <f t="shared" si="1720"/>
        <v>1</v>
      </c>
      <c r="AP2444"/>
      <c r="AQ2444"/>
      <c r="AU2444" s="16" cm="1">
        <f t="array" ref="AU2444">$C2444*EXP(poly_from_str(100000000/$E2444,AU$4342))</f>
        <v>1.7696636803467791</v>
      </c>
    </row>
    <row r="2445" spans="1:48" x14ac:dyDescent="0.25">
      <c r="A2445" t="s">
        <v>3257</v>
      </c>
      <c r="B2445" s="2" t="str">
        <f t="shared" si="1712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1717"/>
        <v>2955.951</v>
      </c>
      <c r="AB2445" s="3">
        <f t="shared" si="1718"/>
        <v>33820.18</v>
      </c>
      <c r="AC2445" s="3" cm="1">
        <f t="array" ref="AC2445">100000000/LvacE(AA2445)</f>
        <v>33820.178497165361</v>
      </c>
      <c r="AD2445" s="10">
        <f t="shared" si="1719"/>
        <v>1.0720693356751408E-2</v>
      </c>
      <c r="AE2445" s="10" t="b">
        <f t="shared" si="1720"/>
        <v>1</v>
      </c>
      <c r="AP2445"/>
      <c r="AQ2445"/>
      <c r="AU2445" s="16" cm="1">
        <f t="array" ref="AU2445">$C2445*EXP(poly_from_str(100000000/$E2445,AU$4342))</f>
        <v>8.8458618739564994</v>
      </c>
    </row>
    <row r="2446" spans="1:48" x14ac:dyDescent="0.25">
      <c r="A2446" t="s">
        <v>3258</v>
      </c>
      <c r="B2446" s="2" t="str">
        <f t="shared" si="1712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1717"/>
        <v>2955.16</v>
      </c>
      <c r="AB2446" s="3">
        <f t="shared" si="1718"/>
        <v>33829.230000000003</v>
      </c>
      <c r="AC2446" s="3" cm="1">
        <f t="array" ref="AC2446">100000000/LvacE(AA2446)</f>
        <v>33829.230658044587</v>
      </c>
      <c r="AD2446" s="10">
        <f t="shared" si="1719"/>
        <v>1.0723756185459433E-2</v>
      </c>
      <c r="AE2446" s="10" t="b">
        <f t="shared" si="1720"/>
        <v>1</v>
      </c>
      <c r="AP2446"/>
      <c r="AQ2446"/>
      <c r="AU2446" s="16" cm="1">
        <f t="array" ref="AU2446">$C2446*EXP(poly_from_str(100000000/$E2446,AU$4342))</f>
        <v>5.3010757165716713</v>
      </c>
    </row>
    <row r="2447" spans="1:48" x14ac:dyDescent="0.25">
      <c r="A2447" t="s">
        <v>3259</v>
      </c>
      <c r="B2447" s="2" t="str">
        <f t="shared" si="1712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1717"/>
        <v>2954.8049999999998</v>
      </c>
      <c r="AB2447" s="3">
        <f t="shared" si="1718"/>
        <v>33833.29</v>
      </c>
      <c r="AC2447" s="3" cm="1">
        <f t="array" ref="AC2447">100000000/LvacE(AA2447)</f>
        <v>33833.294834220309</v>
      </c>
      <c r="AD2447" s="10">
        <f t="shared" si="1719"/>
        <v>1.0725131579616982E-2</v>
      </c>
      <c r="AE2447" s="10" t="b">
        <f t="shared" si="1720"/>
        <v>1</v>
      </c>
      <c r="AP2447"/>
      <c r="AQ2447"/>
      <c r="AU2447" s="16" cm="1">
        <f t="array" ref="AU2447">$C2447*EXP(poly_from_str(100000000/$E2447,AU$4342))</f>
        <v>7.064227977991612</v>
      </c>
    </row>
    <row r="2448" spans="1:48" x14ac:dyDescent="0.25">
      <c r="A2448" t="s">
        <v>3260</v>
      </c>
      <c r="B2448" s="2" t="str">
        <f t="shared" si="1712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1732">$G2448&amp;""</f>
        <v>e</v>
      </c>
      <c r="N2448" t="str">
        <f t="shared" ref="N2448:N2449" si="1733">$H2448&amp;""</f>
        <v>9/2</v>
      </c>
      <c r="O2448">
        <v>62558.67</v>
      </c>
      <c r="P2448" t="str">
        <f t="shared" ref="P2448:P2449" si="1734">$J2448&amp;""</f>
        <v>o</v>
      </c>
      <c r="Q2448" t="str">
        <f t="shared" ref="Q2448:Q2449" si="1735">$K2448&amp;""</f>
        <v>11/2</v>
      </c>
      <c r="R2448">
        <v>24</v>
      </c>
      <c r="AA2448" s="10">
        <f t="shared" si="1717"/>
        <v>2954.3960000000002</v>
      </c>
      <c r="AB2448" s="3">
        <f t="shared" si="1718"/>
        <v>33837.980000000003</v>
      </c>
      <c r="AC2448" s="3" cm="1">
        <f t="array" ref="AC2448">100000000/LvacE(AA2448)</f>
        <v>33837.978433871009</v>
      </c>
      <c r="AD2448" s="10">
        <f t="shared" si="1719"/>
        <v>1.0726716803345084E-2</v>
      </c>
      <c r="AE2448" s="10" t="b">
        <f t="shared" si="1720"/>
        <v>1</v>
      </c>
      <c r="AJ2448" t="s">
        <v>4708</v>
      </c>
      <c r="AK2448" t="s">
        <v>4821</v>
      </c>
      <c r="AL2448">
        <v>28720.71</v>
      </c>
      <c r="AM2448">
        <v>62558.67</v>
      </c>
      <c r="AN2448" s="10" cm="1">
        <f t="array" ref="AN2448">Lair(100000000/($AM2448-$AL2448))</f>
        <v>2954.3976050419105</v>
      </c>
      <c r="AO2448" s="10">
        <f t="shared" ref="AO2448:AO2449" si="1736">100000000/($AM2448-$AL2448)</f>
        <v>2955.2608963424509</v>
      </c>
      <c r="AP2448" s="12">
        <v>442000000</v>
      </c>
      <c r="AQ2448" s="3">
        <v>0.45800000000000002</v>
      </c>
      <c r="AR2448" s="3">
        <f t="shared" ref="AR2448:AR2449" si="1737">LN(AU2448*100000000/($AM2448-$AL2448)/AP2448)</f>
        <v>-6.8475548824262908</v>
      </c>
      <c r="AS2448" s="13">
        <f t="shared" ref="AS2448:AS2449" si="1738">EXP(AR$4341*$AM2448+AR$4342)*$AP2448/(100000000/($AM2448-$AL2448))</f>
        <v>120.88844888847285</v>
      </c>
      <c r="AT2448" s="3">
        <f t="shared" ref="AT2448:AT2449" si="1739">LN(AS2448/$C2448)</f>
        <v>0.29505854003345588</v>
      </c>
      <c r="AU2448" s="16" cm="1">
        <f t="array" ref="AU2448">$C2448*EXP(poly_from_str(100000000/$E2448,AU$4342))</f>
        <v>158.84411966656458</v>
      </c>
      <c r="AV2448" s="13">
        <f t="shared" ref="AV2448:AV2449" si="1740">LN(AS2448/AU2448)</f>
        <v>-0.27305513151467703</v>
      </c>
    </row>
    <row r="2449" spans="1:48" x14ac:dyDescent="0.25">
      <c r="A2449" t="s">
        <v>3261</v>
      </c>
      <c r="B2449" s="2" t="str">
        <f t="shared" si="1712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1732"/>
        <v>e</v>
      </c>
      <c r="N2449" t="str">
        <f t="shared" si="1733"/>
        <v>9/2</v>
      </c>
      <c r="O2449">
        <v>69138.28</v>
      </c>
      <c r="P2449" t="str">
        <f t="shared" si="1734"/>
        <v>o</v>
      </c>
      <c r="Q2449" t="str">
        <f t="shared" si="1735"/>
        <v>9/2</v>
      </c>
      <c r="R2449">
        <v>24</v>
      </c>
      <c r="AA2449" s="10">
        <f t="shared" si="1717"/>
        <v>2953.5839999999998</v>
      </c>
      <c r="AB2449" s="3">
        <f t="shared" si="1718"/>
        <v>33847.279999999999</v>
      </c>
      <c r="AC2449" s="3" cm="1">
        <f t="array" ref="AC2449">100000000/LvacE(AA2449)</f>
        <v>33847.280768769975</v>
      </c>
      <c r="AD2449" s="10">
        <f t="shared" si="1719"/>
        <v>1.0729865947399834E-2</v>
      </c>
      <c r="AE2449" s="10" t="b">
        <f t="shared" si="1720"/>
        <v>1</v>
      </c>
      <c r="AJ2449" t="s">
        <v>4807</v>
      </c>
      <c r="AK2449" t="s">
        <v>4879</v>
      </c>
      <c r="AL2449">
        <v>35291</v>
      </c>
      <c r="AM2449">
        <v>69138.28</v>
      </c>
      <c r="AN2449" s="10" cm="1">
        <f t="array" ref="AN2449">Lair(100000000/($AM2449-$AL2449))</f>
        <v>2953.5840626003237</v>
      </c>
      <c r="AO2449" s="10">
        <f t="shared" si="1736"/>
        <v>2954.4471520311236</v>
      </c>
      <c r="AP2449" s="12">
        <v>922000000</v>
      </c>
      <c r="AQ2449" s="3">
        <v>0.54700000000000004</v>
      </c>
      <c r="AR2449" s="3">
        <f t="shared" si="1737"/>
        <v>-7.8356486936164007</v>
      </c>
      <c r="AS2449" s="13">
        <f t="shared" si="1738"/>
        <v>153.94579076660742</v>
      </c>
      <c r="AT2449" s="3">
        <f t="shared" si="1739"/>
        <v>0.78810529038586541</v>
      </c>
      <c r="AU2449" s="16" cm="1">
        <f t="array" ref="AU2449">$C2449*EXP(poly_from_str(100000000/$E2449,AU$4342))</f>
        <v>123.38879000019836</v>
      </c>
      <c r="AV2449" s="13">
        <f t="shared" si="1740"/>
        <v>0.22126026787646755</v>
      </c>
    </row>
    <row r="2450" spans="1:48" x14ac:dyDescent="0.25">
      <c r="A2450" t="s">
        <v>3262</v>
      </c>
      <c r="B2450" s="2" t="str">
        <f t="shared" si="1712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1717"/>
        <v>2953.5439999999999</v>
      </c>
      <c r="AB2450" s="3">
        <f t="shared" si="1718"/>
        <v>33847.74</v>
      </c>
      <c r="AC2450" s="3" cm="1">
        <f t="array" ref="AC2450">100000000/LvacE(AA2450)</f>
        <v>33847.73914404618</v>
      </c>
      <c r="AD2450" s="10">
        <f t="shared" si="1719"/>
        <v>1.0730021144774917E-2</v>
      </c>
      <c r="AE2450" s="10" t="b">
        <f t="shared" si="1720"/>
        <v>1</v>
      </c>
      <c r="AP2450"/>
      <c r="AQ2450"/>
      <c r="AU2450" s="16" cm="1">
        <f t="array" ref="AU2450">$C2450*EXP(poly_from_str(100000000/$E2450,AU$4342))</f>
        <v>0</v>
      </c>
    </row>
    <row r="2451" spans="1:48" x14ac:dyDescent="0.25">
      <c r="A2451" t="s">
        <v>3263</v>
      </c>
      <c r="B2451" s="2">
        <f t="shared" si="1712"/>
        <v>1</v>
      </c>
      <c r="C2451">
        <v>9</v>
      </c>
      <c r="D2451" t="s">
        <v>3264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1741">$G2451&amp;""</f>
        <v>e</v>
      </c>
      <c r="N2451" t="str">
        <f t="shared" ref="N2451:N2453" si="1742">$H2451&amp;""</f>
        <v>9/2</v>
      </c>
      <c r="O2451">
        <v>69686.259999999995</v>
      </c>
      <c r="P2451" t="str">
        <f t="shared" ref="P2451:P2453" si="1743">$J2451&amp;""</f>
        <v>o</v>
      </c>
      <c r="Q2451" t="str">
        <f t="shared" ref="Q2451:Q2453" si="1744">$K2451&amp;""</f>
        <v>9/2</v>
      </c>
      <c r="R2451">
        <v>24</v>
      </c>
      <c r="AA2451" s="10">
        <f t="shared" si="1717"/>
        <v>2952.6689999999999</v>
      </c>
      <c r="AB2451" s="3">
        <f t="shared" si="1718"/>
        <v>33857.769999999997</v>
      </c>
      <c r="AC2451" s="3" cm="1">
        <f t="array" ref="AC2451">100000000/LvacE(AA2451)</f>
        <v>33857.769210217062</v>
      </c>
      <c r="AD2451" s="10">
        <f t="shared" si="1719"/>
        <v>1.0733417665545489E-2</v>
      </c>
      <c r="AE2451" s="10" t="b">
        <f t="shared" si="1720"/>
        <v>1</v>
      </c>
      <c r="AJ2451" t="s">
        <v>4773</v>
      </c>
      <c r="AK2451" t="s">
        <v>4838</v>
      </c>
      <c r="AL2451">
        <v>35828.46</v>
      </c>
      <c r="AM2451">
        <v>69686.259999999995</v>
      </c>
      <c r="AN2451" s="10" cm="1">
        <f t="array" ref="AN2451">Lair(100000000/($AM2451-$AL2451))</f>
        <v>2952.6663102867601</v>
      </c>
      <c r="AO2451" s="10">
        <f t="shared" ref="AO2451:AO2453" si="1745">100000000/($AM2451-$AL2451)</f>
        <v>2953.5291720076325</v>
      </c>
      <c r="AP2451" s="12">
        <v>30700000</v>
      </c>
      <c r="AQ2451" s="3">
        <v>8.8999999999999996E-2</v>
      </c>
      <c r="AR2451" s="3">
        <f>LN(AU2451*100000000/($AM2451-$AL2451)/AP2451)</f>
        <v>-6.4863914266207834</v>
      </c>
      <c r="AS2451" s="13">
        <f>EXP(AR$4341*$AM2451+AR$4342)*$AP2451/(100000000/($AM2451-$AL2451))</f>
        <v>4.9209647542336894</v>
      </c>
      <c r="AT2451" s="3">
        <f>LN(AS2451/$C2451)</f>
        <v>-0.60371997779591235</v>
      </c>
      <c r="AU2451" s="16" cm="1">
        <f t="array" ref="AU2451">$C2451*EXP(poly_from_str(100000000/$E2451,AU$4342))</f>
        <v>15.84138345875985</v>
      </c>
      <c r="AV2451" s="13">
        <f>LN(AS2451/AU2451)</f>
        <v>-1.1691211226002673</v>
      </c>
    </row>
    <row r="2452" spans="1:48" x14ac:dyDescent="0.25">
      <c r="A2452" t="s">
        <v>3263</v>
      </c>
      <c r="B2452" s="2">
        <f t="shared" si="1712"/>
        <v>2</v>
      </c>
      <c r="C2452">
        <v>9</v>
      </c>
      <c r="D2452" t="s">
        <v>3264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1741"/>
        <v>o</v>
      </c>
      <c r="N2452" t="str">
        <f t="shared" si="1742"/>
        <v>9/2</v>
      </c>
      <c r="O2452">
        <v>105450.18</v>
      </c>
      <c r="P2452" t="str">
        <f t="shared" si="1743"/>
        <v>e</v>
      </c>
      <c r="Q2452" t="str">
        <f t="shared" si="1744"/>
        <v>11/2</v>
      </c>
      <c r="R2452">
        <v>24</v>
      </c>
      <c r="S2452" t="s">
        <v>6</v>
      </c>
      <c r="AA2452" s="10">
        <f t="shared" si="1717"/>
        <v>2952.6689999999999</v>
      </c>
      <c r="AB2452" s="3">
        <f t="shared" si="1718"/>
        <v>33857.769999999997</v>
      </c>
      <c r="AC2452" s="3" cm="1">
        <f t="array" ref="AC2452">100000000/LvacE(AA2452)</f>
        <v>33857.769210217062</v>
      </c>
      <c r="AD2452" s="10">
        <f t="shared" si="1719"/>
        <v>1.0733417665545489E-2</v>
      </c>
      <c r="AE2452" s="10" t="b">
        <f t="shared" si="1720"/>
        <v>1</v>
      </c>
      <c r="AJ2452" t="s">
        <v>4881</v>
      </c>
      <c r="AK2452" t="s">
        <v>4883</v>
      </c>
      <c r="AL2452">
        <v>71592.34</v>
      </c>
      <c r="AM2452">
        <v>105450.18</v>
      </c>
      <c r="AN2452" s="10" cm="1">
        <f t="array" ref="AN2452">Lair(100000000/($AM2452-$AL2452))</f>
        <v>2952.6628218225646</v>
      </c>
      <c r="AO2452" s="10">
        <f t="shared" si="1745"/>
        <v>2953.5256826779264</v>
      </c>
      <c r="AU2452" s="16" cm="1">
        <f t="array" ref="AU2452">$C2452*EXP(poly_from_str(100000000/$E2452,AU$4342))</f>
        <v>15.84138345875985</v>
      </c>
    </row>
    <row r="2453" spans="1:48" x14ac:dyDescent="0.25">
      <c r="A2453" t="s">
        <v>3265</v>
      </c>
      <c r="B2453" s="2" t="str">
        <f t="shared" si="1712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1741"/>
        <v>e</v>
      </c>
      <c r="N2453" t="str">
        <f t="shared" si="1742"/>
        <v>9/2</v>
      </c>
      <c r="O2453">
        <v>64857.15</v>
      </c>
      <c r="P2453" t="str">
        <f t="shared" si="1743"/>
        <v>o</v>
      </c>
      <c r="Q2453" t="str">
        <f t="shared" si="1744"/>
        <v>9/2</v>
      </c>
      <c r="R2453">
        <v>24</v>
      </c>
      <c r="AA2453" s="10">
        <f t="shared" si="1717"/>
        <v>2952.248</v>
      </c>
      <c r="AB2453" s="3">
        <f t="shared" si="1718"/>
        <v>33862.6</v>
      </c>
      <c r="AC2453" s="3" cm="1">
        <f t="array" ref="AC2453">100000000/LvacE(AA2453)</f>
        <v>33862.597223254452</v>
      </c>
      <c r="AD2453" s="10">
        <f t="shared" si="1719"/>
        <v>1.073505295341964E-2</v>
      </c>
      <c r="AE2453" s="10" t="b">
        <f t="shared" si="1720"/>
        <v>1</v>
      </c>
      <c r="AJ2453" t="s">
        <v>4788</v>
      </c>
      <c r="AK2453" t="s">
        <v>4854</v>
      </c>
      <c r="AL2453">
        <v>30994.55</v>
      </c>
      <c r="AM2453">
        <v>64857.15</v>
      </c>
      <c r="AN2453" s="10" cm="1">
        <f t="array" ref="AN2453">Lair(100000000/($AM2453-$AL2453))</f>
        <v>2952.2477534253621</v>
      </c>
      <c r="AO2453" s="10">
        <f t="shared" si="1745"/>
        <v>2953.1105113015533</v>
      </c>
      <c r="AP2453" s="12">
        <v>45400000</v>
      </c>
      <c r="AQ2453" s="3">
        <v>0.12</v>
      </c>
      <c r="AR2453" s="3">
        <f>LN(AU2453*100000000/($AM2453-$AL2453)/AP2453)</f>
        <v>-7.2839171560907712</v>
      </c>
      <c r="AS2453" s="13">
        <f>EXP(AR$4341*$AM2453+AR$4342)*$AP2453/(100000000/($AM2453-$AL2453))</f>
        <v>10.457347777916331</v>
      </c>
      <c r="AT2453" s="3">
        <f>LN(AS2453/$C2453)</f>
        <v>0.55554539874072306</v>
      </c>
      <c r="AU2453" s="16" cm="1">
        <f t="array" ref="AU2453">$C2453*EXP(poly_from_str(100000000/$E2453,AU$4342))</f>
        <v>10.553855068118224</v>
      </c>
      <c r="AV2453" s="13">
        <f>LN(AS2453/AU2453)</f>
        <v>-9.1863345078838643E-3</v>
      </c>
    </row>
    <row r="2454" spans="1:48" x14ac:dyDescent="0.25">
      <c r="A2454" t="s">
        <v>3266</v>
      </c>
      <c r="B2454" s="2" t="str">
        <f t="shared" si="1712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1717"/>
        <v>2951.5839999999998</v>
      </c>
      <c r="AB2454" s="3">
        <f t="shared" si="1718"/>
        <v>33870.21</v>
      </c>
      <c r="AC2454" s="3" cm="1">
        <f t="array" ref="AC2454">100000000/LvacE(AA2454)</f>
        <v>33870.214750605737</v>
      </c>
      <c r="AD2454" s="10">
        <f t="shared" si="1719"/>
        <v>1.0737633547038765E-2</v>
      </c>
      <c r="AE2454" s="10" t="b">
        <f t="shared" si="1720"/>
        <v>1</v>
      </c>
      <c r="AP2454"/>
      <c r="AQ2454"/>
      <c r="AU2454" s="16" cm="1">
        <f t="array" ref="AU2454">$C2454*EXP(poly_from_str(100000000/$E2454,AU$4342))</f>
        <v>0</v>
      </c>
    </row>
    <row r="2455" spans="1:48" x14ac:dyDescent="0.25">
      <c r="A2455" t="s">
        <v>3267</v>
      </c>
      <c r="B2455" s="2" t="str">
        <f t="shared" si="1712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1717"/>
        <v>2951.5590000000002</v>
      </c>
      <c r="AB2455" s="3">
        <f t="shared" si="1718"/>
        <v>33870.5</v>
      </c>
      <c r="AC2455" s="3" cm="1">
        <f t="array" ref="AC2455">100000000/LvacE(AA2455)</f>
        <v>33870.501622044641</v>
      </c>
      <c r="AD2455" s="10">
        <f t="shared" si="1719"/>
        <v>1.0737730741964609E-2</v>
      </c>
      <c r="AE2455" s="10" t="b">
        <f t="shared" si="1720"/>
        <v>1</v>
      </c>
      <c r="AJ2455" t="s">
        <v>4788</v>
      </c>
      <c r="AK2455" t="s">
        <v>4896</v>
      </c>
      <c r="AL2455">
        <v>30994.55</v>
      </c>
      <c r="AM2455">
        <v>64865.15</v>
      </c>
      <c r="AN2455" s="10" cm="1">
        <f t="array" ref="AN2455">Lair(100000000/($AM2455-$AL2455))</f>
        <v>2951.5504222747309</v>
      </c>
      <c r="AO2455" s="10">
        <f>100000000/($AM2455-$AL2455)</f>
        <v>2952.4130071507439</v>
      </c>
      <c r="AP2455" s="12">
        <v>110000000</v>
      </c>
      <c r="AQ2455" s="3">
        <v>0.46500000000000002</v>
      </c>
      <c r="AR2455" s="3">
        <f>LN(AU2455*100000000/($AM2455-$AL2455)/AP2455)</f>
        <v>-7.7647576683677055</v>
      </c>
      <c r="AS2455" s="13">
        <f>EXP(AR$4341*$AM2455+AR$4342)*$AP2455/(100000000/($AM2455-$AL2455))</f>
        <v>25.327961309855819</v>
      </c>
      <c r="AT2455" s="3">
        <f>LN(AS2455/$C2455)</f>
        <v>1.0346843982371443</v>
      </c>
      <c r="AU2455" s="16" cm="1">
        <f t="array" ref="AU2455">$C2455*EXP(poly_from_str(100000000/$E2455,AU$4342))</f>
        <v>15.813360308721123</v>
      </c>
      <c r="AV2455" s="13">
        <f>LN(AS2455/AU2455)</f>
        <v>0.47105380368998101</v>
      </c>
    </row>
    <row r="2456" spans="1:48" x14ac:dyDescent="0.25">
      <c r="A2456" t="s">
        <v>3268</v>
      </c>
      <c r="B2456" s="2" t="str">
        <f t="shared" si="1712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1717"/>
        <v>2951.2539999999999</v>
      </c>
      <c r="AB2456" s="3">
        <f t="shared" si="1718"/>
        <v>33874</v>
      </c>
      <c r="AC2456" s="3" cm="1">
        <f t="array" ref="AC2456">100000000/LvacE(AA2456)</f>
        <v>33874.001844909115</v>
      </c>
      <c r="AD2456" s="10">
        <f t="shared" si="1719"/>
        <v>1.0738916718945423E-2</v>
      </c>
      <c r="AE2456" s="10" t="b">
        <f t="shared" si="1720"/>
        <v>1</v>
      </c>
      <c r="AP2456"/>
      <c r="AQ2456"/>
      <c r="AU2456" s="16" cm="1">
        <f t="array" ref="AU2456">$C2456*EXP(poly_from_str(100000000/$E2456,AU$4342))</f>
        <v>7.024714920148881</v>
      </c>
    </row>
    <row r="2457" spans="1:48" x14ac:dyDescent="0.25">
      <c r="A2457" t="s">
        <v>3269</v>
      </c>
      <c r="B2457" s="2" t="str">
        <f t="shared" si="1712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1717"/>
        <v>2951.203</v>
      </c>
      <c r="AB2457" s="3">
        <f t="shared" si="1718"/>
        <v>33874.589999999997</v>
      </c>
      <c r="AC2457" s="3" cm="1">
        <f t="array" ref="AC2457">100000000/LvacE(AA2457)</f>
        <v>33874.587198673107</v>
      </c>
      <c r="AD2457" s="10">
        <f t="shared" si="1719"/>
        <v>1.0739115065733043E-2</v>
      </c>
      <c r="AE2457" s="10" t="b">
        <f t="shared" si="1720"/>
        <v>1</v>
      </c>
      <c r="AP2457"/>
      <c r="AQ2457"/>
      <c r="AU2457" s="16" cm="1">
        <f t="array" ref="AU2457">$C2457*EXP(poly_from_str(100000000/$E2457,AU$4342))</f>
        <v>0</v>
      </c>
    </row>
    <row r="2458" spans="1:48" x14ac:dyDescent="0.25">
      <c r="A2458" t="s">
        <v>3270</v>
      </c>
      <c r="B2458" s="2" t="str">
        <f t="shared" si="1712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1717"/>
        <v>2951.1660000000002</v>
      </c>
      <c r="AB2458" s="3">
        <f t="shared" si="1718"/>
        <v>33875.01</v>
      </c>
      <c r="AC2458" s="3" cm="1">
        <f t="array" ref="AC2458">100000000/LvacE(AA2458)</f>
        <v>33875.011879752201</v>
      </c>
      <c r="AD2458" s="10">
        <f t="shared" si="1719"/>
        <v>1.0739258970819026E-2</v>
      </c>
      <c r="AE2458" s="10" t="b">
        <f t="shared" si="1720"/>
        <v>1</v>
      </c>
      <c r="AP2458"/>
      <c r="AQ2458"/>
      <c r="AU2458" s="16" cm="1">
        <f t="array" ref="AU2458">$C2458*EXP(poly_from_str(100000000/$E2458,AU$4342))</f>
        <v>0</v>
      </c>
    </row>
    <row r="2459" spans="1:48" x14ac:dyDescent="0.25">
      <c r="A2459" t="s">
        <v>3271</v>
      </c>
      <c r="B2459" s="2" t="str">
        <f t="shared" si="1712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1717"/>
        <v>2950.4870000000001</v>
      </c>
      <c r="AB2459" s="3">
        <f t="shared" si="1718"/>
        <v>33882.81</v>
      </c>
      <c r="AC2459" s="3" cm="1">
        <f t="array" ref="AC2459">100000000/LvacE(AA2459)</f>
        <v>33882.807242555289</v>
      </c>
      <c r="AD2459" s="10">
        <f t="shared" si="1719"/>
        <v>1.0741900784947585E-2</v>
      </c>
      <c r="AE2459" s="10" t="b">
        <f t="shared" si="1720"/>
        <v>1</v>
      </c>
      <c r="AP2459"/>
      <c r="AQ2459"/>
      <c r="AU2459" s="16" cm="1">
        <f t="array" ref="AU2459">$C2459*EXP(poly_from_str(100000000/$E2459,AU$4342))</f>
        <v>1.7540007736768997</v>
      </c>
    </row>
    <row r="2460" spans="1:48" x14ac:dyDescent="0.25">
      <c r="A2460" t="s">
        <v>3272</v>
      </c>
      <c r="B2460" s="2" t="str">
        <f t="shared" si="1712"/>
        <v/>
      </c>
      <c r="C2460">
        <v>9</v>
      </c>
      <c r="D2460" t="s">
        <v>1156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1717"/>
        <v>2950.3249999999998</v>
      </c>
      <c r="AB2460" s="3">
        <f t="shared" si="1718"/>
        <v>33884.67</v>
      </c>
      <c r="AC2460" s="3" cm="1">
        <f t="array" ref="AC2460">100000000/LvacE(AA2460)</f>
        <v>33884.667638321553</v>
      </c>
      <c r="AD2460" s="10">
        <f t="shared" si="1719"/>
        <v>1.0742531354735759E-2</v>
      </c>
      <c r="AE2460" s="10" t="b">
        <f t="shared" si="1720"/>
        <v>1</v>
      </c>
      <c r="AJ2460" t="s">
        <v>4810</v>
      </c>
      <c r="AK2460" t="s">
        <v>4838</v>
      </c>
      <c r="AL2460">
        <v>35801.120000000003</v>
      </c>
      <c r="AM2460">
        <v>69686.259999999995</v>
      </c>
      <c r="AN2460" s="10" cm="1">
        <f t="array" ref="AN2460">Lair(100000000/($AM2460-$AL2460))</f>
        <v>2950.283865939306</v>
      </c>
      <c r="AO2460" s="10">
        <f>100000000/($AM2460-$AL2460)</f>
        <v>2951.1461366250819</v>
      </c>
      <c r="AP2460" s="12">
        <v>122000000</v>
      </c>
      <c r="AQ2460" s="3">
        <v>0.193</v>
      </c>
      <c r="AR2460" s="3">
        <f>LN(AU2460*100000000/($AM2460-$AL2460)/AP2460)</f>
        <v>-7.8707220175680925</v>
      </c>
      <c r="AS2460" s="13">
        <f>EXP(AR$4341*$AM2460+AR$4342)*$AP2460/(100000000/($AM2460-$AL2460))</f>
        <v>19.571416475010309</v>
      </c>
      <c r="AT2460" s="3">
        <f>LN(AS2460/$C2460)</f>
        <v>0.77684558137123461</v>
      </c>
      <c r="AU2460" s="16" cm="1">
        <f t="array" ref="AU2460">$C2460*EXP(poly_from_str(100000000/$E2460,AU$4342))</f>
        <v>15.781852285299367</v>
      </c>
      <c r="AV2460" s="13">
        <f>LN(AS2460/AU2460)</f>
        <v>0.21520946834704183</v>
      </c>
    </row>
    <row r="2461" spans="1:48" x14ac:dyDescent="0.25">
      <c r="A2461" t="s">
        <v>3273</v>
      </c>
      <c r="B2461" s="2" t="str">
        <f t="shared" si="1712"/>
        <v/>
      </c>
      <c r="C2461">
        <v>3</v>
      </c>
      <c r="D2461" t="s">
        <v>1156</v>
      </c>
      <c r="E2461">
        <v>33914.07</v>
      </c>
      <c r="R2461">
        <v>24</v>
      </c>
      <c r="S2461" t="s">
        <v>22</v>
      </c>
      <c r="AA2461" s="10">
        <f t="shared" si="1717"/>
        <v>2947.7669999999998</v>
      </c>
      <c r="AB2461" s="3">
        <f t="shared" si="1718"/>
        <v>33914.07</v>
      </c>
      <c r="AC2461" s="3" cm="1">
        <f t="array" ref="AC2461">100000000/LvacE(AA2461)</f>
        <v>33914.070621105573</v>
      </c>
      <c r="AD2461" s="10">
        <f t="shared" si="1719"/>
        <v>1.0752501914348313E-2</v>
      </c>
      <c r="AE2461" s="10" t="b">
        <f t="shared" si="1720"/>
        <v>1</v>
      </c>
      <c r="AP2461"/>
      <c r="AQ2461"/>
      <c r="AU2461" s="16" cm="1">
        <f t="array" ref="AU2461">$C2461*EXP(poly_from_str(100000000/$E2461,AU$4342))</f>
        <v>5.238477205092507</v>
      </c>
    </row>
    <row r="2462" spans="1:48" x14ac:dyDescent="0.25">
      <c r="A2462" t="s">
        <v>3274</v>
      </c>
      <c r="B2462" s="2" t="str">
        <f t="shared" si="1712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1717"/>
        <v>2946.7289999999998</v>
      </c>
      <c r="AB2462" s="3">
        <f t="shared" si="1718"/>
        <v>33926.019999999997</v>
      </c>
      <c r="AC2462" s="3" cm="1">
        <f t="array" ref="AC2462">100000000/LvacE(AA2462)</f>
        <v>33926.016492191644</v>
      </c>
      <c r="AD2462" s="10">
        <f t="shared" si="1719"/>
        <v>1.0756555233309824E-2</v>
      </c>
      <c r="AE2462" s="10" t="b">
        <f t="shared" si="1720"/>
        <v>1</v>
      </c>
      <c r="AP2462"/>
      <c r="AQ2462"/>
      <c r="AU2462" s="16" cm="1">
        <f t="array" ref="AU2462">$C2462*EXP(poly_from_str(100000000/$E2462,AU$4342))</f>
        <v>10.458689388945448</v>
      </c>
    </row>
    <row r="2463" spans="1:48" x14ac:dyDescent="0.25">
      <c r="A2463" t="s">
        <v>3275</v>
      </c>
      <c r="B2463" s="2" t="str">
        <f t="shared" si="1712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1717"/>
        <v>2946.2069999999999</v>
      </c>
      <c r="AB2463" s="3">
        <f t="shared" si="1718"/>
        <v>33932.03</v>
      </c>
      <c r="AC2463" s="3" cm="1">
        <f t="array" ref="AC2463">100000000/LvacE(AA2463)</f>
        <v>33932.027134041433</v>
      </c>
      <c r="AD2463" s="10">
        <f t="shared" si="1719"/>
        <v>1.075859522668323E-2</v>
      </c>
      <c r="AE2463" s="10" t="b">
        <f t="shared" si="1720"/>
        <v>1</v>
      </c>
      <c r="AP2463"/>
      <c r="AQ2463"/>
      <c r="AU2463" s="16" cm="1">
        <f t="array" ref="AU2463">$C2463*EXP(poly_from_str(100000000/$E2463,AU$4342))</f>
        <v>0</v>
      </c>
    </row>
    <row r="2464" spans="1:48" x14ac:dyDescent="0.25">
      <c r="A2464" t="s">
        <v>3276</v>
      </c>
      <c r="B2464" s="2" t="str">
        <f t="shared" si="1712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1746">$G2464&amp;""</f>
        <v>e</v>
      </c>
      <c r="N2464" t="str">
        <f t="shared" ref="N2464:N2465" si="1747">$H2464&amp;""</f>
        <v>11/2</v>
      </c>
      <c r="O2464">
        <v>67398.789999999994</v>
      </c>
      <c r="P2464" t="str">
        <f t="shared" ref="P2464:P2465" si="1748">$J2464&amp;""</f>
        <v>o</v>
      </c>
      <c r="Q2464" t="str">
        <f t="shared" ref="Q2464:Q2465" si="1749">$K2464&amp;""</f>
        <v>9/2</v>
      </c>
      <c r="R2464">
        <v>24</v>
      </c>
      <c r="AA2464" s="10">
        <f t="shared" si="1717"/>
        <v>2946.1750000000002</v>
      </c>
      <c r="AB2464" s="3">
        <f t="shared" si="1718"/>
        <v>33932.400000000001</v>
      </c>
      <c r="AC2464" s="3" cm="1">
        <f t="array" ref="AC2464">100000000/LvacE(AA2464)</f>
        <v>33932.395671788858</v>
      </c>
      <c r="AD2464" s="10">
        <f t="shared" si="1719"/>
        <v>1.0758720319021928E-2</v>
      </c>
      <c r="AE2464" s="10" t="b">
        <f t="shared" si="1720"/>
        <v>1</v>
      </c>
      <c r="AJ2464" t="s">
        <v>4774</v>
      </c>
      <c r="AK2464" t="s">
        <v>4863</v>
      </c>
      <c r="AL2464">
        <v>33466.410000000003</v>
      </c>
      <c r="AM2464">
        <v>67398.789999999994</v>
      </c>
      <c r="AN2464" s="10" cm="1">
        <f t="array" ref="AN2464">Lair(100000000/($AM2464-$AL2464))</f>
        <v>2946.1763563224563</v>
      </c>
      <c r="AO2464" s="10">
        <f t="shared" ref="AO2464:AO2465" si="1750">100000000/($AM2464-$AL2464)</f>
        <v>2947.0376083257356</v>
      </c>
      <c r="AP2464" s="12">
        <v>159000000</v>
      </c>
      <c r="AQ2464" s="3">
        <v>0.49399999999999999</v>
      </c>
      <c r="AR2464" s="3">
        <f t="shared" ref="AR2464:AR2465" si="1751">LN(AU2464*100000000/($AM2464-$AL2464)/AP2464)</f>
        <v>-8.2616825973951116</v>
      </c>
      <c r="AS2464" s="13">
        <f t="shared" ref="AS2464:AS2465" si="1752">EXP(AR$4341*$AM2464+AR$4342)*$AP2464/(100000000/($AM2464-$AL2464))</f>
        <v>30.326250135852352</v>
      </c>
      <c r="AT2464" s="3">
        <f t="shared" ref="AT2464:AT2465" si="1753">LN(AS2464/$C2464)</f>
        <v>1.3325721368958636</v>
      </c>
      <c r="AU2464" s="16" cm="1">
        <f t="array" ref="AU2464">$C2464*EXP(poly_from_str(100000000/$E2464,AU$4342))</f>
        <v>13.931833737430798</v>
      </c>
      <c r="AV2464" s="13">
        <f t="shared" ref="AV2464:AV2465" si="1754">LN(AS2464/AU2464)</f>
        <v>0.77783726000542786</v>
      </c>
    </row>
    <row r="2465" spans="1:48" x14ac:dyDescent="0.25">
      <c r="A2465" t="s">
        <v>3277</v>
      </c>
      <c r="B2465" s="2" t="str">
        <f t="shared" si="1712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1746"/>
        <v>e</v>
      </c>
      <c r="N2465" t="str">
        <f t="shared" si="1747"/>
        <v>9/2</v>
      </c>
      <c r="O2465">
        <v>63768.66</v>
      </c>
      <c r="P2465" t="str">
        <f t="shared" si="1748"/>
        <v>o</v>
      </c>
      <c r="Q2465" t="str">
        <f t="shared" si="1749"/>
        <v>7/2</v>
      </c>
      <c r="R2465">
        <v>24</v>
      </c>
      <c r="AA2465" s="10">
        <f t="shared" si="1717"/>
        <v>2946.076</v>
      </c>
      <c r="AB2465" s="3">
        <f t="shared" si="1718"/>
        <v>33933.54</v>
      </c>
      <c r="AC2465" s="3" cm="1">
        <f t="array" ref="AC2465">100000000/LvacE(AA2465)</f>
        <v>33933.53588613942</v>
      </c>
      <c r="AD2465" s="10">
        <f t="shared" si="1719"/>
        <v>1.0759107349257016E-2</v>
      </c>
      <c r="AE2465" s="10" t="b">
        <f t="shared" si="1720"/>
        <v>1</v>
      </c>
      <c r="AJ2465" t="s">
        <v>4697</v>
      </c>
      <c r="AK2465" t="s">
        <v>4850</v>
      </c>
      <c r="AL2465">
        <v>29835.09</v>
      </c>
      <c r="AM2465">
        <v>63768.66</v>
      </c>
      <c r="AN2465" s="10" cm="1">
        <f t="array" ref="AN2465">Lair(100000000/($AM2465-$AL2465))</f>
        <v>2946.0730337014515</v>
      </c>
      <c r="AO2465" s="10">
        <f t="shared" si="1750"/>
        <v>2946.9342600852187</v>
      </c>
      <c r="AP2465" s="12">
        <v>41300000</v>
      </c>
      <c r="AQ2465" s="3">
        <v>8.2000000000000003E-2</v>
      </c>
      <c r="AR2465" s="3">
        <f t="shared" si="1751"/>
        <v>-6.9138442436790681</v>
      </c>
      <c r="AS2465" s="13">
        <f t="shared" si="1752"/>
        <v>10.344309274111994</v>
      </c>
      <c r="AT2465" s="3">
        <f t="shared" si="1753"/>
        <v>0.25699499823216149</v>
      </c>
      <c r="AU2465" s="16" cm="1">
        <f t="array" ref="AU2465">$C2465*EXP(poly_from_str(100000000/$E2465,AU$4342))</f>
        <v>13.929489493994085</v>
      </c>
      <c r="AV2465" s="13">
        <f t="shared" si="1754"/>
        <v>-0.29757159925368371</v>
      </c>
    </row>
    <row r="2466" spans="1:48" x14ac:dyDescent="0.25">
      <c r="A2466" t="s">
        <v>3278</v>
      </c>
      <c r="B2466" s="2" t="str">
        <f t="shared" si="1712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1717"/>
        <v>2945.9850000000001</v>
      </c>
      <c r="AB2466" s="3">
        <f t="shared" si="1718"/>
        <v>33934.58</v>
      </c>
      <c r="AC2466" s="3" cm="1">
        <f t="array" ref="AC2466">100000000/LvacE(AA2466)</f>
        <v>33934.584029546495</v>
      </c>
      <c r="AD2466" s="10">
        <f t="shared" si="1719"/>
        <v>1.0759463138737383E-2</v>
      </c>
      <c r="AE2466" s="10" t="b">
        <f t="shared" si="1720"/>
        <v>1</v>
      </c>
      <c r="AP2466"/>
      <c r="AQ2466"/>
      <c r="AU2466" s="16" cm="1">
        <f t="array" ref="AU2466">$C2466*EXP(poly_from_str(100000000/$E2466,AU$4342))</f>
        <v>3.4818373194098102</v>
      </c>
    </row>
    <row r="2467" spans="1:48" x14ac:dyDescent="0.25">
      <c r="A2467" t="s">
        <v>3279</v>
      </c>
      <c r="B2467" s="2" t="str">
        <f t="shared" si="1712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1717"/>
        <v>2945.8890000000001</v>
      </c>
      <c r="AB2467" s="3">
        <f t="shared" si="1718"/>
        <v>33935.69</v>
      </c>
      <c r="AC2467" s="3" cm="1">
        <f t="array" ref="AC2467">100000000/LvacE(AA2467)</f>
        <v>33935.689833435252</v>
      </c>
      <c r="AD2467" s="10">
        <f t="shared" si="1719"/>
        <v>1.075983851282843E-2</v>
      </c>
      <c r="AE2467" s="10" t="b">
        <f t="shared" si="1720"/>
        <v>1</v>
      </c>
      <c r="AP2467"/>
      <c r="AQ2467"/>
      <c r="AU2467" s="16" cm="1">
        <f t="array" ref="AU2467">$C2467*EXP(poly_from_str(100000000/$E2467,AU$4342))</f>
        <v>6.9625316581936199</v>
      </c>
    </row>
    <row r="2468" spans="1:48" x14ac:dyDescent="0.25">
      <c r="A2468" t="s">
        <v>3280</v>
      </c>
      <c r="B2468" s="2" t="str">
        <f t="shared" si="1712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1717"/>
        <v>2944.4259999999999</v>
      </c>
      <c r="AB2468" s="3">
        <f t="shared" si="1718"/>
        <v>33952.550000000003</v>
      </c>
      <c r="AC2468" s="3" cm="1">
        <f t="array" ref="AC2468">100000000/LvacE(AA2468)</f>
        <v>33952.550745956425</v>
      </c>
      <c r="AD2468" s="10">
        <f t="shared" si="1719"/>
        <v>1.0765563601523087E-2</v>
      </c>
      <c r="AE2468" s="10" t="b">
        <f t="shared" si="1720"/>
        <v>1</v>
      </c>
      <c r="AP2468"/>
      <c r="AQ2468"/>
      <c r="AU2468" s="16" cm="1">
        <f t="array" ref="AU2468">$C2468*EXP(poly_from_str(100000000/$E2468,AU$4342))</f>
        <v>5.2087977796851721</v>
      </c>
    </row>
    <row r="2469" spans="1:48" x14ac:dyDescent="0.25">
      <c r="A2469" t="s">
        <v>3281</v>
      </c>
      <c r="B2469" s="2" t="str">
        <f t="shared" si="1712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1717"/>
        <v>2943.5549999999998</v>
      </c>
      <c r="AB2469" s="3">
        <f t="shared" si="1718"/>
        <v>33962.6</v>
      </c>
      <c r="AC2469" s="3" cm="1">
        <f t="array" ref="AC2469">100000000/LvacE(AA2469)</f>
        <v>33962.596883059545</v>
      </c>
      <c r="AD2469" s="10">
        <f t="shared" si="1719"/>
        <v>1.0768976099148741E-2</v>
      </c>
      <c r="AE2469" s="10" t="b">
        <f t="shared" si="1720"/>
        <v>1</v>
      </c>
      <c r="AJ2469" t="s">
        <v>4770</v>
      </c>
      <c r="AK2469" t="s">
        <v>4920</v>
      </c>
      <c r="AL2469">
        <v>35024.49</v>
      </c>
      <c r="AM2469">
        <v>68987.070000000007</v>
      </c>
      <c r="AN2469" s="10" cm="1">
        <f t="array" ref="AN2469">Lair(100000000/($AM2469-$AL2469))</f>
        <v>2943.5564589069186</v>
      </c>
      <c r="AO2469" s="10">
        <f>100000000/($AM2469-$AL2469)</f>
        <v>2944.417061365773</v>
      </c>
      <c r="AP2469" s="12">
        <v>253000</v>
      </c>
      <c r="AQ2469" s="3">
        <v>1E-3</v>
      </c>
      <c r="AR2469" s="3"/>
      <c r="AS2469" s="13">
        <f>EXP(AR$4341*$AM2469+AR$4342)*$AP2469/(100000000/($AM2469-$AL2469))</f>
        <v>4.287090140364213E-2</v>
      </c>
      <c r="AT2469" s="3"/>
      <c r="AU2469" s="16" cm="1">
        <f t="array" ref="AU2469">$C2469*EXP(poly_from_str(100000000/$E2469,AU$4342))</f>
        <v>3.4672781585299481</v>
      </c>
    </row>
    <row r="2470" spans="1:48" x14ac:dyDescent="0.25">
      <c r="A2470" t="s">
        <v>3282</v>
      </c>
      <c r="B2470" s="2" t="str">
        <f t="shared" si="1712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1717"/>
        <v>2943.5169999999998</v>
      </c>
      <c r="AB2470" s="3">
        <f t="shared" si="1718"/>
        <v>33963.03</v>
      </c>
      <c r="AC2470" s="3" cm="1">
        <f t="array" ref="AC2470">100000000/LvacE(AA2470)</f>
        <v>33963.035311407977</v>
      </c>
      <c r="AD2470" s="10">
        <f t="shared" si="1719"/>
        <v>1.0769125048608174E-2</v>
      </c>
      <c r="AE2470" s="10" t="b">
        <f t="shared" si="1720"/>
        <v>1</v>
      </c>
      <c r="AP2470"/>
      <c r="AQ2470"/>
      <c r="AU2470" s="16" cm="1">
        <f t="array" ref="AU2470">$C2470*EXP(poly_from_str(100000000/$E2470,AU$4342))</f>
        <v>6.9341051726653333</v>
      </c>
    </row>
    <row r="2471" spans="1:48" x14ac:dyDescent="0.25">
      <c r="A2471" t="s">
        <v>3283</v>
      </c>
      <c r="B2471" s="2" t="str">
        <f t="shared" si="1712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1717"/>
        <v>2942.8139999999999</v>
      </c>
      <c r="AB2471" s="3">
        <f t="shared" si="1718"/>
        <v>33971.15</v>
      </c>
      <c r="AC2471" s="3" cm="1">
        <f t="array" ref="AC2471">100000000/LvacE(AA2471)</f>
        <v>33971.148278022876</v>
      </c>
      <c r="AD2471" s="10">
        <f t="shared" si="1719"/>
        <v>1.0771881654433966E-2</v>
      </c>
      <c r="AE2471" s="10" t="b">
        <f t="shared" si="1720"/>
        <v>1</v>
      </c>
      <c r="AP2471"/>
      <c r="AQ2471"/>
      <c r="AU2471" s="16" cm="1">
        <f t="array" ref="AU2471">$C2471*EXP(poly_from_str(100000000/$E2471,AU$4342))</f>
        <v>8.6569521493590003</v>
      </c>
    </row>
    <row r="2472" spans="1:48" x14ac:dyDescent="0.25">
      <c r="A2472" t="s">
        <v>3284</v>
      </c>
      <c r="B2472" s="2" t="str">
        <f t="shared" si="1712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1717"/>
        <v>2942.7280000000001</v>
      </c>
      <c r="AB2472" s="3">
        <f t="shared" si="1718"/>
        <v>33972.14</v>
      </c>
      <c r="AC2472" s="3" cm="1">
        <f t="array" ref="AC2472">100000000/LvacE(AA2472)</f>
        <v>33972.141026507306</v>
      </c>
      <c r="AD2472" s="10">
        <f t="shared" si="1719"/>
        <v>1.0772219013532223E-2</v>
      </c>
      <c r="AE2472" s="10" t="b">
        <f t="shared" si="1720"/>
        <v>1</v>
      </c>
      <c r="AJ2472" t="s">
        <v>4722</v>
      </c>
      <c r="AK2472" t="s">
        <v>4831</v>
      </c>
      <c r="AL2472">
        <v>34520.269999999997</v>
      </c>
      <c r="AM2472">
        <v>68492.429999999993</v>
      </c>
      <c r="AN2472" s="10" cm="1">
        <f t="array" ref="AN2472">Lair(100000000/($AM2472-$AL2472))</f>
        <v>2942.7263519932294</v>
      </c>
      <c r="AO2472" s="10">
        <f>100000000/($AM2472-$AL2472)</f>
        <v>2943.5867486789184</v>
      </c>
      <c r="AP2472" s="12">
        <v>23700000</v>
      </c>
      <c r="AQ2472" s="3">
        <v>0.184</v>
      </c>
      <c r="AR2472" s="3">
        <f>LN(AU2472*100000000/($AM2472-$AL2472)/AP2472)</f>
        <v>-6.2476029943218681</v>
      </c>
      <c r="AS2472" s="13">
        <f>EXP(AR$4341*$AM2472+AR$4342)*$AP2472/(100000000/($AM2472-$AL2472))</f>
        <v>4.169024313825374</v>
      </c>
      <c r="AT2472" s="3">
        <f>LN(AS2472/$C2472)</f>
        <v>-0.76954254640242536</v>
      </c>
      <c r="AU2472" s="16" cm="1">
        <f t="array" ref="AU2472">$C2472*EXP(poly_from_str(100000000/$E2472,AU$4342))</f>
        <v>15.580163155211183</v>
      </c>
      <c r="AV2472" s="13">
        <f>LN(AS2472/AU2472)</f>
        <v>-1.3183164815471202</v>
      </c>
    </row>
    <row r="2473" spans="1:48" x14ac:dyDescent="0.25">
      <c r="A2473" t="s">
        <v>3285</v>
      </c>
      <c r="B2473" s="2" t="str">
        <f t="shared" si="1712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1717"/>
        <v>2942.5160000000001</v>
      </c>
      <c r="AB2473" s="3">
        <f t="shared" si="1718"/>
        <v>33974.589999999997</v>
      </c>
      <c r="AC2473" s="3" cm="1">
        <f t="array" ref="AC2473">100000000/LvacE(AA2473)</f>
        <v>33974.588514779352</v>
      </c>
      <c r="AD2473" s="10">
        <f t="shared" si="1719"/>
        <v>1.0773050769270133E-2</v>
      </c>
      <c r="AE2473" s="10" t="b">
        <f t="shared" si="1720"/>
        <v>1</v>
      </c>
      <c r="AP2473"/>
      <c r="AQ2473"/>
      <c r="AU2473" s="16" cm="1">
        <f t="array" ref="AU2473">$C2473*EXP(poly_from_str(100000000/$E2473,AU$4342))</f>
        <v>5.1914463862710507</v>
      </c>
    </row>
    <row r="2474" spans="1:48" x14ac:dyDescent="0.25">
      <c r="A2474" t="s">
        <v>3286</v>
      </c>
      <c r="B2474" s="2" t="str">
        <f t="shared" si="1712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1717"/>
        <v>2942.4270000000001</v>
      </c>
      <c r="AB2474" s="3">
        <f t="shared" si="1718"/>
        <v>33975.620000000003</v>
      </c>
      <c r="AC2474" s="3" cm="1">
        <f t="array" ref="AC2474">100000000/LvacE(AA2474)</f>
        <v>33975.616103163047</v>
      </c>
      <c r="AD2474" s="10">
        <f t="shared" si="1719"/>
        <v>1.0773400003324305E-2</v>
      </c>
      <c r="AE2474" s="10" t="b">
        <f t="shared" si="1720"/>
        <v>1</v>
      </c>
      <c r="AJ2474" t="s">
        <v>4829</v>
      </c>
      <c r="AK2474" t="s">
        <v>4909</v>
      </c>
      <c r="AL2474">
        <v>32760.11</v>
      </c>
      <c r="AM2474">
        <v>66735.88</v>
      </c>
      <c r="AN2474" s="10" cm="1">
        <f t="array" ref="AN2474">Lair(100000000/($AM2474-$AL2474))</f>
        <v>2942.413666958666</v>
      </c>
      <c r="AO2474" s="10">
        <f>100000000/($AM2474-$AL2474)</f>
        <v>2943.2739861377677</v>
      </c>
      <c r="AP2474" s="12">
        <v>607000000</v>
      </c>
      <c r="AQ2474" s="3">
        <v>0.57699999999999996</v>
      </c>
      <c r="AR2474" s="3">
        <f>LN(AU2474*100000000/($AM2474-$AL2474)/AP2474)</f>
        <v>-7.4400236113061853</v>
      </c>
      <c r="AS2474" s="13">
        <f>EXP(AR$4341*$AM2474+AR$4342)*$AP2474/(100000000/($AM2474-$AL2474))</f>
        <v>121.8347255600783</v>
      </c>
      <c r="AT2474" s="3">
        <f>LN(AS2474/$C2474)</f>
        <v>0.5541701757127776</v>
      </c>
      <c r="AU2474" s="16" cm="1">
        <f t="array" ref="AU2474">$C2474*EXP(poly_from_str(100000000/$E2474,AU$4342))</f>
        <v>121.11468374345688</v>
      </c>
      <c r="AV2474" s="13">
        <f>LN(AS2474/AU2474)</f>
        <v>5.9275215110623685E-3</v>
      </c>
    </row>
    <row r="2475" spans="1:48" x14ac:dyDescent="0.25">
      <c r="A2475" t="s">
        <v>3287</v>
      </c>
      <c r="B2475" s="2" t="str">
        <f t="shared" si="1712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1717"/>
        <v>2942.3870000000002</v>
      </c>
      <c r="AB2475" s="3">
        <f t="shared" si="1718"/>
        <v>33976.080000000002</v>
      </c>
      <c r="AC2475" s="3" cm="1">
        <f t="array" ref="AC2475">100000000/LvacE(AA2475)</f>
        <v>33976.077960885137</v>
      </c>
      <c r="AD2475" s="10">
        <f t="shared" si="1719"/>
        <v>1.077355697277162E-2</v>
      </c>
      <c r="AE2475" s="10" t="b">
        <f t="shared" si="1720"/>
        <v>1</v>
      </c>
      <c r="AP2475"/>
      <c r="AQ2475"/>
      <c r="AU2475" s="16" cm="1">
        <f t="array" ref="AU2475">$C2475*EXP(poly_from_str(100000000/$E2475,AU$4342))</f>
        <v>0</v>
      </c>
    </row>
    <row r="2476" spans="1:48" x14ac:dyDescent="0.25">
      <c r="A2476" t="s">
        <v>3288</v>
      </c>
      <c r="B2476" s="2" t="str">
        <f t="shared" si="1712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1717"/>
        <v>2940.8960000000002</v>
      </c>
      <c r="AB2476" s="3">
        <f t="shared" si="1718"/>
        <v>33993.300000000003</v>
      </c>
      <c r="AC2476" s="3" cm="1">
        <f t="array" ref="AC2476">100000000/LvacE(AA2476)</f>
        <v>33993.302669109951</v>
      </c>
      <c r="AD2476" s="10">
        <f t="shared" si="1719"/>
        <v>1.0779412578532181E-2</v>
      </c>
      <c r="AE2476" s="10" t="b">
        <f t="shared" si="1720"/>
        <v>1</v>
      </c>
      <c r="AJ2476" t="s">
        <v>4973</v>
      </c>
      <c r="AK2476" t="s">
        <v>4929</v>
      </c>
      <c r="AL2476">
        <v>51312.800000000003</v>
      </c>
      <c r="AM2476">
        <v>85306.1</v>
      </c>
      <c r="AN2476" s="10" cm="1">
        <f t="array" ref="AN2476">Lair(100000000/($AM2476-$AL2476))</f>
        <v>2940.896226521319</v>
      </c>
      <c r="AO2476" s="10">
        <f>100000000/($AM2476-$AL2476)</f>
        <v>2941.7561695981262</v>
      </c>
      <c r="AP2476" s="12">
        <v>457000000</v>
      </c>
      <c r="AQ2476" s="3">
        <v>0.59899999999999998</v>
      </c>
      <c r="AR2476" s="3">
        <f>LN(AU2476*100000000/($AM2476-$AL2476)/AP2476)</f>
        <v>-9.4620013498178785</v>
      </c>
      <c r="AS2476" s="13">
        <f>EXP(AR$4341*$AM2476+AR$4342)*$AP2476/(100000000/($AM2476-$AL2476))</f>
        <v>22.775855353779306</v>
      </c>
      <c r="AT2476" s="3">
        <f>LN(AS2476/$C2476)</f>
        <v>1.179790850082699</v>
      </c>
      <c r="AU2476" s="16" cm="1">
        <f t="array" ref="AU2476">$C2476*EXP(poly_from_str(100000000/$E2476,AU$4342))</f>
        <v>12.07854309414933</v>
      </c>
      <c r="AV2476" s="13">
        <f>LN(AS2476/AU2476)</f>
        <v>0.63427041869364853</v>
      </c>
    </row>
    <row r="2477" spans="1:48" x14ac:dyDescent="0.25">
      <c r="A2477" t="s">
        <v>3289</v>
      </c>
      <c r="B2477" s="2" t="str">
        <f t="shared" si="1712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1717"/>
        <v>2940.8449999999998</v>
      </c>
      <c r="AB2477" s="3">
        <f t="shared" si="1718"/>
        <v>33993.89</v>
      </c>
      <c r="AC2477" s="3" cm="1">
        <f t="array" ref="AC2477">100000000/LvacE(AA2477)</f>
        <v>33993.892153143614</v>
      </c>
      <c r="AD2477" s="10">
        <f t="shared" si="1719"/>
        <v>1.0779613028422719E-2</v>
      </c>
      <c r="AE2477" s="10" t="b">
        <f t="shared" si="1720"/>
        <v>1</v>
      </c>
      <c r="AP2477"/>
      <c r="AQ2477"/>
      <c r="AU2477" s="16" cm="1">
        <f t="array" ref="AU2477">$C2477*EXP(poly_from_str(100000000/$E2477,AU$4342))</f>
        <v>0</v>
      </c>
    </row>
    <row r="2478" spans="1:48" x14ac:dyDescent="0.25">
      <c r="A2478" t="s">
        <v>3290</v>
      </c>
      <c r="B2478" s="2" t="str">
        <f t="shared" si="1712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1717"/>
        <v>2940.8029999999999</v>
      </c>
      <c r="AB2478" s="3">
        <f t="shared" si="1718"/>
        <v>33994.379999999997</v>
      </c>
      <c r="AC2478" s="3" cm="1">
        <f t="array" ref="AC2478">100000000/LvacE(AA2478)</f>
        <v>33994.377625933994</v>
      </c>
      <c r="AD2478" s="10">
        <f t="shared" si="1719"/>
        <v>1.0779778112633521E-2</v>
      </c>
      <c r="AE2478" s="10" t="b">
        <f t="shared" si="1720"/>
        <v>1</v>
      </c>
      <c r="AP2478"/>
      <c r="AQ2478"/>
      <c r="AU2478" s="16" cm="1">
        <f t="array" ref="AU2478">$C2478*EXP(poly_from_str(100000000/$E2478,AU$4342))</f>
        <v>0</v>
      </c>
    </row>
    <row r="2479" spans="1:48" x14ac:dyDescent="0.25">
      <c r="A2479" t="s">
        <v>3291</v>
      </c>
      <c r="B2479" s="2" t="str">
        <f t="shared" si="1712"/>
        <v/>
      </c>
      <c r="C2479">
        <v>4</v>
      </c>
      <c r="D2479" t="s">
        <v>1156</v>
      </c>
      <c r="E2479">
        <v>34002.92</v>
      </c>
      <c r="R2479">
        <v>24</v>
      </c>
      <c r="S2479" t="s">
        <v>22</v>
      </c>
      <c r="AA2479" s="10">
        <f t="shared" si="1717"/>
        <v>2940.0639999999999</v>
      </c>
      <c r="AB2479" s="3">
        <f t="shared" si="1718"/>
        <v>34002.92</v>
      </c>
      <c r="AC2479" s="3" cm="1">
        <f t="array" ref="AC2479">100000000/LvacE(AA2479)</f>
        <v>34002.921904194271</v>
      </c>
      <c r="AD2479" s="10">
        <f t="shared" si="1719"/>
        <v>1.0782683966096364E-2</v>
      </c>
      <c r="AE2479" s="10" t="b">
        <f t="shared" si="1720"/>
        <v>1</v>
      </c>
      <c r="AP2479"/>
      <c r="AQ2479"/>
      <c r="AU2479" s="16" cm="1">
        <f t="array" ref="AU2479">$C2479*EXP(poly_from_str(100000000/$E2479,AU$4342))</f>
        <v>6.8916972926867262</v>
      </c>
    </row>
    <row r="2480" spans="1:48" x14ac:dyDescent="0.25">
      <c r="A2480" t="s">
        <v>3292</v>
      </c>
      <c r="B2480" s="2" t="str">
        <f t="shared" si="1712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1717"/>
        <v>2937.2069999999999</v>
      </c>
      <c r="AB2480" s="3">
        <f t="shared" si="1718"/>
        <v>34035.99</v>
      </c>
      <c r="AC2480" s="3" cm="1">
        <f t="array" ref="AC2480">100000000/LvacE(AA2480)</f>
        <v>34035.99482277927</v>
      </c>
      <c r="AD2480" s="10">
        <f t="shared" si="1719"/>
        <v>1.079393873546864E-2</v>
      </c>
      <c r="AE2480" s="10" t="b">
        <f t="shared" si="1720"/>
        <v>1</v>
      </c>
      <c r="AJ2480" t="s">
        <v>4719</v>
      </c>
      <c r="AK2480" t="s">
        <v>4834</v>
      </c>
      <c r="AL2480">
        <v>32288.92</v>
      </c>
      <c r="AM2480">
        <v>66324.84</v>
      </c>
      <c r="AN2480" s="10" cm="1">
        <f t="array" ref="AN2480">Lair(100000000/($AM2480-$AL2480))</f>
        <v>2937.2134529106611</v>
      </c>
      <c r="AO2480" s="10">
        <f>100000000/($AM2480-$AL2480)</f>
        <v>2938.0724834233952</v>
      </c>
      <c r="AP2480" s="12">
        <v>469000</v>
      </c>
      <c r="AQ2480" s="3">
        <v>1.2999999999999999E-2</v>
      </c>
      <c r="AR2480" s="3"/>
      <c r="AS2480" s="13">
        <f>EXP(AR$4341*$AM2480+AR$4342)*$AP2480/(100000000/($AM2480-$AL2480))</f>
        <v>9.7256851198587693E-2</v>
      </c>
      <c r="AT2480" s="3"/>
      <c r="AU2480" s="16" cm="1">
        <f t="array" ref="AU2480">$C2480*EXP(poly_from_str(100000000/$E2480,AU$4342))</f>
        <v>8.5696469696960591</v>
      </c>
    </row>
    <row r="2481" spans="1:48" x14ac:dyDescent="0.25">
      <c r="A2481" t="s">
        <v>3293</v>
      </c>
      <c r="B2481" s="2" t="str">
        <f t="shared" si="1712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1717"/>
        <v>2937.0059999999999</v>
      </c>
      <c r="AB2481" s="3">
        <f t="shared" si="1718"/>
        <v>34038.32</v>
      </c>
      <c r="AC2481" s="3" cm="1">
        <f t="array" ref="AC2481">100000000/LvacE(AA2481)</f>
        <v>34038.324041401866</v>
      </c>
      <c r="AD2481" s="10">
        <f t="shared" si="1719"/>
        <v>1.0794731784920063E-2</v>
      </c>
      <c r="AE2481" s="10" t="b">
        <f t="shared" si="1720"/>
        <v>1</v>
      </c>
      <c r="AP2481"/>
      <c r="AQ2481"/>
      <c r="AU2481" s="16" cm="1">
        <f t="array" ref="AU2481">$C2481*EXP(poly_from_str(100000000/$E2481,AU$4342))</f>
        <v>3.4265774455283919</v>
      </c>
    </row>
    <row r="2482" spans="1:48" x14ac:dyDescent="0.25">
      <c r="A2482" t="s">
        <v>3294</v>
      </c>
      <c r="B2482" s="2" t="str">
        <f t="shared" si="1712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1717"/>
        <v>2936.6959999999999</v>
      </c>
      <c r="AB2482" s="3">
        <f t="shared" si="1718"/>
        <v>34041.919999999998</v>
      </c>
      <c r="AC2482" s="3" cm="1">
        <f t="array" ref="AC2482">100000000/LvacE(AA2482)</f>
        <v>34041.916993664476</v>
      </c>
      <c r="AD2482" s="10">
        <f t="shared" si="1719"/>
        <v>1.0795955215259679E-2</v>
      </c>
      <c r="AE2482" s="10" t="b">
        <f t="shared" si="1720"/>
        <v>1</v>
      </c>
      <c r="AP2482"/>
      <c r="AQ2482"/>
      <c r="AU2482" s="16" cm="1">
        <f t="array" ref="AU2482">$C2482*EXP(poly_from_str(100000000/$E2482,AU$4342))</f>
        <v>0</v>
      </c>
    </row>
    <row r="2483" spans="1:48" x14ac:dyDescent="0.25">
      <c r="A2483" t="s">
        <v>3295</v>
      </c>
      <c r="B2483" s="2" t="str">
        <f t="shared" si="1712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1717"/>
        <v>2936.6329999999998</v>
      </c>
      <c r="AB2483" s="3">
        <f t="shared" si="1718"/>
        <v>34042.65</v>
      </c>
      <c r="AC2483" s="3" cm="1">
        <f t="array" ref="AC2483">100000000/LvacE(AA2483)</f>
        <v>34042.647267023029</v>
      </c>
      <c r="AD2483" s="10">
        <f t="shared" si="1719"/>
        <v>1.0796203895247216E-2</v>
      </c>
      <c r="AE2483" s="10" t="b">
        <f t="shared" si="1720"/>
        <v>1</v>
      </c>
      <c r="AP2483"/>
      <c r="AQ2483"/>
      <c r="AU2483" s="16" cm="1">
        <f t="array" ref="AU2483">$C2483*EXP(poly_from_str(100000000/$E2483,AU$4342))</f>
        <v>5.1362871613249776</v>
      </c>
    </row>
    <row r="2484" spans="1:48" x14ac:dyDescent="0.25">
      <c r="A2484" t="s">
        <v>3296</v>
      </c>
      <c r="B2484" s="2" t="str">
        <f t="shared" si="1712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1717"/>
        <v>2936.3290000000002</v>
      </c>
      <c r="AB2484" s="3">
        <f t="shared" si="1718"/>
        <v>34046.17</v>
      </c>
      <c r="AC2484" s="3" cm="1">
        <f t="array" ref="AC2484">100000000/LvacE(AA2484)</f>
        <v>34046.171566167206</v>
      </c>
      <c r="AD2484" s="10">
        <f t="shared" si="1719"/>
        <v>1.0797404099841538E-2</v>
      </c>
      <c r="AE2484" s="10" t="b">
        <f t="shared" si="1720"/>
        <v>1</v>
      </c>
      <c r="AP2484"/>
      <c r="AQ2484"/>
      <c r="AU2484" s="16" cm="1">
        <f t="array" ref="AU2484">$C2484*EXP(poly_from_str(100000000/$E2484,AU$4342))</f>
        <v>0</v>
      </c>
    </row>
    <row r="2485" spans="1:48" x14ac:dyDescent="0.25">
      <c r="A2485" t="s">
        <v>3297</v>
      </c>
      <c r="B2485" s="2" t="str">
        <f t="shared" si="1712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1717"/>
        <v>2936.3119999999999</v>
      </c>
      <c r="AB2485" s="3">
        <f t="shared" si="1718"/>
        <v>34046.370000000003</v>
      </c>
      <c r="AC2485" s="3" cm="1">
        <f t="array" ref="AC2485">100000000/LvacE(AA2485)</f>
        <v>34046.368670228658</v>
      </c>
      <c r="AD2485" s="10">
        <f t="shared" si="1719"/>
        <v>1.0797471227551543E-2</v>
      </c>
      <c r="AE2485" s="10" t="b">
        <f t="shared" si="1720"/>
        <v>1</v>
      </c>
      <c r="AP2485"/>
      <c r="AQ2485"/>
      <c r="AU2485" s="16" cm="1">
        <f t="array" ref="AU2485">$C2485*EXP(poly_from_str(100000000/$E2485,AU$4342))</f>
        <v>0</v>
      </c>
    </row>
    <row r="2486" spans="1:48" x14ac:dyDescent="0.25">
      <c r="A2486" t="s">
        <v>3298</v>
      </c>
      <c r="B2486" s="2" t="str">
        <f t="shared" si="1712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1717"/>
        <v>2936.2849999999999</v>
      </c>
      <c r="AB2486" s="3">
        <f t="shared" si="1718"/>
        <v>34046.68</v>
      </c>
      <c r="AC2486" s="3" cm="1">
        <f t="array" ref="AC2486">100000000/LvacE(AA2486)</f>
        <v>34046.681722546287</v>
      </c>
      <c r="AD2486" s="10">
        <f t="shared" si="1719"/>
        <v>1.0797577844546134E-2</v>
      </c>
      <c r="AE2486" s="10" t="b">
        <f t="shared" si="1720"/>
        <v>1</v>
      </c>
      <c r="AJ2486" t="s">
        <v>4728</v>
      </c>
      <c r="AK2486" t="s">
        <v>4864</v>
      </c>
      <c r="AL2486">
        <v>35384.17</v>
      </c>
      <c r="AM2486">
        <v>69431</v>
      </c>
      <c r="AN2486" s="10" cm="1">
        <f t="array" ref="AN2486">Lair(100000000/($AM2486-$AL2486))</f>
        <v>2936.2722072306933</v>
      </c>
      <c r="AO2486" s="10">
        <f>100000000/($AM2486-$AL2486)</f>
        <v>2937.1310045604832</v>
      </c>
      <c r="AP2486" s="12">
        <v>107000000</v>
      </c>
      <c r="AQ2486" s="3">
        <v>0.42399999999999999</v>
      </c>
      <c r="AR2486" s="3">
        <f>LN(AU2486*100000000/($AM2486-$AL2486)/AP2486)</f>
        <v>-8.0201728957307559</v>
      </c>
      <c r="AS2486" s="13">
        <f>EXP(AR$4341*$AM2486+AR$4342)*$AP2486/(100000000/($AM2486-$AL2486))</f>
        <v>17.580577543826042</v>
      </c>
      <c r="AT2486" s="3">
        <f>LN(AS2486/$C2486)</f>
        <v>0.92088459498439235</v>
      </c>
      <c r="AU2486" s="16" cm="1">
        <f t="array" ref="AU2486">$C2486*EXP(poly_from_str(100000000/$E2486,AU$4342))</f>
        <v>11.976878046455592</v>
      </c>
      <c r="AV2486" s="13">
        <f>LN(AS2486/AU2486)</f>
        <v>0.38381678243764028</v>
      </c>
    </row>
    <row r="2487" spans="1:48" x14ac:dyDescent="0.25">
      <c r="A2487" t="s">
        <v>3299</v>
      </c>
      <c r="B2487" s="2" t="str">
        <f t="shared" si="1712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1717"/>
        <v>2935.442</v>
      </c>
      <c r="AB2487" s="3">
        <f t="shared" si="1718"/>
        <v>34056.46</v>
      </c>
      <c r="AC2487" s="3" cm="1">
        <f t="array" ref="AC2487">100000000/LvacE(AA2487)</f>
        <v>34056.45880819828</v>
      </c>
      <c r="AD2487" s="10">
        <f t="shared" si="1719"/>
        <v>1.0800908144020266E-2</v>
      </c>
      <c r="AE2487" s="10" t="b">
        <f t="shared" si="1720"/>
        <v>1</v>
      </c>
      <c r="AP2487"/>
      <c r="AQ2487"/>
      <c r="AU2487" s="16" cm="1">
        <f t="array" ref="AU2487">$C2487*EXP(poly_from_str(100000000/$E2487,AU$4342))</f>
        <v>0</v>
      </c>
    </row>
    <row r="2488" spans="1:48" x14ac:dyDescent="0.25">
      <c r="A2488" t="s">
        <v>3300</v>
      </c>
      <c r="B2488" s="2" t="str">
        <f t="shared" si="1712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1717"/>
        <v>2935.4009999999998</v>
      </c>
      <c r="AB2488" s="3">
        <f t="shared" si="1718"/>
        <v>34056.93</v>
      </c>
      <c r="AC2488" s="3" cm="1">
        <f t="array" ref="AC2488">100000000/LvacE(AA2488)</f>
        <v>34056.934468010688</v>
      </c>
      <c r="AD2488" s="10">
        <f t="shared" si="1719"/>
        <v>1.0801070189049244E-2</v>
      </c>
      <c r="AE2488" s="10" t="b">
        <f t="shared" si="1720"/>
        <v>1</v>
      </c>
      <c r="AJ2488" t="s">
        <v>4974</v>
      </c>
      <c r="AK2488" t="s">
        <v>4894</v>
      </c>
      <c r="AL2488">
        <v>33338.370000000003</v>
      </c>
      <c r="AM2488">
        <v>67395.320000000007</v>
      </c>
      <c r="AN2488" s="10" cm="1">
        <f t="array" ref="AN2488">Lair(100000000/($AM2488-$AL2488))</f>
        <v>2935.3996568556749</v>
      </c>
      <c r="AO2488" s="10">
        <f>100000000/($AM2488-$AL2488)</f>
        <v>2936.2582380395188</v>
      </c>
      <c r="AP2488" s="12">
        <v>298000000</v>
      </c>
      <c r="AQ2488" s="3">
        <v>0.71099999999999997</v>
      </c>
      <c r="AR2488" s="3">
        <f>LN(AU2488*100000000/($AM2488-$AL2488)/AP2488)</f>
        <v>-7.996575788441926</v>
      </c>
      <c r="AS2488" s="13">
        <f>EXP(AR$4341*$AM2488+AR$4342)*$AP2488/(100000000/($AM2488-$AL2488))</f>
        <v>57.061394104061797</v>
      </c>
      <c r="AT2488" s="3">
        <f>LN(AS2488/$C2488)</f>
        <v>1.0483955041807411</v>
      </c>
      <c r="AU2488" s="16" cm="1">
        <f t="array" ref="AU2488">$C2488*EXP(poly_from_str(100000000/$E2488,AU$4342))</f>
        <v>34.162785708041369</v>
      </c>
      <c r="AV2488" s="13">
        <f>LN(AS2488/AU2488)</f>
        <v>0.51299086330903731</v>
      </c>
    </row>
    <row r="2489" spans="1:48" x14ac:dyDescent="0.25">
      <c r="A2489" t="s">
        <v>3301</v>
      </c>
      <c r="B2489" s="2" t="str">
        <f t="shared" si="1712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1717"/>
        <v>2935.2350000000001</v>
      </c>
      <c r="AB2489" s="3">
        <f t="shared" si="1718"/>
        <v>34058.86</v>
      </c>
      <c r="AC2489" s="3" cm="1">
        <f t="array" ref="AC2489">100000000/LvacE(AA2489)</f>
        <v>34058.860445982384</v>
      </c>
      <c r="AD2489" s="10">
        <f t="shared" si="1719"/>
        <v>1.0801726343202908E-2</v>
      </c>
      <c r="AE2489" s="10" t="b">
        <f t="shared" si="1720"/>
        <v>1</v>
      </c>
      <c r="AP2489"/>
      <c r="AQ2489"/>
      <c r="AU2489" s="16" cm="1">
        <f t="array" ref="AU2489">$C2489*EXP(poly_from_str(100000000/$E2489,AU$4342))</f>
        <v>10.24561186686819</v>
      </c>
    </row>
    <row r="2490" spans="1:48" x14ac:dyDescent="0.25">
      <c r="A2490" t="s">
        <v>3302</v>
      </c>
      <c r="B2490" s="2" t="str">
        <f t="shared" si="1712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1717"/>
        <v>2933.8270000000002</v>
      </c>
      <c r="AB2490" s="3">
        <f t="shared" si="1718"/>
        <v>34075.199999999997</v>
      </c>
      <c r="AC2490" s="3" cm="1">
        <f t="array" ref="AC2490">100000000/LvacE(AA2490)</f>
        <v>34075.205215493603</v>
      </c>
      <c r="AD2490" s="10">
        <f t="shared" si="1719"/>
        <v>1.0807296274711085E-2</v>
      </c>
      <c r="AE2490" s="10" t="b">
        <f t="shared" si="1720"/>
        <v>1</v>
      </c>
      <c r="AJ2490" t="s">
        <v>4764</v>
      </c>
      <c r="AK2490" t="s">
        <v>4900</v>
      </c>
      <c r="AL2490">
        <v>37919.58</v>
      </c>
      <c r="AM2490">
        <v>71994.81</v>
      </c>
      <c r="AN2490" s="10" cm="1">
        <f t="array" ref="AN2490">Lair(100000000/($AM2490-$AL2490))</f>
        <v>2933.8248616381902</v>
      </c>
      <c r="AO2490" s="10">
        <f>100000000/($AM2490-$AL2490)</f>
        <v>2934.6830527629604</v>
      </c>
      <c r="AP2490" s="12">
        <v>3420000</v>
      </c>
      <c r="AQ2490" s="3">
        <v>2.1000000000000001E-2</v>
      </c>
      <c r="AR2490" s="3"/>
      <c r="AS2490" s="13">
        <f>EXP(AR$4341*$AM2490+AR$4342)*$AP2490/(100000000/($AM2490-$AL2490))</f>
        <v>0.46395608515110393</v>
      </c>
      <c r="AT2490" s="3"/>
      <c r="AU2490" s="16" cm="1">
        <f t="array" ref="AU2490">$C2490*EXP(poly_from_str(100000000/$E2490,AU$4342))</f>
        <v>1.7030285201549005</v>
      </c>
    </row>
    <row r="2491" spans="1:48" x14ac:dyDescent="0.25">
      <c r="A2491" t="s">
        <v>3303</v>
      </c>
      <c r="B2491" s="2" t="str">
        <f t="shared" si="1712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1717"/>
        <v>2932.4789999999998</v>
      </c>
      <c r="AB2491" s="3">
        <f t="shared" si="1718"/>
        <v>34090.870000000003</v>
      </c>
      <c r="AC2491" s="3" cm="1">
        <f t="array" ref="AC2491">100000000/LvacE(AA2491)</f>
        <v>34090.868180307778</v>
      </c>
      <c r="AD2491" s="10">
        <f t="shared" si="1719"/>
        <v>1.0812636370168001E-2</v>
      </c>
      <c r="AE2491" s="10" t="b">
        <f t="shared" si="1720"/>
        <v>1</v>
      </c>
      <c r="AP2491"/>
      <c r="AQ2491"/>
      <c r="AU2491" s="16" cm="1">
        <f t="array" ref="AU2491">$C2491*EXP(poly_from_str(100000000/$E2491,AU$4342))</f>
        <v>1.6986018337764859</v>
      </c>
    </row>
    <row r="2492" spans="1:48" x14ac:dyDescent="0.25">
      <c r="A2492" t="s">
        <v>3304</v>
      </c>
      <c r="B2492" s="2" t="str">
        <f t="shared" si="1712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1717"/>
        <v>2932.1669999999999</v>
      </c>
      <c r="AB2492" s="3">
        <f t="shared" si="1718"/>
        <v>34094.5</v>
      </c>
      <c r="AC2492" s="3" cm="1">
        <f t="array" ref="AC2492">100000000/LvacE(AA2492)</f>
        <v>34094.495488477201</v>
      </c>
      <c r="AD2492" s="10">
        <f t="shared" si="1719"/>
        <v>1.0813873406336884E-2</v>
      </c>
      <c r="AE2492" s="10" t="b">
        <f t="shared" si="1720"/>
        <v>1</v>
      </c>
      <c r="AP2492"/>
      <c r="AQ2492"/>
      <c r="AU2492" s="16" cm="1">
        <f t="array" ref="AU2492">$C2492*EXP(poly_from_str(100000000/$E2492,AU$4342))</f>
        <v>5.0927121947972545</v>
      </c>
    </row>
    <row r="2493" spans="1:48" x14ac:dyDescent="0.25">
      <c r="A2493" t="s">
        <v>3305</v>
      </c>
      <c r="B2493" s="2" t="str">
        <f t="shared" si="1712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1717"/>
        <v>2930.5129999999999</v>
      </c>
      <c r="AB2493" s="3">
        <f t="shared" si="1718"/>
        <v>34113.74</v>
      </c>
      <c r="AC2493" s="3" cm="1">
        <f t="array" ref="AC2493">100000000/LvacE(AA2493)</f>
        <v>34113.737771605345</v>
      </c>
      <c r="AD2493" s="10">
        <f t="shared" si="1719"/>
        <v>1.0820437884357678E-2</v>
      </c>
      <c r="AE2493" s="10" t="b">
        <f t="shared" si="1720"/>
        <v>1</v>
      </c>
      <c r="AJ2493" t="s">
        <v>4770</v>
      </c>
      <c r="AK2493" t="s">
        <v>4879</v>
      </c>
      <c r="AL2493">
        <v>35024.49</v>
      </c>
      <c r="AM2493">
        <v>69138.28</v>
      </c>
      <c r="AN2493" s="10" cm="1">
        <f t="array" ref="AN2493">Lair(100000000/($AM2493-$AL2493))</f>
        <v>2930.5085088331725</v>
      </c>
      <c r="AO2493" s="10">
        <f>100000000/($AM2493-$AL2493)</f>
        <v>2931.3658787252898</v>
      </c>
      <c r="AP2493" s="12">
        <v>8250000</v>
      </c>
      <c r="AQ2493" s="3">
        <v>2.9000000000000001E-2</v>
      </c>
      <c r="AR2493" s="3"/>
      <c r="AS2493" s="13">
        <f>EXP(AR$4341*$AM2493+AR$4342)*$AP2493/(100000000/($AM2493-$AL2493))</f>
        <v>1.3883438597433519</v>
      </c>
      <c r="AT2493" s="3"/>
      <c r="AU2493" s="16" cm="1">
        <f t="array" ref="AU2493">$C2493*EXP(poly_from_str(100000000/$E2493,AU$4342))</f>
        <v>11.844493088519155</v>
      </c>
    </row>
    <row r="2494" spans="1:48" x14ac:dyDescent="0.25">
      <c r="A2494" t="s">
        <v>3306</v>
      </c>
      <c r="B2494" s="2" t="str">
        <f t="shared" si="1712"/>
        <v/>
      </c>
      <c r="C2494">
        <v>3</v>
      </c>
      <c r="D2494" t="s">
        <v>1156</v>
      </c>
      <c r="E2494">
        <v>34114.94</v>
      </c>
      <c r="R2494">
        <v>24</v>
      </c>
      <c r="S2494" t="s">
        <v>22</v>
      </c>
      <c r="AA2494" s="10">
        <f t="shared" si="1717"/>
        <v>2930.41</v>
      </c>
      <c r="AB2494" s="3">
        <f t="shared" si="1718"/>
        <v>34114.94</v>
      </c>
      <c r="AC2494" s="3" cm="1">
        <f t="array" ref="AC2494">100000000/LvacE(AA2494)</f>
        <v>34114.936770032211</v>
      </c>
      <c r="AD2494" s="10">
        <f t="shared" si="1719"/>
        <v>1.0820847043593254E-2</v>
      </c>
      <c r="AE2494" s="10" t="b">
        <f t="shared" si="1720"/>
        <v>1</v>
      </c>
      <c r="AP2494"/>
      <c r="AQ2494"/>
      <c r="AU2494" s="16" cm="1">
        <f t="array" ref="AU2494">$C2494*EXP(poly_from_str(100000000/$E2494,AU$4342))</f>
        <v>5.075176314848993</v>
      </c>
    </row>
    <row r="2495" spans="1:48" x14ac:dyDescent="0.25">
      <c r="A2495" t="s">
        <v>3307</v>
      </c>
      <c r="B2495" s="2" t="str">
        <f t="shared" si="1712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1717"/>
        <v>2930.192</v>
      </c>
      <c r="AB2495" s="3">
        <f t="shared" si="1718"/>
        <v>34117.47</v>
      </c>
      <c r="AC2495" s="3" cm="1">
        <f t="array" ref="AC2495">100000000/LvacE(AA2495)</f>
        <v>34117.474734002237</v>
      </c>
      <c r="AD2495" s="10">
        <f t="shared" si="1719"/>
        <v>1.0821713173403354E-2</v>
      </c>
      <c r="AE2495" s="10" t="b">
        <f t="shared" si="1720"/>
        <v>1</v>
      </c>
      <c r="AJ2495" t="s">
        <v>4807</v>
      </c>
      <c r="AK2495" t="s">
        <v>4951</v>
      </c>
      <c r="AL2495">
        <v>35291</v>
      </c>
      <c r="AM2495">
        <v>69408.509999999995</v>
      </c>
      <c r="AN2495" s="10" cm="1">
        <f t="array" ref="AN2495">Lair(100000000/($AM2495-$AL2495))</f>
        <v>2930.1889667017449</v>
      </c>
      <c r="AO2495" s="10">
        <f>100000000/($AM2495-$AL2495)</f>
        <v>2931.0462574789312</v>
      </c>
      <c r="AP2495" s="12">
        <v>614000000</v>
      </c>
      <c r="AQ2495" s="3">
        <v>0.53100000000000003</v>
      </c>
      <c r="AR2495" s="3">
        <f>LN(AU2495*100000000/($AM2495-$AL2495)/AP2495)</f>
        <v>-7.8150492782180381</v>
      </c>
      <c r="AS2495" s="13">
        <f>EXP(AR$4341*$AM2495+AR$4342)*$AP2495/(100000000/($AM2495-$AL2495))</f>
        <v>101.26313760701441</v>
      </c>
      <c r="AT2495" s="3">
        <f>LN(AS2495/$C2495)</f>
        <v>0.70569944628451398</v>
      </c>
      <c r="AU2495" s="16" cm="1">
        <f t="array" ref="AU2495">$C2495*EXP(poly_from_str(100000000/$E2495,AU$4342))</f>
        <v>84.549865549826606</v>
      </c>
      <c r="AV2495" s="13">
        <f>LN(AS2495/AU2495)</f>
        <v>0.18038096655470939</v>
      </c>
    </row>
    <row r="2496" spans="1:48" x14ac:dyDescent="0.25">
      <c r="A2496" t="s">
        <v>3308</v>
      </c>
      <c r="B2496" s="2" t="str">
        <f t="shared" si="1712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1717"/>
        <v>2930.15</v>
      </c>
      <c r="AB2496" s="3">
        <f t="shared" si="1718"/>
        <v>34117.96</v>
      </c>
      <c r="AC2496" s="3" cm="1">
        <f t="array" ref="AC2496">100000000/LvacE(AA2496)</f>
        <v>34117.9637429215</v>
      </c>
      <c r="AD2496" s="10">
        <f t="shared" si="1719"/>
        <v>1.0821880064659062E-2</v>
      </c>
      <c r="AE2496" s="10" t="b">
        <f t="shared" si="1720"/>
        <v>1</v>
      </c>
      <c r="AP2496"/>
      <c r="AQ2496"/>
      <c r="AU2496" s="16" cm="1">
        <f t="array" ref="AU2496">$C2496*EXP(poly_from_str(100000000/$E2496,AU$4342))</f>
        <v>0</v>
      </c>
    </row>
    <row r="2497" spans="1:48" x14ac:dyDescent="0.25">
      <c r="A2497" t="s">
        <v>3309</v>
      </c>
      <c r="B2497" s="2" t="str">
        <f t="shared" si="1712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1717"/>
        <v>2930.1129999999998</v>
      </c>
      <c r="AB2497" s="3">
        <f t="shared" si="1718"/>
        <v>34118.39</v>
      </c>
      <c r="AC2497" s="3" cm="1">
        <f t="array" ref="AC2497">100000000/LvacE(AA2497)</f>
        <v>34118.39454810712</v>
      </c>
      <c r="AD2497" s="10">
        <f t="shared" si="1719"/>
        <v>1.0822027093853909E-2</v>
      </c>
      <c r="AE2497" s="10" t="b">
        <f t="shared" si="1720"/>
        <v>1</v>
      </c>
      <c r="AP2497"/>
      <c r="AQ2497"/>
      <c r="AU2497" s="16" cm="1">
        <f t="array" ref="AU2497">$C2497*EXP(poly_from_str(100000000/$E2497,AU$4342))</f>
        <v>0</v>
      </c>
    </row>
    <row r="2498" spans="1:48" x14ac:dyDescent="0.25">
      <c r="A2498" t="s">
        <v>3310</v>
      </c>
      <c r="B2498" s="2" t="str">
        <f t="shared" ref="B2498:B2561" si="1755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1717"/>
        <v>2930.0839999999998</v>
      </c>
      <c r="AB2498" s="3">
        <f t="shared" si="1718"/>
        <v>34118.730000000003</v>
      </c>
      <c r="AC2498" s="3" cm="1">
        <f t="array" ref="AC2498">100000000/LvacE(AA2498)</f>
        <v>34118.732213830699</v>
      </c>
      <c r="AD2498" s="10">
        <f t="shared" si="1719"/>
        <v>1.0822142336846094E-2</v>
      </c>
      <c r="AE2498" s="10" t="b">
        <f t="shared" si="1720"/>
        <v>1</v>
      </c>
      <c r="AP2498"/>
      <c r="AQ2498"/>
      <c r="AU2498" s="16" cm="1">
        <f t="array" ref="AU2498">$C2498*EXP(poly_from_str(100000000/$E2498,AU$4342))</f>
        <v>0</v>
      </c>
    </row>
    <row r="2499" spans="1:48" x14ac:dyDescent="0.25">
      <c r="A2499" t="s">
        <v>3311</v>
      </c>
      <c r="B2499" s="2" t="str">
        <f t="shared" si="1755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1756">ROUND($A2499,3)+0</f>
        <v>2929.701</v>
      </c>
      <c r="AB2499" s="3">
        <f t="shared" ref="AB2499:AB2562" si="1757">ROUND($E2499,2)+0</f>
        <v>34123.19</v>
      </c>
      <c r="AC2499" s="3" cm="1">
        <f t="array" ref="AC2499">100000000/LvacE(AA2499)</f>
        <v>34123.192357197098</v>
      </c>
      <c r="AD2499" s="10">
        <f t="shared" ref="AD2499:AD2562" si="1758">0.0005/$AA2499*AC2499+0.005</f>
        <v>1.0823664660181552E-2</v>
      </c>
      <c r="AE2499" s="10" t="b">
        <f t="shared" ref="AE2499:AE2562" si="1759">ABS(AB2499-AC2499)&lt;AD2499</f>
        <v>1</v>
      </c>
      <c r="AP2499"/>
      <c r="AQ2499"/>
      <c r="AU2499" s="16" cm="1">
        <f t="array" ref="AU2499">$C2499*EXP(poly_from_str(100000000/$E2499,AU$4342))</f>
        <v>1.6893473873677169</v>
      </c>
    </row>
    <row r="2500" spans="1:48" x14ac:dyDescent="0.25">
      <c r="A2500" t="s">
        <v>3312</v>
      </c>
      <c r="B2500" s="2" t="str">
        <f t="shared" si="1755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1756"/>
        <v>2928.9859999999999</v>
      </c>
      <c r="AB2500" s="3">
        <f t="shared" si="1757"/>
        <v>34131.519999999997</v>
      </c>
      <c r="AC2500" s="3" cm="1">
        <f t="array" ref="AC2500">100000000/LvacE(AA2500)</f>
        <v>34131.521855591614</v>
      </c>
      <c r="AD2500" s="10">
        <f t="shared" si="1758"/>
        <v>1.0826508193550875E-2</v>
      </c>
      <c r="AE2500" s="10" t="b">
        <f t="shared" si="1759"/>
        <v>1</v>
      </c>
      <c r="AJ2500" t="s">
        <v>4828</v>
      </c>
      <c r="AK2500" t="s">
        <v>4896</v>
      </c>
      <c r="AL2500">
        <v>30733.53</v>
      </c>
      <c r="AM2500">
        <v>64865.15</v>
      </c>
      <c r="AN2500" s="10" cm="1">
        <f t="array" ref="AN2500">Lair(100000000/($AM2500-$AL2500))</f>
        <v>2928.9775730894426</v>
      </c>
      <c r="AO2500" s="10">
        <f>100000000/($AM2500-$AL2500)</f>
        <v>2929.8345639615113</v>
      </c>
      <c r="AP2500" s="12">
        <v>238000000</v>
      </c>
      <c r="AQ2500" s="3">
        <v>0.30499999999999999</v>
      </c>
      <c r="AR2500" s="3">
        <f>LN(AU2500*100000000/($AM2500-$AL2500)/AP2500)</f>
        <v>-7.7864342007418426</v>
      </c>
      <c r="AS2500" s="13">
        <f>EXP(AR$4341*$AM2500+AR$4342)*$AP2500/(100000000/($AM2500-$AL2500))</f>
        <v>55.222812031416581</v>
      </c>
      <c r="AT2500" s="3">
        <f>LN(AS2500/$C2500)</f>
        <v>1.0156438557987755</v>
      </c>
      <c r="AU2500" s="16" cm="1">
        <f t="array" ref="AU2500">$C2500*EXP(poly_from_str(100000000/$E2500,AU$4342))</f>
        <v>33.738708328328919</v>
      </c>
      <c r="AV2500" s="13">
        <f>LN(AS2500/AU2500)</f>
        <v>0.49273033606411748</v>
      </c>
    </row>
    <row r="2501" spans="1:48" x14ac:dyDescent="0.25">
      <c r="A2501" t="s">
        <v>3313</v>
      </c>
      <c r="B2501" s="2" t="str">
        <f t="shared" si="1755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1756"/>
        <v>2928.9450000000002</v>
      </c>
      <c r="AB2501" s="3">
        <f t="shared" si="1757"/>
        <v>34132</v>
      </c>
      <c r="AC2501" s="3" cm="1">
        <f t="array" ref="AC2501">100000000/LvacE(AA2501)</f>
        <v>34131.999614438209</v>
      </c>
      <c r="AD2501" s="10">
        <f t="shared" si="1758"/>
        <v>1.0826671312441546E-2</v>
      </c>
      <c r="AE2501" s="10" t="b">
        <f t="shared" si="1759"/>
        <v>1</v>
      </c>
      <c r="AP2501"/>
      <c r="AQ2501"/>
      <c r="AU2501" s="16" cm="1">
        <f t="array" ref="AU2501">$C2501*EXP(poly_from_str(100000000/$E2501,AU$4342))</f>
        <v>0</v>
      </c>
    </row>
    <row r="2502" spans="1:48" x14ac:dyDescent="0.25">
      <c r="A2502" t="s">
        <v>3314</v>
      </c>
      <c r="B2502" s="2" t="str">
        <f t="shared" si="1755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1756"/>
        <v>2928.91</v>
      </c>
      <c r="AB2502" s="3">
        <f t="shared" si="1757"/>
        <v>34132.410000000003</v>
      </c>
      <c r="AC2502" s="3" cm="1">
        <f t="array" ref="AC2502">100000000/LvacE(AA2502)</f>
        <v>34132.407467937992</v>
      </c>
      <c r="AD2502" s="10">
        <f t="shared" si="1758"/>
        <v>1.0826810565694745E-2</v>
      </c>
      <c r="AE2502" s="10" t="b">
        <f t="shared" si="1759"/>
        <v>1</v>
      </c>
      <c r="AP2502"/>
      <c r="AQ2502"/>
      <c r="AU2502" s="16" cm="1">
        <f t="array" ref="AU2502">$C2502*EXP(poly_from_str(100000000/$E2502,AU$4342))</f>
        <v>0</v>
      </c>
    </row>
    <row r="2503" spans="1:48" x14ac:dyDescent="0.25">
      <c r="A2503" t="s">
        <v>3315</v>
      </c>
      <c r="B2503" s="2" t="str">
        <f t="shared" si="1755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1756"/>
        <v>2928.88</v>
      </c>
      <c r="AB2503" s="3">
        <f t="shared" si="1757"/>
        <v>34132.76</v>
      </c>
      <c r="AC2503" s="3" cm="1">
        <f t="array" ref="AC2503">100000000/LvacE(AA2503)</f>
        <v>34132.757064409816</v>
      </c>
      <c r="AD2503" s="10">
        <f t="shared" si="1758"/>
        <v>1.0826929929599338E-2</v>
      </c>
      <c r="AE2503" s="10" t="b">
        <f t="shared" si="1759"/>
        <v>1</v>
      </c>
      <c r="AP2503"/>
      <c r="AQ2503"/>
      <c r="AU2503" s="16" cm="1">
        <f t="array" ref="AU2503">$C2503*EXP(poly_from_str(100000000/$E2503,AU$4342))</f>
        <v>0</v>
      </c>
    </row>
    <row r="2504" spans="1:48" x14ac:dyDescent="0.25">
      <c r="A2504" t="s">
        <v>3316</v>
      </c>
      <c r="B2504" s="2" t="str">
        <f t="shared" si="1755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1756"/>
        <v>2928.2620000000002</v>
      </c>
      <c r="AB2504" s="3">
        <f t="shared" si="1757"/>
        <v>34139.96</v>
      </c>
      <c r="AC2504" s="3" cm="1">
        <f t="array" ref="AC2504">100000000/LvacE(AA2504)</f>
        <v>34139.960345275802</v>
      </c>
      <c r="AD2504" s="10">
        <f t="shared" si="1758"/>
        <v>1.0829389642264899E-2</v>
      </c>
      <c r="AE2504" s="10" t="b">
        <f t="shared" si="1759"/>
        <v>1</v>
      </c>
      <c r="AJ2504" t="s">
        <v>4807</v>
      </c>
      <c r="AK2504" t="s">
        <v>4864</v>
      </c>
      <c r="AL2504">
        <v>35291</v>
      </c>
      <c r="AM2504">
        <v>69431</v>
      </c>
      <c r="AN2504" s="10" cm="1">
        <f t="array" ref="AN2504">Lair(100000000/($AM2504-$AL2504))</f>
        <v>2928.2585942563842</v>
      </c>
      <c r="AO2504" s="10">
        <f>100000000/($AM2504-$AL2504)</f>
        <v>2929.1154071470414</v>
      </c>
      <c r="AP2504" s="12">
        <v>24000000</v>
      </c>
      <c r="AQ2504" s="3">
        <v>7.1999999999999995E-2</v>
      </c>
      <c r="AR2504" s="3">
        <f>LN(AU2504*100000000/($AM2504-$AL2504)/AP2504)</f>
        <v>-7.103357054224265</v>
      </c>
      <c r="AS2504" s="13">
        <f>EXP(AR$4341*$AM2504+AR$4342)*$AP2504/(100000000/($AM2504-$AL2504))</f>
        <v>3.9540980709605162</v>
      </c>
      <c r="AT2504" s="3">
        <f>LN(AS2504/$C2504)</f>
        <v>-1.1541833704720231E-2</v>
      </c>
      <c r="AU2504" s="16" cm="1">
        <f t="array" ref="AU2504">$C2504*EXP(poly_from_str(100000000/$E2504,AU$4342))</f>
        <v>6.7379221192748036</v>
      </c>
      <c r="AV2504" s="13">
        <f>LN(AS2504/AU2504)</f>
        <v>-0.53299905906885103</v>
      </c>
    </row>
    <row r="2505" spans="1:48" x14ac:dyDescent="0.25">
      <c r="A2505" t="s">
        <v>3317</v>
      </c>
      <c r="B2505" s="2" t="str">
        <f t="shared" si="1755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1756"/>
        <v>2928.2249999999999</v>
      </c>
      <c r="AB2505" s="3">
        <f t="shared" si="1757"/>
        <v>34140.39</v>
      </c>
      <c r="AC2505" s="3" cm="1">
        <f t="array" ref="AC2505">100000000/LvacE(AA2505)</f>
        <v>34140.391706123904</v>
      </c>
      <c r="AD2505" s="10">
        <f t="shared" si="1758"/>
        <v>1.0829536956026928E-2</v>
      </c>
      <c r="AE2505" s="10" t="b">
        <f t="shared" si="1759"/>
        <v>1</v>
      </c>
      <c r="AP2505"/>
      <c r="AQ2505"/>
      <c r="AU2505" s="16" cm="1">
        <f t="array" ref="AU2505">$C2505*EXP(poly_from_str(100000000/$E2505,AU$4342))</f>
        <v>5.0530654848437813</v>
      </c>
    </row>
    <row r="2506" spans="1:48" x14ac:dyDescent="0.25">
      <c r="A2506" t="s">
        <v>3318</v>
      </c>
      <c r="B2506" s="2" t="str">
        <f t="shared" si="1755"/>
        <v/>
      </c>
      <c r="C2506">
        <v>4</v>
      </c>
      <c r="D2506" t="s">
        <v>1156</v>
      </c>
      <c r="E2506">
        <v>34141.5</v>
      </c>
      <c r="R2506">
        <v>24</v>
      </c>
      <c r="S2506" t="s">
        <v>22</v>
      </c>
      <c r="AA2506" s="10">
        <f t="shared" si="1756"/>
        <v>2928.13</v>
      </c>
      <c r="AB2506" s="3">
        <f t="shared" si="1757"/>
        <v>34141.5</v>
      </c>
      <c r="AC2506" s="3" cm="1">
        <f t="array" ref="AC2506">100000000/LvacE(AA2506)</f>
        <v>34141.499304171637</v>
      </c>
      <c r="AD2506" s="10">
        <f t="shared" si="1758"/>
        <v>1.0829915219640459E-2</v>
      </c>
      <c r="AE2506" s="10" t="b">
        <f t="shared" si="1759"/>
        <v>1</v>
      </c>
      <c r="AP2506"/>
      <c r="AQ2506"/>
      <c r="AU2506" s="16" cm="1">
        <f t="array" ref="AU2506">$C2506*EXP(poly_from_str(100000000/$E2506,AU$4342))</f>
        <v>6.7361256157353209</v>
      </c>
    </row>
    <row r="2507" spans="1:48" x14ac:dyDescent="0.25">
      <c r="A2507" t="s">
        <v>3319</v>
      </c>
      <c r="B2507" s="2" t="str">
        <f t="shared" si="1755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1756"/>
        <v>2927.9050000000002</v>
      </c>
      <c r="AB2507" s="3">
        <f t="shared" si="1757"/>
        <v>34144.120000000003</v>
      </c>
      <c r="AC2507" s="3" cm="1">
        <f t="array" ref="AC2507">100000000/LvacE(AA2507)</f>
        <v>34144.122849387109</v>
      </c>
      <c r="AD2507" s="10">
        <f t="shared" si="1758"/>
        <v>1.083081125401731E-2</v>
      </c>
      <c r="AE2507" s="10" t="b">
        <f t="shared" si="1759"/>
        <v>1</v>
      </c>
      <c r="AP2507"/>
      <c r="AQ2507"/>
      <c r="AU2507" s="16" cm="1">
        <f t="array" ref="AU2507">$C2507*EXP(poly_from_str(100000000/$E2507,AU$4342))</f>
        <v>1.683266460775007</v>
      </c>
    </row>
    <row r="2508" spans="1:48" x14ac:dyDescent="0.25">
      <c r="A2508" t="s">
        <v>3320</v>
      </c>
      <c r="B2508" s="2" t="str">
        <f t="shared" si="1755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1756"/>
        <v>2927.4349999999999</v>
      </c>
      <c r="AB2508" s="3">
        <f t="shared" si="1757"/>
        <v>34149.599999999999</v>
      </c>
      <c r="AC2508" s="3" cm="1">
        <f t="array" ref="AC2508">100000000/LvacE(AA2508)</f>
        <v>34149.604444805693</v>
      </c>
      <c r="AD2508" s="10">
        <f t="shared" si="1758"/>
        <v>1.0832683636836631E-2</v>
      </c>
      <c r="AE2508" s="10" t="b">
        <f t="shared" si="1759"/>
        <v>1</v>
      </c>
      <c r="AJ2508" t="s">
        <v>4773</v>
      </c>
      <c r="AK2508" t="s">
        <v>4941</v>
      </c>
      <c r="AL2508">
        <v>35828.46</v>
      </c>
      <c r="AM2508">
        <v>69978.080000000002</v>
      </c>
      <c r="AN2508" s="10" cm="1">
        <f t="array" ref="AN2508">Lair(100000000/($AM2508-$AL2508))</f>
        <v>2927.4336621768352</v>
      </c>
      <c r="AO2508" s="10">
        <f>100000000/($AM2508-$AL2508)</f>
        <v>2928.2902708727065</v>
      </c>
      <c r="AP2508" s="12">
        <v>51200000</v>
      </c>
      <c r="AQ2508" s="3">
        <v>0.153</v>
      </c>
      <c r="AR2508" s="3">
        <f>LN(AU2508*100000000/($AM2508-$AL2508)/AP2508)</f>
        <v>-8.55614567887406</v>
      </c>
      <c r="AS2508" s="13">
        <f>EXP(AR$4341*$AM2508+AR$4342)*$AP2508/(100000000/($AM2508-$AL2508))</f>
        <v>8.098374713777087</v>
      </c>
      <c r="AT2508" s="3">
        <f>LN(AS2508/$C2508)</f>
        <v>1.3985162083649048</v>
      </c>
      <c r="AU2508" s="16" cm="1">
        <f t="array" ref="AU2508">$C2508*EXP(poly_from_str(100000000/$E2508,AU$4342))</f>
        <v>3.363326132591419</v>
      </c>
      <c r="AV2508" s="13">
        <f>LN(AS2508/AU2508)</f>
        <v>0.87873298418372248</v>
      </c>
    </row>
    <row r="2509" spans="1:48" x14ac:dyDescent="0.25">
      <c r="A2509">
        <v>2926.998</v>
      </c>
      <c r="B2509" s="2" t="str">
        <f t="shared" si="1755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1756"/>
        <v>2926.998</v>
      </c>
      <c r="AB2509" s="3">
        <f t="shared" si="1757"/>
        <v>34154.699999999997</v>
      </c>
      <c r="AC2509" s="3" cm="1">
        <f t="array" ref="AC2509">100000000/LvacE(AA2509)</f>
        <v>34154.702741461202</v>
      </c>
      <c r="AD2509" s="10">
        <f t="shared" si="1758"/>
        <v>1.0834425363710737E-2</v>
      </c>
      <c r="AE2509" s="10" t="b">
        <f t="shared" si="1759"/>
        <v>1</v>
      </c>
      <c r="AP2509"/>
      <c r="AQ2509"/>
      <c r="AU2509" s="16" cm="1">
        <f t="array" ref="AU2509">$C2509*EXP(poly_from_str(100000000/$E2509,AU$4342))</f>
        <v>10.081000146955335</v>
      </c>
    </row>
    <row r="2510" spans="1:48" x14ac:dyDescent="0.25">
      <c r="A2510">
        <v>2926.8629999999998</v>
      </c>
      <c r="B2510" s="2" t="str">
        <f t="shared" si="1755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1756"/>
        <v>2926.8629999999998</v>
      </c>
      <c r="AB2510" s="3">
        <f t="shared" si="1757"/>
        <v>34156.28</v>
      </c>
      <c r="AC2510" s="3" cm="1">
        <f t="array" ref="AC2510">100000000/LvacE(AA2510)</f>
        <v>34156.278037907679</v>
      </c>
      <c r="AD2510" s="10">
        <f t="shared" si="1758"/>
        <v>1.0834963583520596E-2</v>
      </c>
      <c r="AE2510" s="10" t="b">
        <f t="shared" si="1759"/>
        <v>1</v>
      </c>
      <c r="AP2510"/>
      <c r="AQ2510"/>
      <c r="AU2510" s="16" cm="1">
        <f t="array" ref="AU2510">$C2510*EXP(poly_from_str(100000000/$E2510,AU$4342))</f>
        <v>11.757916071708483</v>
      </c>
    </row>
    <row r="2511" spans="1:48" x14ac:dyDescent="0.25">
      <c r="A2511">
        <v>2926.739</v>
      </c>
      <c r="B2511" s="2" t="str">
        <f t="shared" si="1755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1756"/>
        <v>2926.739</v>
      </c>
      <c r="AB2511" s="3">
        <f t="shared" si="1757"/>
        <v>34157.72</v>
      </c>
      <c r="AC2511" s="3" cm="1">
        <f t="array" ref="AC2511">100000000/LvacE(AA2511)</f>
        <v>34157.725104901685</v>
      </c>
      <c r="AD2511" s="10">
        <f t="shared" si="1758"/>
        <v>1.0835458014004953E-2</v>
      </c>
      <c r="AE2511" s="10" t="b">
        <f t="shared" si="1759"/>
        <v>1</v>
      </c>
      <c r="AP2511"/>
      <c r="AQ2511"/>
      <c r="AU2511" s="16" cm="1">
        <f t="array" ref="AU2511">$C2511*EXP(poly_from_str(100000000/$E2511,AU$4342))</f>
        <v>3.3585574312938942</v>
      </c>
    </row>
    <row r="2512" spans="1:48" x14ac:dyDescent="0.25">
      <c r="A2512">
        <v>2926.4140000000002</v>
      </c>
      <c r="B2512" s="2" t="str">
        <f t="shared" si="1755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1760">$G2512&amp;""</f>
        <v>e</v>
      </c>
      <c r="N2512" t="str">
        <f t="shared" ref="N2512:N2513" si="1761">$H2512&amp;""</f>
        <v>7/2</v>
      </c>
      <c r="O2512">
        <v>68987.070000000007</v>
      </c>
      <c r="P2512" t="str">
        <f t="shared" ref="P2512:P2513" si="1762">$J2512&amp;""</f>
        <v>o</v>
      </c>
      <c r="Q2512" t="str">
        <f t="shared" ref="Q2512:Q2513" si="1763">$K2512&amp;""</f>
        <v>7/2</v>
      </c>
      <c r="R2512">
        <v>25</v>
      </c>
      <c r="S2512" t="s">
        <v>2205</v>
      </c>
      <c r="AA2512" s="10">
        <f t="shared" si="1756"/>
        <v>2926.4140000000002</v>
      </c>
      <c r="AB2512" s="3">
        <f t="shared" si="1757"/>
        <v>34161.519999999997</v>
      </c>
      <c r="AC2512" s="3" cm="1">
        <f t="array" ref="AC2512">100000000/LvacE(AA2512)</f>
        <v>34161.518402683701</v>
      </c>
      <c r="AD2512" s="10">
        <f t="shared" si="1758"/>
        <v>1.083675419860001E-2</v>
      </c>
      <c r="AE2512" s="10" t="b">
        <f t="shared" si="1759"/>
        <v>1</v>
      </c>
      <c r="AJ2512" t="s">
        <v>4761</v>
      </c>
      <c r="AK2512" t="s">
        <v>4920</v>
      </c>
      <c r="AL2512">
        <v>34825.49</v>
      </c>
      <c r="AM2512">
        <v>68987.070000000007</v>
      </c>
      <c r="AN2512" s="10" cm="1">
        <f t="array" ref="AN2512">Lair(100000000/($AM2512-$AL2512))</f>
        <v>2926.4087187902019</v>
      </c>
      <c r="AO2512" s="10">
        <f t="shared" ref="AO2512:AO2513" si="1764">100000000/($AM2512-$AL2512)</f>
        <v>2927.2650738051334</v>
      </c>
      <c r="AP2512" s="12">
        <v>1290000</v>
      </c>
      <c r="AQ2512" s="3">
        <v>3.0000000000000001E-3</v>
      </c>
      <c r="AR2512" s="3"/>
      <c r="AS2512" s="13">
        <f t="shared" ref="AS2512:AS2513" si="1765">EXP(AR$4341*$AM2512+AR$4342)*$AP2512/(100000000/($AM2512-$AL2512))</f>
        <v>0.21987157061268256</v>
      </c>
      <c r="AT2512" s="3"/>
      <c r="AU2512" s="16" cm="1">
        <f t="array" ref="AU2512">$C2512*EXP(poly_from_str(100000000/$E2512,AU$4342))</f>
        <v>11.747115850667354</v>
      </c>
    </row>
    <row r="2513" spans="1:48" x14ac:dyDescent="0.25">
      <c r="A2513">
        <v>2924.6610000000001</v>
      </c>
      <c r="B2513" s="2" t="str">
        <f t="shared" si="1755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1760"/>
        <v>e</v>
      </c>
      <c r="N2513" t="str">
        <f t="shared" si="1761"/>
        <v>3/2</v>
      </c>
      <c r="O2513">
        <v>84409.93</v>
      </c>
      <c r="P2513" t="str">
        <f t="shared" si="1762"/>
        <v>o</v>
      </c>
      <c r="Q2513" t="str">
        <f t="shared" si="1763"/>
        <v>3/2</v>
      </c>
      <c r="R2513">
        <v>25</v>
      </c>
      <c r="AA2513" s="10">
        <f t="shared" si="1756"/>
        <v>2924.6610000000001</v>
      </c>
      <c r="AB2513" s="3">
        <f t="shared" si="1757"/>
        <v>34181.99</v>
      </c>
      <c r="AC2513" s="3" cm="1">
        <f t="array" ref="AC2513">100000000/LvacE(AA2513)</f>
        <v>34181.993403531378</v>
      </c>
      <c r="AD2513" s="10">
        <f t="shared" si="1758"/>
        <v>1.0843753071472451E-2</v>
      </c>
      <c r="AE2513" s="10" t="b">
        <f t="shared" si="1759"/>
        <v>1</v>
      </c>
      <c r="AJ2513" t="s">
        <v>4939</v>
      </c>
      <c r="AK2513" t="s">
        <v>4930</v>
      </c>
      <c r="AL2513">
        <v>50227.79</v>
      </c>
      <c r="AM2513">
        <v>84409.93</v>
      </c>
      <c r="AN2513" s="10" cm="1">
        <f t="array" ref="AN2513">Lair(100000000/($AM2513-$AL2513))</f>
        <v>2924.6484521867756</v>
      </c>
      <c r="AO2513" s="10">
        <f t="shared" si="1764"/>
        <v>2925.504371581183</v>
      </c>
      <c r="AP2513" s="12">
        <v>51900000</v>
      </c>
      <c r="AQ2513" s="3">
        <v>0.29399999999999998</v>
      </c>
      <c r="AR2513" s="3">
        <f>LN(AU2513*100000000/($AM2513-$AL2513)/AP2513)</f>
        <v>-8.5763844472637096</v>
      </c>
      <c r="AS2513" s="13">
        <f t="shared" si="1765"/>
        <v>2.7818909443610127</v>
      </c>
      <c r="AT2513" s="3">
        <f t="shared" ref="AT2513" si="1766">LN(AS2513/$C2513)</f>
        <v>0.32998371172758983</v>
      </c>
      <c r="AU2513" s="16" cm="1">
        <f t="array" ref="AU2513">$C2513*EXP(poly_from_str(100000000/$E2513,AU$4342))</f>
        <v>3.3441840124097975</v>
      </c>
      <c r="AV2513" s="13">
        <f>LN(AS2513/AU2513)</f>
        <v>-0.18409182905546417</v>
      </c>
    </row>
    <row r="2514" spans="1:48" x14ac:dyDescent="0.25">
      <c r="A2514">
        <v>2924.5949999999998</v>
      </c>
      <c r="B2514" s="2" t="str">
        <f t="shared" si="1755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1756"/>
        <v>2924.5949999999998</v>
      </c>
      <c r="AB2514" s="3">
        <f t="shared" si="1757"/>
        <v>34182.76</v>
      </c>
      <c r="AC2514" s="3" cm="1">
        <f t="array" ref="AC2514">100000000/LvacE(AA2514)</f>
        <v>34182.764761479528</v>
      </c>
      <c r="AD2514" s="10">
        <f t="shared" si="1758"/>
        <v>1.0844016823095083E-2</v>
      </c>
      <c r="AE2514" s="10" t="b">
        <f t="shared" si="1759"/>
        <v>1</v>
      </c>
      <c r="AP2514"/>
      <c r="AQ2514"/>
      <c r="AU2514" s="16" cm="1">
        <f t="array" ref="AU2514">$C2514*EXP(poly_from_str(100000000/$E2514,AU$4342))</f>
        <v>0</v>
      </c>
    </row>
    <row r="2515" spans="1:48" x14ac:dyDescent="0.25">
      <c r="A2515">
        <v>2924.547</v>
      </c>
      <c r="B2515" s="2" t="str">
        <f t="shared" si="1755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1756"/>
        <v>2924.547</v>
      </c>
      <c r="AB2515" s="3">
        <f t="shared" si="1757"/>
        <v>34183.33</v>
      </c>
      <c r="AC2515" s="3" cm="1">
        <f t="array" ref="AC2515">100000000/LvacE(AA2515)</f>
        <v>34183.325770943942</v>
      </c>
      <c r="AD2515" s="10">
        <f t="shared" si="1758"/>
        <v>1.0844208653672508E-2</v>
      </c>
      <c r="AE2515" s="10" t="b">
        <f t="shared" si="1759"/>
        <v>1</v>
      </c>
      <c r="AP2515"/>
      <c r="AQ2515"/>
      <c r="AU2515" s="16" cm="1">
        <f t="array" ref="AU2515">$C2515*EXP(poly_from_str(100000000/$E2515,AU$4342))</f>
        <v>0</v>
      </c>
    </row>
    <row r="2516" spans="1:48" x14ac:dyDescent="0.25">
      <c r="A2516">
        <v>2924.5259999999998</v>
      </c>
      <c r="B2516" s="2" t="str">
        <f t="shared" si="1755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1756"/>
        <v>2924.5259999999998</v>
      </c>
      <c r="AB2516" s="3">
        <f t="shared" si="1757"/>
        <v>34183.57</v>
      </c>
      <c r="AC2516" s="3" cm="1">
        <f t="array" ref="AC2516">100000000/LvacE(AA2516)</f>
        <v>34183.571218375015</v>
      </c>
      <c r="AD2516" s="10">
        <f t="shared" si="1758"/>
        <v>1.0844292582520213E-2</v>
      </c>
      <c r="AE2516" s="10" t="b">
        <f t="shared" si="1759"/>
        <v>1</v>
      </c>
      <c r="AP2516"/>
      <c r="AQ2516"/>
      <c r="AU2516" s="16" cm="1">
        <f t="array" ref="AU2516">$C2516*EXP(poly_from_str(100000000/$E2516,AU$4342))</f>
        <v>0</v>
      </c>
    </row>
    <row r="2517" spans="1:48" x14ac:dyDescent="0.25">
      <c r="A2517">
        <v>2924.3519999999999</v>
      </c>
      <c r="B2517" s="2" t="str">
        <f t="shared" si="1755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1756"/>
        <v>2924.3519999999999</v>
      </c>
      <c r="AB2517" s="3">
        <f t="shared" si="1757"/>
        <v>34185.599999999999</v>
      </c>
      <c r="AC2517" s="3" cm="1">
        <f t="array" ref="AC2517">100000000/LvacE(AA2517)</f>
        <v>34185.605061260634</v>
      </c>
      <c r="AD2517" s="10">
        <f t="shared" si="1758"/>
        <v>1.0844988062528149E-2</v>
      </c>
      <c r="AE2517" s="10" t="b">
        <f t="shared" si="1759"/>
        <v>1</v>
      </c>
      <c r="AP2517"/>
      <c r="AQ2517"/>
      <c r="AU2517" s="16" cm="1">
        <f t="array" ref="AU2517">$C2517*EXP(poly_from_str(100000000/$E2517,AU$4342))</f>
        <v>8.3550770278740512</v>
      </c>
    </row>
    <row r="2518" spans="1:48" x14ac:dyDescent="0.25">
      <c r="A2518">
        <v>2921.5450000000001</v>
      </c>
      <c r="B2518" s="2" t="str">
        <f t="shared" si="1755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1756"/>
        <v>2921.5450000000001</v>
      </c>
      <c r="AB2518" s="3">
        <f t="shared" si="1757"/>
        <v>34218.449999999997</v>
      </c>
      <c r="AC2518" s="3" cm="1">
        <f t="array" ref="AC2518">100000000/LvacE(AA2518)</f>
        <v>34218.44886408178</v>
      </c>
      <c r="AD2518" s="10">
        <f t="shared" si="1758"/>
        <v>1.0856224850906246E-2</v>
      </c>
      <c r="AE2518" s="10" t="b">
        <f t="shared" si="1759"/>
        <v>1</v>
      </c>
      <c r="AJ2518" t="s">
        <v>4723</v>
      </c>
      <c r="AK2518" t="s">
        <v>4903</v>
      </c>
      <c r="AL2518">
        <v>27138.55</v>
      </c>
      <c r="AM2518">
        <v>61357.04</v>
      </c>
      <c r="AN2518" s="10" cm="1">
        <f t="array" ref="AN2518">Lair(100000000/($AM2518-$AL2518))</f>
        <v>2921.5414834203361</v>
      </c>
      <c r="AO2518" s="10">
        <f>100000000/($AM2518-$AL2518)</f>
        <v>2922.396634100452</v>
      </c>
      <c r="AP2518" s="12">
        <v>13500000</v>
      </c>
      <c r="AQ2518" s="3">
        <v>0.11</v>
      </c>
      <c r="AR2518" s="3">
        <f>LN(AU2518*100000000/($AM2518-$AL2518)/AP2518)</f>
        <v>-5.9846331317724877</v>
      </c>
      <c r="AS2518" s="13">
        <f>EXP(AR$4341*$AM2518+AR$4342)*$AP2518/(100000000/($AM2518-$AL2518))</f>
        <v>4.0861750783484743</v>
      </c>
      <c r="AT2518" s="3">
        <f>LN(AS2518/$C2518)</f>
        <v>-0.53830080523020296</v>
      </c>
      <c r="AU2518" s="16" cm="1">
        <f t="array" ref="AU2518">$C2518*EXP(poly_from_str(100000000/$E2518,AU$4342))</f>
        <v>11.627904711463071</v>
      </c>
      <c r="AV2518" s="13">
        <f>LN(AS2518/AU2518)</f>
        <v>-1.045798444089324</v>
      </c>
    </row>
    <row r="2519" spans="1:48" x14ac:dyDescent="0.25">
      <c r="A2519">
        <v>2920.069</v>
      </c>
      <c r="B2519" s="2" t="str">
        <f t="shared" si="1755"/>
        <v/>
      </c>
      <c r="C2519">
        <v>2</v>
      </c>
      <c r="D2519" t="s">
        <v>1156</v>
      </c>
      <c r="E2519">
        <v>34235.74</v>
      </c>
      <c r="R2519">
        <v>25</v>
      </c>
      <c r="S2519" t="s">
        <v>22</v>
      </c>
      <c r="AA2519" s="10">
        <f t="shared" si="1756"/>
        <v>2920.069</v>
      </c>
      <c r="AB2519" s="3">
        <f t="shared" si="1757"/>
        <v>34235.74</v>
      </c>
      <c r="AC2519" s="3" cm="1">
        <f t="array" ref="AC2519">100000000/LvacE(AA2519)</f>
        <v>34235.744393604713</v>
      </c>
      <c r="AD2519" s="10">
        <f t="shared" si="1758"/>
        <v>1.0862146475580665E-2</v>
      </c>
      <c r="AE2519" s="10" t="b">
        <f t="shared" si="1759"/>
        <v>1</v>
      </c>
      <c r="AP2519"/>
      <c r="AQ2519"/>
      <c r="AU2519" s="16" cm="1">
        <f t="array" ref="AU2519">$C2519*EXP(poly_from_str(100000000/$E2519,AU$4342))</f>
        <v>3.3117240214831458</v>
      </c>
    </row>
    <row r="2520" spans="1:48" x14ac:dyDescent="0.25">
      <c r="A2520">
        <v>2916.183</v>
      </c>
      <c r="B2520" s="2" t="str">
        <f t="shared" si="1755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1767">$G2520&amp;""</f>
        <v>e</v>
      </c>
      <c r="N2520" t="str">
        <f t="shared" ref="N2520:N2521" si="1768">$H2520&amp;""</f>
        <v>5/2</v>
      </c>
      <c r="O2520">
        <v>68801.67</v>
      </c>
      <c r="P2520" t="str">
        <f t="shared" ref="P2520:P2521" si="1769">$J2520&amp;""</f>
        <v>o</v>
      </c>
      <c r="Q2520" t="str">
        <f t="shared" ref="Q2520:Q2521" si="1770">$K2520&amp;""</f>
        <v>7/2</v>
      </c>
      <c r="R2520">
        <v>25</v>
      </c>
      <c r="AA2520" s="10">
        <f t="shared" si="1756"/>
        <v>2916.183</v>
      </c>
      <c r="AB2520" s="3">
        <f t="shared" si="1757"/>
        <v>34281.360000000001</v>
      </c>
      <c r="AC2520" s="3" cm="1">
        <f t="array" ref="AC2520">100000000/LvacE(AA2520)</f>
        <v>34281.363633382425</v>
      </c>
      <c r="AD2520" s="10">
        <f t="shared" si="1758"/>
        <v>1.0877779898137811E-2</v>
      </c>
      <c r="AE2520" s="10" t="b">
        <f t="shared" si="1759"/>
        <v>1</v>
      </c>
      <c r="AJ2520" t="s">
        <v>4722</v>
      </c>
      <c r="AK2520" t="s">
        <v>4857</v>
      </c>
      <c r="AL2520">
        <v>34520.269999999997</v>
      </c>
      <c r="AM2520">
        <v>68801.67</v>
      </c>
      <c r="AN2520" s="10" cm="1">
        <f t="array" ref="AN2520">Lair(100000000/($AM2520-$AL2520))</f>
        <v>2916.1799020616977</v>
      </c>
      <c r="AO2520" s="10">
        <f t="shared" ref="AO2520:AO2521" si="1771">100000000/($AM2520-$AL2520)</f>
        <v>2917.0337267439486</v>
      </c>
      <c r="AP2520" s="12">
        <v>22700000</v>
      </c>
      <c r="AQ2520" s="3">
        <v>9.8000000000000004E-2</v>
      </c>
      <c r="AR2520" s="3">
        <f t="shared" ref="AR2520:AR2521" si="1772">LN(AU2520*100000000/($AM2520-$AL2520)/AP2520)</f>
        <v>-6.2665606526648361</v>
      </c>
      <c r="AS2520" s="13">
        <f t="shared" ref="AS2520:AS2521" si="1773">EXP(AR$4341*$AM2520+AR$4342)*$AP2520/(100000000/($AM2520-$AL2520))</f>
        <v>3.9370275695690191</v>
      </c>
      <c r="AT2520" s="3">
        <f t="shared" ref="AT2520:AT2521" si="1774">LN(AS2520/$C2520)</f>
        <v>-0.82679856271460139</v>
      </c>
      <c r="AU2520" s="16" cm="1">
        <f t="array" ref="AU2520">$C2520*EXP(poly_from_str(100000000/$E2520,AU$4342))</f>
        <v>14.775823501073576</v>
      </c>
      <c r="AV2520" s="13">
        <f t="shared" ref="AV2520:AV2521" si="1775">LN(AS2520/AU2520)</f>
        <v>-1.3225662832306153</v>
      </c>
    </row>
    <row r="2521" spans="1:48" x14ac:dyDescent="0.25">
      <c r="A2521">
        <v>2915.8870000000002</v>
      </c>
      <c r="B2521" s="2" t="str">
        <f t="shared" si="1755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1767"/>
        <v>e</v>
      </c>
      <c r="N2521" t="str">
        <f t="shared" si="1768"/>
        <v>3/2</v>
      </c>
      <c r="O2521">
        <v>63221.279999999999</v>
      </c>
      <c r="P2521" t="str">
        <f t="shared" si="1769"/>
        <v>o</v>
      </c>
      <c r="Q2521" t="str">
        <f t="shared" si="1770"/>
        <v>3/2</v>
      </c>
      <c r="R2521">
        <v>25</v>
      </c>
      <c r="AA2521" s="10">
        <f t="shared" si="1756"/>
        <v>2915.8870000000002</v>
      </c>
      <c r="AB2521" s="3">
        <f t="shared" si="1757"/>
        <v>34284.839999999997</v>
      </c>
      <c r="AC2521" s="3" cm="1">
        <f t="array" ref="AC2521">100000000/LvacE(AA2521)</f>
        <v>34284.843473834982</v>
      </c>
      <c r="AD2521" s="10">
        <f t="shared" si="1758"/>
        <v>1.0878973271912626E-2</v>
      </c>
      <c r="AE2521" s="10" t="b">
        <f t="shared" si="1759"/>
        <v>1</v>
      </c>
      <c r="AJ2521" t="s">
        <v>4801</v>
      </c>
      <c r="AK2521" t="s">
        <v>4707</v>
      </c>
      <c r="AL2521">
        <v>28936.46</v>
      </c>
      <c r="AM2521">
        <v>63221.279999999999</v>
      </c>
      <c r="AN2521" s="10" cm="1">
        <f t="array" ref="AN2521">Lair(100000000/($AM2521-$AL2521))</f>
        <v>2915.888992284154</v>
      </c>
      <c r="AO2521" s="10">
        <f t="shared" si="1771"/>
        <v>2916.7427450399332</v>
      </c>
      <c r="AP2521" s="12">
        <v>8950000</v>
      </c>
      <c r="AQ2521" s="3">
        <v>6.7000000000000004E-2</v>
      </c>
      <c r="AR2521" s="3">
        <f t="shared" si="1772"/>
        <v>-5.7420770089118394</v>
      </c>
      <c r="AS2521" s="13">
        <f t="shared" si="1773"/>
        <v>2.3598653643039591</v>
      </c>
      <c r="AT2521" s="3">
        <f t="shared" si="1774"/>
        <v>-0.93315490084163999</v>
      </c>
      <c r="AU2521" s="16" cm="1">
        <f t="array" ref="AU2521">$C2521*EXP(poly_from_str(100000000/$E2521,AU$4342))</f>
        <v>9.8440214053418522</v>
      </c>
      <c r="AV2521" s="13">
        <f t="shared" si="1775"/>
        <v>-1.4282597385957243</v>
      </c>
    </row>
    <row r="2522" spans="1:48" x14ac:dyDescent="0.25">
      <c r="A2522">
        <v>2914.5419999999999</v>
      </c>
      <c r="B2522" s="2" t="str">
        <f t="shared" si="1755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1756"/>
        <v>2914.5419999999999</v>
      </c>
      <c r="AB2522" s="3">
        <f t="shared" si="1757"/>
        <v>34300.660000000003</v>
      </c>
      <c r="AC2522" s="3" cm="1">
        <f t="array" ref="AC2522">100000000/LvacE(AA2522)</f>
        <v>34300.664488814444</v>
      </c>
      <c r="AD2522" s="10">
        <f t="shared" si="1758"/>
        <v>1.0884400445904441E-2</v>
      </c>
      <c r="AE2522" s="10" t="b">
        <f t="shared" si="1759"/>
        <v>1</v>
      </c>
      <c r="AP2522"/>
      <c r="AQ2522"/>
      <c r="AU2522" s="16" cm="1">
        <f t="array" ref="AU2522">$C2522*EXP(poly_from_str(100000000/$E2522,AU$4342))</f>
        <v>0</v>
      </c>
    </row>
    <row r="2523" spans="1:48" x14ac:dyDescent="0.25">
      <c r="A2523">
        <v>2914.52</v>
      </c>
      <c r="B2523" s="2" t="str">
        <f t="shared" si="1755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1756"/>
        <v>2914.52</v>
      </c>
      <c r="AB2523" s="3">
        <f t="shared" si="1757"/>
        <v>34300.92</v>
      </c>
      <c r="AC2523" s="3" cm="1">
        <f t="array" ref="AC2523">100000000/LvacE(AA2523)</f>
        <v>34300.923392582728</v>
      </c>
      <c r="AD2523" s="10">
        <f t="shared" si="1758"/>
        <v>1.0884489279981393E-2</v>
      </c>
      <c r="AE2523" s="10" t="b">
        <f t="shared" si="1759"/>
        <v>1</v>
      </c>
      <c r="AP2523"/>
      <c r="AQ2523"/>
      <c r="AU2523" s="16" cm="1">
        <f t="array" ref="AU2523">$C2523*EXP(poly_from_str(100000000/$E2523,AU$4342))</f>
        <v>0</v>
      </c>
    </row>
    <row r="2524" spans="1:48" x14ac:dyDescent="0.25">
      <c r="A2524">
        <v>2914.489</v>
      </c>
      <c r="B2524" s="2" t="str">
        <f t="shared" si="1755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1776">$G2524&amp;""</f>
        <v>e</v>
      </c>
      <c r="N2524" t="str">
        <f t="shared" ref="N2524:N2525" si="1777">$H2524&amp;""</f>
        <v>9/2</v>
      </c>
      <c r="O2524">
        <v>65295.9</v>
      </c>
      <c r="P2524" t="str">
        <f t="shared" ref="P2524:P2525" si="1778">$J2524&amp;""</f>
        <v>o</v>
      </c>
      <c r="Q2524" t="str">
        <f t="shared" ref="Q2524:Q2525" si="1779">$K2524&amp;""</f>
        <v>7/2</v>
      </c>
      <c r="R2524">
        <v>25</v>
      </c>
      <c r="AA2524" s="10">
        <f t="shared" si="1756"/>
        <v>2914.489</v>
      </c>
      <c r="AB2524" s="3">
        <f t="shared" si="1757"/>
        <v>34301.29</v>
      </c>
      <c r="AC2524" s="3" cm="1">
        <f t="array" ref="AC2524">100000000/LvacE(AA2524)</f>
        <v>34301.288218162648</v>
      </c>
      <c r="AD2524" s="10">
        <f t="shared" si="1758"/>
        <v>1.0884614458686008E-2</v>
      </c>
      <c r="AE2524" s="10" t="b">
        <f t="shared" si="1759"/>
        <v>1</v>
      </c>
      <c r="AJ2524" t="s">
        <v>4788</v>
      </c>
      <c r="AK2524" t="s">
        <v>4825</v>
      </c>
      <c r="AL2524">
        <v>30994.55</v>
      </c>
      <c r="AM2524">
        <v>65295.9</v>
      </c>
      <c r="AN2524" s="10" cm="1">
        <f t="array" ref="AN2524">Lair(100000000/($AM2524-$AL2524))</f>
        <v>2914.4837461110787</v>
      </c>
      <c r="AO2524" s="10">
        <f t="shared" ref="AO2524:AO2525" si="1780">100000000/($AM2524-$AL2524)</f>
        <v>2915.3371514532223</v>
      </c>
      <c r="AP2524" s="12">
        <v>898000000</v>
      </c>
      <c r="AQ2524" s="3">
        <v>0.66500000000000004</v>
      </c>
      <c r="AR2524" s="3">
        <f>LN(AU2524*100000000/($AM2524-$AL2524)/AP2524)</f>
        <v>-7.5408181621226067</v>
      </c>
      <c r="AS2524" s="13">
        <f t="shared" ref="AS2524:AS2525" si="1781">EXP(AR$4341*$AM2524+AR$4342)*$AP2524/(100000000/($AM2524-$AL2524))</f>
        <v>202.73700896686603</v>
      </c>
      <c r="AT2524" s="3">
        <f t="shared" ref="AT2524" si="1782">LN(AS2524/$C2524)</f>
        <v>0.70673943080843504</v>
      </c>
      <c r="AU2524" s="16" cm="1">
        <f t="array" ref="AU2524">$C2524*EXP(poly_from_str(100000000/$E2524,AU$4342))</f>
        <v>163.55048364868063</v>
      </c>
      <c r="AV2524" s="13">
        <f>LN(AS2524/AU2524)</f>
        <v>0.2147879056249398</v>
      </c>
    </row>
    <row r="2525" spans="1:48" x14ac:dyDescent="0.25">
      <c r="A2525">
        <v>2914.143</v>
      </c>
      <c r="B2525" s="2" t="str">
        <f t="shared" si="1755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1776"/>
        <v>e</v>
      </c>
      <c r="N2525" t="str">
        <f t="shared" si="1777"/>
        <v>5/2</v>
      </c>
      <c r="O2525">
        <v>67965.47</v>
      </c>
      <c r="P2525" t="str">
        <f t="shared" si="1778"/>
        <v>o</v>
      </c>
      <c r="Q2525" t="str">
        <f t="shared" si="1779"/>
        <v>3/2</v>
      </c>
      <c r="R2525">
        <v>25</v>
      </c>
      <c r="AA2525" s="10">
        <f t="shared" si="1756"/>
        <v>2914.143</v>
      </c>
      <c r="AB2525" s="3">
        <f t="shared" si="1757"/>
        <v>34305.360000000001</v>
      </c>
      <c r="AC2525" s="3" cm="1">
        <f t="array" ref="AC2525">100000000/LvacE(AA2525)</f>
        <v>34305.360669115689</v>
      </c>
      <c r="AD2525" s="10">
        <f t="shared" si="1758"/>
        <v>1.0886011885675426E-2</v>
      </c>
      <c r="AE2525" s="10" t="b">
        <f t="shared" si="1759"/>
        <v>1</v>
      </c>
      <c r="AJ2525" t="s">
        <v>4895</v>
      </c>
      <c r="AK2525" t="s">
        <v>4835</v>
      </c>
      <c r="AL2525">
        <v>33659.99</v>
      </c>
      <c r="AM2525">
        <v>67965.47</v>
      </c>
      <c r="AN2525" s="10" cm="1">
        <f t="array" ref="AN2525">Lair(100000000/($AM2525-$AL2525))</f>
        <v>2914.1328585345454</v>
      </c>
      <c r="AO2525" s="10">
        <f t="shared" si="1780"/>
        <v>2914.9861771355477</v>
      </c>
      <c r="AP2525" s="12">
        <v>52000000</v>
      </c>
      <c r="AQ2525" s="3">
        <v>4.3999999999999997E-2</v>
      </c>
      <c r="AR2525" s="3"/>
      <c r="AS2525" s="13">
        <f t="shared" si="1781"/>
        <v>9.6095854478320568</v>
      </c>
      <c r="AT2525" s="3"/>
      <c r="AU2525" s="16" cm="1">
        <f t="array" ref="AU2525">$C2525*EXP(poly_from_str(100000000/$E2525,AU$4342))</f>
        <v>16.342210808246051</v>
      </c>
    </row>
    <row r="2526" spans="1:48" x14ac:dyDescent="0.25">
      <c r="A2526">
        <v>2914.0929999999998</v>
      </c>
      <c r="B2526" s="2" t="str">
        <f t="shared" si="1755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1756"/>
        <v>2914.0929999999998</v>
      </c>
      <c r="AB2526" s="3">
        <f t="shared" si="1757"/>
        <v>34305.949999999997</v>
      </c>
      <c r="AC2526" s="3" cm="1">
        <f t="array" ref="AC2526">100000000/LvacE(AA2526)</f>
        <v>34305.949253554863</v>
      </c>
      <c r="AD2526" s="10">
        <f t="shared" si="1758"/>
        <v>1.0886213867154354E-2</v>
      </c>
      <c r="AE2526" s="10" t="b">
        <f t="shared" si="1759"/>
        <v>1</v>
      </c>
      <c r="AP2526"/>
      <c r="AQ2526"/>
      <c r="AU2526" s="16" cm="1">
        <f t="array" ref="AU2526">$C2526*EXP(poly_from_str(100000000/$E2526,AU$4342))</f>
        <v>0</v>
      </c>
    </row>
    <row r="2527" spans="1:48" x14ac:dyDescent="0.25">
      <c r="A2527">
        <v>2914.058</v>
      </c>
      <c r="B2527" s="2" t="str">
        <f t="shared" si="1755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1756"/>
        <v>2914.058</v>
      </c>
      <c r="AB2527" s="3">
        <f t="shared" si="1757"/>
        <v>34306.36</v>
      </c>
      <c r="AC2527" s="3" cm="1">
        <f t="array" ref="AC2527">100000000/LvacE(AA2527)</f>
        <v>34306.361274679184</v>
      </c>
      <c r="AD2527" s="10">
        <f t="shared" si="1758"/>
        <v>1.0886355260375596E-2</v>
      </c>
      <c r="AE2527" s="10" t="b">
        <f t="shared" si="1759"/>
        <v>1</v>
      </c>
      <c r="AP2527"/>
      <c r="AQ2527"/>
      <c r="AU2527" s="16" cm="1">
        <f t="array" ref="AU2527">$C2527*EXP(poly_from_str(100000000/$E2527,AU$4342))</f>
        <v>0</v>
      </c>
    </row>
    <row r="2528" spans="1:48" x14ac:dyDescent="0.25">
      <c r="A2528">
        <v>2913.8850000000002</v>
      </c>
      <c r="B2528" s="2" t="str">
        <f t="shared" si="1755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1783">$G2528&amp;""</f>
        <v>e</v>
      </c>
      <c r="N2528" t="str">
        <f t="shared" ref="N2528:N2530" si="1784">$H2528&amp;""</f>
        <v>5/2</v>
      </c>
      <c r="O2528">
        <v>63576.27</v>
      </c>
      <c r="P2528" t="str">
        <f t="shared" ref="P2528:P2530" si="1785">$J2528&amp;""</f>
        <v>o</v>
      </c>
      <c r="Q2528" t="str">
        <f t="shared" ref="Q2528:Q2530" si="1786">$K2528&amp;""</f>
        <v>5/2</v>
      </c>
      <c r="R2528">
        <v>25</v>
      </c>
      <c r="AA2528" s="10">
        <f t="shared" si="1756"/>
        <v>2913.8850000000002</v>
      </c>
      <c r="AB2528" s="3">
        <f t="shared" si="1757"/>
        <v>34308.400000000001</v>
      </c>
      <c r="AC2528" s="3" cm="1">
        <f t="array" ref="AC2528">100000000/LvacE(AA2528)</f>
        <v>34308.397981599352</v>
      </c>
      <c r="AD2528" s="10">
        <f t="shared" si="1758"/>
        <v>1.0887054221700471E-2</v>
      </c>
      <c r="AE2528" s="10" t="b">
        <f t="shared" si="1759"/>
        <v>1</v>
      </c>
      <c r="AJ2528" t="s">
        <v>4700</v>
      </c>
      <c r="AK2528" t="s">
        <v>4843</v>
      </c>
      <c r="AL2528">
        <v>29267.86</v>
      </c>
      <c r="AM2528">
        <v>63576.27</v>
      </c>
      <c r="AN2528" s="10" cm="1">
        <f t="array" ref="AN2528">Lair(100000000/($AM2528-$AL2528))</f>
        <v>2913.8839749888562</v>
      </c>
      <c r="AO2528" s="10">
        <f t="shared" ref="AO2528:AO2530" si="1787">100000000/($AM2528-$AL2528)</f>
        <v>2914.7372320664235</v>
      </c>
      <c r="AP2528" s="12">
        <v>12000000</v>
      </c>
      <c r="AQ2528" s="3">
        <v>0.10299999999999999</v>
      </c>
      <c r="AR2528" s="3">
        <f t="shared" ref="AR2528:AR2529" si="1788">LN(AU2528*100000000/($AM2528-$AL2528)/AP2528)</f>
        <v>-6.0405443239328722</v>
      </c>
      <c r="AS2528" s="13">
        <f t="shared" ref="AS2528:AS2529" si="1789">EXP(AR$4341*$AM2528+AR$4342)*$AP2528/(100000000/($AM2528-$AL2528))</f>
        <v>3.0830046574964194</v>
      </c>
      <c r="AT2528" s="3">
        <f t="shared" ref="AT2528:AT2529" si="1790">LN(AS2528/$C2528)</f>
        <v>-0.66585480962248433</v>
      </c>
      <c r="AU2528" s="16" cm="1">
        <f t="array" ref="AU2528">$C2528*EXP(poly_from_str(100000000/$E2528,AU$4342))</f>
        <v>9.7995643682725202</v>
      </c>
      <c r="AV2528" s="13">
        <f t="shared" ref="AV2528:AV2529" si="1791">LN(AS2528/AU2528)</f>
        <v>-1.1564332728658369</v>
      </c>
    </row>
    <row r="2529" spans="1:48" x14ac:dyDescent="0.25">
      <c r="A2529">
        <v>2911.77</v>
      </c>
      <c r="B2529" s="2" t="str">
        <f t="shared" si="1755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1783"/>
        <v>e</v>
      </c>
      <c r="N2529" t="str">
        <f t="shared" si="1784"/>
        <v>13/2</v>
      </c>
      <c r="O2529">
        <v>84992.04</v>
      </c>
      <c r="P2529" t="str">
        <f t="shared" si="1785"/>
        <v>o</v>
      </c>
      <c r="Q2529" t="str">
        <f t="shared" si="1786"/>
        <v>15/2</v>
      </c>
      <c r="R2529">
        <v>25</v>
      </c>
      <c r="AA2529" s="10">
        <f t="shared" si="1756"/>
        <v>2911.77</v>
      </c>
      <c r="AB2529" s="3">
        <f t="shared" si="1757"/>
        <v>34333.32</v>
      </c>
      <c r="AC2529" s="3" cm="1">
        <f t="array" ref="AC2529">100000000/LvacE(AA2529)</f>
        <v>34333.317170614937</v>
      </c>
      <c r="AD2529" s="10">
        <f t="shared" si="1758"/>
        <v>1.0895609400916786E-2</v>
      </c>
      <c r="AE2529" s="10" t="b">
        <f t="shared" si="1759"/>
        <v>1</v>
      </c>
      <c r="AJ2529" t="s">
        <v>4921</v>
      </c>
      <c r="AK2529" t="s">
        <v>4927</v>
      </c>
      <c r="AL2529">
        <v>50658.720000000001</v>
      </c>
      <c r="AM2529">
        <v>84992.04</v>
      </c>
      <c r="AN2529" s="10" cm="1">
        <f t="array" ref="AN2529">Lair(100000000/($AM2529-$AL2529))</f>
        <v>2911.7697558307664</v>
      </c>
      <c r="AO2529" s="10">
        <f t="shared" si="1787"/>
        <v>2912.622490338832</v>
      </c>
      <c r="AP2529" s="12">
        <v>4720000000</v>
      </c>
      <c r="AQ2529" s="3">
        <v>0.85399999999999998</v>
      </c>
      <c r="AR2529" s="3">
        <f t="shared" si="1788"/>
        <v>-9.9005247633229008</v>
      </c>
      <c r="AS2529" s="13">
        <f t="shared" si="1789"/>
        <v>243.25340941694986</v>
      </c>
      <c r="AT2529" s="3">
        <f t="shared" si="1790"/>
        <v>1.5820807316423127</v>
      </c>
      <c r="AU2529" s="16" cm="1">
        <f t="array" ref="AU2529">$C2529*EXP(poly_from_str(100000000/$E2529,AU$4342))</f>
        <v>81.267056022994922</v>
      </c>
      <c r="AV2529" s="13">
        <f t="shared" si="1791"/>
        <v>1.0963630176077768</v>
      </c>
    </row>
    <row r="2530" spans="1:48" x14ac:dyDescent="0.25">
      <c r="A2530">
        <v>2911.377</v>
      </c>
      <c r="B2530" s="2" t="str">
        <f t="shared" si="1755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1783"/>
        <v>o</v>
      </c>
      <c r="N2530" t="str">
        <f t="shared" si="1784"/>
        <v>7/2</v>
      </c>
      <c r="O2530">
        <v>102830.43</v>
      </c>
      <c r="P2530" t="str">
        <f t="shared" si="1785"/>
        <v>e</v>
      </c>
      <c r="Q2530" t="str">
        <f t="shared" si="1786"/>
        <v>9/2</v>
      </c>
      <c r="R2530">
        <v>25</v>
      </c>
      <c r="AA2530" s="10">
        <f t="shared" si="1756"/>
        <v>2911.377</v>
      </c>
      <c r="AB2530" s="3">
        <f t="shared" si="1757"/>
        <v>34337.949999999997</v>
      </c>
      <c r="AC2530" s="3" cm="1">
        <f t="array" ref="AC2530">100000000/LvacE(AA2530)</f>
        <v>34337.951533247324</v>
      </c>
      <c r="AD2530" s="10">
        <f t="shared" si="1758"/>
        <v>1.0897201141117644E-2</v>
      </c>
      <c r="AE2530" s="10" t="b">
        <f t="shared" si="1759"/>
        <v>1</v>
      </c>
      <c r="AJ2530" t="s">
        <v>4831</v>
      </c>
      <c r="AK2530" t="s">
        <v>4866</v>
      </c>
      <c r="AL2530">
        <v>68492.429999999993</v>
      </c>
      <c r="AM2530">
        <v>102830.43</v>
      </c>
      <c r="AN2530" s="10" cm="1">
        <f t="array" ref="AN2530">Lair(100000000/($AM2530-$AL2530))</f>
        <v>2911.3728863181709</v>
      </c>
      <c r="AO2530" s="10">
        <f t="shared" si="1787"/>
        <v>2912.2255227444812</v>
      </c>
      <c r="AU2530" s="16" cm="1">
        <f t="array" ref="AU2530">$C2530*EXP(poly_from_str(100000000/$E2530,AU$4342))</f>
        <v>9.7431630584559841</v>
      </c>
    </row>
    <row r="2531" spans="1:48" x14ac:dyDescent="0.25">
      <c r="A2531">
        <v>2911.21</v>
      </c>
      <c r="B2531" s="2" t="str">
        <f t="shared" si="1755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1756"/>
        <v>2911.21</v>
      </c>
      <c r="AB2531" s="3">
        <f t="shared" si="1757"/>
        <v>34339.919999999998</v>
      </c>
      <c r="AC2531" s="3" cm="1">
        <f t="array" ref="AC2531">100000000/LvacE(AA2531)</f>
        <v>34339.921221344674</v>
      </c>
      <c r="AD2531" s="10">
        <f t="shared" si="1758"/>
        <v>1.0897877724613592E-2</v>
      </c>
      <c r="AE2531" s="10" t="b">
        <f t="shared" si="1759"/>
        <v>1</v>
      </c>
      <c r="AP2531"/>
      <c r="AQ2531"/>
      <c r="AU2531" s="16" cm="1">
        <f t="array" ref="AU2531">$C2531*EXP(poly_from_str(100000000/$E2531,AU$4342))</f>
        <v>11.362607655845082</v>
      </c>
    </row>
    <row r="2532" spans="1:48" x14ac:dyDescent="0.25">
      <c r="A2532">
        <v>2911.0610000000001</v>
      </c>
      <c r="B2532" s="2" t="str">
        <f t="shared" si="1755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1756"/>
        <v>2911.0610000000001</v>
      </c>
      <c r="AB2532" s="3">
        <f t="shared" si="1757"/>
        <v>34341.68</v>
      </c>
      <c r="AC2532" s="3" cm="1">
        <f t="array" ref="AC2532">100000000/LvacE(AA2532)</f>
        <v>34341.678798482346</v>
      </c>
      <c r="AD2532" s="10">
        <f t="shared" si="1758"/>
        <v>1.0898481481233534E-2</v>
      </c>
      <c r="AE2532" s="10" t="b">
        <f t="shared" si="1759"/>
        <v>1</v>
      </c>
      <c r="AP2532"/>
      <c r="AQ2532"/>
      <c r="AU2532" s="16" cm="1">
        <f t="array" ref="AU2532">$C2532*EXP(poly_from_str(100000000/$E2532,AU$4342))</f>
        <v>9.7359937915857593</v>
      </c>
    </row>
    <row r="2533" spans="1:48" x14ac:dyDescent="0.25">
      <c r="A2533">
        <v>2910.893</v>
      </c>
      <c r="B2533" s="2" t="str">
        <f t="shared" si="1755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1756"/>
        <v>2910.893</v>
      </c>
      <c r="AB2533" s="3">
        <f t="shared" si="1757"/>
        <v>34343.660000000003</v>
      </c>
      <c r="AC2533" s="3" cm="1">
        <f t="array" ref="AC2533">100000000/LvacE(AA2533)</f>
        <v>34343.660711986544</v>
      </c>
      <c r="AD2533" s="10">
        <f t="shared" si="1758"/>
        <v>1.0899162338153025E-2</v>
      </c>
      <c r="AE2533" s="10" t="b">
        <f t="shared" si="1759"/>
        <v>1</v>
      </c>
      <c r="AP2533"/>
      <c r="AQ2533"/>
      <c r="AU2533" s="16" cm="1">
        <f t="array" ref="AU2533">$C2533*EXP(poly_from_str(100000000/$E2533,AU$4342))</f>
        <v>1.6220306036322982</v>
      </c>
    </row>
    <row r="2534" spans="1:48" x14ac:dyDescent="0.25">
      <c r="A2534">
        <v>2910.6120000000001</v>
      </c>
      <c r="B2534" s="2" t="str">
        <f t="shared" si="1755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1756"/>
        <v>2910.6120000000001</v>
      </c>
      <c r="AB2534" s="3">
        <f t="shared" si="1757"/>
        <v>34346.980000000003</v>
      </c>
      <c r="AC2534" s="3" cm="1">
        <f t="array" ref="AC2534">100000000/LvacE(AA2534)</f>
        <v>34346.976209602901</v>
      </c>
      <c r="AD2534" s="10">
        <f t="shared" si="1758"/>
        <v>1.0900301415922648E-2</v>
      </c>
      <c r="AE2534" s="10" t="b">
        <f t="shared" si="1759"/>
        <v>1</v>
      </c>
      <c r="AJ2534" t="s">
        <v>4742</v>
      </c>
      <c r="AK2534" t="s">
        <v>4819</v>
      </c>
      <c r="AL2534">
        <v>28885.14</v>
      </c>
      <c r="AM2534">
        <v>63232.14</v>
      </c>
      <c r="AN2534" s="10" cm="1">
        <f t="array" ref="AN2534">Lair(100000000/($AM2534-$AL2534))</f>
        <v>2910.6099796839408</v>
      </c>
      <c r="AO2534" s="10">
        <f>100000000/($AM2534-$AL2534)</f>
        <v>2911.4624275773722</v>
      </c>
      <c r="AP2534" s="12">
        <v>11900000</v>
      </c>
      <c r="AQ2534" s="3">
        <v>0.02</v>
      </c>
      <c r="AR2534" s="3"/>
      <c r="AS2534" s="13">
        <f>EXP(AR$4341*$AM2534+AR$4342)*$AP2534/(100000000/($AM2534-$AL2534))</f>
        <v>3.1408278648657442</v>
      </c>
      <c r="AT2534" s="3"/>
      <c r="AU2534" s="16" cm="1">
        <f t="array" ref="AU2534">$C2534*EXP(poly_from_str(100000000/$E2534,AU$4342))</f>
        <v>113.467525114883</v>
      </c>
    </row>
    <row r="2535" spans="1:48" x14ac:dyDescent="0.25">
      <c r="A2535">
        <v>2910.3510000000001</v>
      </c>
      <c r="B2535" s="2" t="str">
        <f t="shared" si="1755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1756"/>
        <v>2910.3510000000001</v>
      </c>
      <c r="AB2535" s="3">
        <f t="shared" si="1757"/>
        <v>34350.06</v>
      </c>
      <c r="AC2535" s="3" cm="1">
        <f t="array" ref="AC2535">100000000/LvacE(AA2535)</f>
        <v>34350.05630219914</v>
      </c>
      <c r="AD2535" s="10">
        <f t="shared" si="1758"/>
        <v>1.0901359716095953E-2</v>
      </c>
      <c r="AE2535" s="10" t="b">
        <f t="shared" si="1759"/>
        <v>1</v>
      </c>
      <c r="AP2535"/>
      <c r="AQ2535"/>
      <c r="AU2535" s="16" cm="1">
        <f t="array" ref="AU2535">$C2535*EXP(poly_from_str(100000000/$E2535,AU$4342))</f>
        <v>8.0998722081287671</v>
      </c>
    </row>
    <row r="2536" spans="1:48" x14ac:dyDescent="0.25">
      <c r="A2536">
        <v>2910.2370000000001</v>
      </c>
      <c r="B2536" s="2" t="str">
        <f t="shared" si="1755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1756"/>
        <v>2910.2370000000001</v>
      </c>
      <c r="AB2536" s="3">
        <f t="shared" si="1757"/>
        <v>34351.4</v>
      </c>
      <c r="AC2536" s="3" cm="1">
        <f t="array" ref="AC2536">100000000/LvacE(AA2536)</f>
        <v>34351.40180333858</v>
      </c>
      <c r="AD2536" s="10">
        <f t="shared" si="1758"/>
        <v>1.0901822051492469E-2</v>
      </c>
      <c r="AE2536" s="10" t="b">
        <f t="shared" si="1759"/>
        <v>1</v>
      </c>
      <c r="AJ2536" t="s">
        <v>4706</v>
      </c>
      <c r="AK2536" t="s">
        <v>4854</v>
      </c>
      <c r="AL2536">
        <v>30505.72</v>
      </c>
      <c r="AM2536">
        <v>64857.15</v>
      </c>
      <c r="AN2536" s="10" cm="1">
        <f t="array" ref="AN2536">Lair(100000000/($AM2536-$AL2536))</f>
        <v>2910.2346068926522</v>
      </c>
      <c r="AO2536" s="10">
        <f>100000000/($AM2536-$AL2536)</f>
        <v>2911.0869620274907</v>
      </c>
      <c r="AP2536" s="12">
        <v>50200000</v>
      </c>
      <c r="AQ2536" s="3">
        <v>4.2000000000000003E-2</v>
      </c>
      <c r="AR2536" s="3"/>
      <c r="AS2536" s="13">
        <f>EXP(AR$4341*$AM2536+AR$4342)*$AP2536/(100000000/($AM2536-$AL2536))</f>
        <v>11.729889908673147</v>
      </c>
      <c r="AT2536" s="3"/>
      <c r="AU2536" s="16" cm="1">
        <f t="array" ref="AU2536">$C2536*EXP(poly_from_str(100000000/$E2536,AU$4342))</f>
        <v>12.956345992374775</v>
      </c>
    </row>
    <row r="2537" spans="1:48" x14ac:dyDescent="0.25">
      <c r="A2537">
        <v>2909.732</v>
      </c>
      <c r="B2537" s="2" t="str">
        <f t="shared" si="1755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1756"/>
        <v>2909.732</v>
      </c>
      <c r="AB2537" s="3">
        <f t="shared" si="1757"/>
        <v>34357.360000000001</v>
      </c>
      <c r="AC2537" s="3" cm="1">
        <f t="array" ref="AC2537">100000000/LvacE(AA2537)</f>
        <v>34357.363405198339</v>
      </c>
      <c r="AD2537" s="10">
        <f t="shared" si="1758"/>
        <v>1.0903870769747581E-2</v>
      </c>
      <c r="AE2537" s="10" t="b">
        <f t="shared" si="1759"/>
        <v>1</v>
      </c>
      <c r="AP2537"/>
      <c r="AQ2537"/>
      <c r="AU2537" s="16" cm="1">
        <f t="array" ref="AU2537">$C2537*EXP(poly_from_str(100000000/$E2537,AU$4342))</f>
        <v>4.8528676531154247</v>
      </c>
    </row>
    <row r="2538" spans="1:48" x14ac:dyDescent="0.25">
      <c r="A2538">
        <v>2909.556</v>
      </c>
      <c r="B2538" s="2" t="str">
        <f t="shared" si="1755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1756"/>
        <v>2909.556</v>
      </c>
      <c r="AB2538" s="3">
        <f t="shared" si="1757"/>
        <v>34359.440000000002</v>
      </c>
      <c r="AC2538" s="3" cm="1">
        <f t="array" ref="AC2538">100000000/LvacE(AA2538)</f>
        <v>34359.441598246005</v>
      </c>
      <c r="AD2538" s="10">
        <f t="shared" si="1758"/>
        <v>1.0904585029166993E-2</v>
      </c>
      <c r="AE2538" s="10" t="b">
        <f t="shared" si="1759"/>
        <v>1</v>
      </c>
      <c r="AJ2538" t="s">
        <v>4706</v>
      </c>
      <c r="AK2538" t="s">
        <v>4896</v>
      </c>
      <c r="AL2538">
        <v>30505.72</v>
      </c>
      <c r="AM2538">
        <v>64865.15</v>
      </c>
      <c r="AN2538" s="10" cm="1">
        <f t="array" ref="AN2538">Lair(100000000/($AM2538-$AL2538))</f>
        <v>2909.5569779991242</v>
      </c>
      <c r="AO2538" s="10">
        <f>100000000/($AM2538-$AL2538)</f>
        <v>2910.4091656933774</v>
      </c>
      <c r="AP2538" s="12">
        <v>61900000</v>
      </c>
      <c r="AQ2538" s="3">
        <v>0.216</v>
      </c>
      <c r="AR2538" s="3">
        <f>LN(AU2538*100000000/($AM2538-$AL2538)/AP2538)</f>
        <v>-7.6926799443244933</v>
      </c>
      <c r="AS2538" s="13">
        <f>EXP(AR$4341*$AM2538+AR$4342)*$AP2538/(100000000/($AM2538-$AL2538))</f>
        <v>14.458434055196296</v>
      </c>
      <c r="AT2538" s="3">
        <f>LN(AS2538/$C2538)</f>
        <v>0.87951844670022794</v>
      </c>
      <c r="AU2538" s="16" cm="1">
        <f t="array" ref="AU2538">$C2538*EXP(poly_from_str(100000000/$E2538,AU$4342))</f>
        <v>9.7017068726484972</v>
      </c>
      <c r="AV2538" s="13">
        <f>LN(AS2538/AU2538)</f>
        <v>0.39897607964676846</v>
      </c>
    </row>
    <row r="2539" spans="1:48" x14ac:dyDescent="0.25">
      <c r="A2539">
        <v>2909.44</v>
      </c>
      <c r="B2539" s="2" t="str">
        <f t="shared" si="1755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1756"/>
        <v>2909.44</v>
      </c>
      <c r="AB2539" s="3">
        <f t="shared" si="1757"/>
        <v>34360.81</v>
      </c>
      <c r="AC2539" s="3" cm="1">
        <f t="array" ref="AC2539">100000000/LvacE(AA2539)</f>
        <v>34360.811453848844</v>
      </c>
      <c r="AD2539" s="10">
        <f t="shared" si="1758"/>
        <v>1.0905055861926839E-2</v>
      </c>
      <c r="AE2539" s="10" t="b">
        <f t="shared" si="1759"/>
        <v>1</v>
      </c>
      <c r="AP2539"/>
      <c r="AQ2539"/>
      <c r="AU2539" s="16" cm="1">
        <f t="array" ref="AU2539">$C2539*EXP(poly_from_str(100000000/$E2539,AU$4342))</f>
        <v>8.082543064867858</v>
      </c>
    </row>
    <row r="2540" spans="1:48" x14ac:dyDescent="0.25">
      <c r="A2540">
        <v>2909.384</v>
      </c>
      <c r="B2540" s="2" t="str">
        <f t="shared" si="1755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1756"/>
        <v>2909.384</v>
      </c>
      <c r="AB2540" s="3">
        <f t="shared" si="1757"/>
        <v>34361.47</v>
      </c>
      <c r="AC2540" s="3" cm="1">
        <f t="array" ref="AC2540">100000000/LvacE(AA2540)</f>
        <v>34361.47280254303</v>
      </c>
      <c r="AD2540" s="10">
        <f t="shared" si="1758"/>
        <v>1.0905283180656632E-2</v>
      </c>
      <c r="AE2540" s="10" t="b">
        <f t="shared" si="1759"/>
        <v>1</v>
      </c>
      <c r="AP2540"/>
      <c r="AQ2540"/>
      <c r="AU2540" s="16" cm="1">
        <f t="array" ref="AU2540">$C2540*EXP(poly_from_str(100000000/$E2540,AU$4342))</f>
        <v>0</v>
      </c>
    </row>
    <row r="2541" spans="1:48" x14ac:dyDescent="0.25">
      <c r="A2541">
        <v>2909.34</v>
      </c>
      <c r="B2541" s="2" t="str">
        <f t="shared" si="1755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1756"/>
        <v>2909.34</v>
      </c>
      <c r="AB2541" s="3">
        <f t="shared" si="1757"/>
        <v>34361.99</v>
      </c>
      <c r="AC2541" s="3" cm="1">
        <f t="array" ref="AC2541">100000000/LvacE(AA2541)</f>
        <v>34361.992451519225</v>
      </c>
      <c r="AD2541" s="10">
        <f t="shared" si="1758"/>
        <v>1.0905461797438461E-2</v>
      </c>
      <c r="AE2541" s="10" t="b">
        <f t="shared" si="1759"/>
        <v>1</v>
      </c>
      <c r="AP2541"/>
      <c r="AQ2541"/>
      <c r="AU2541" s="16" cm="1">
        <f t="array" ref="AU2541">$C2541*EXP(poly_from_str(100000000/$E2541,AU$4342))</f>
        <v>0</v>
      </c>
    </row>
    <row r="2542" spans="1:48" x14ac:dyDescent="0.25">
      <c r="A2542">
        <v>2908.971</v>
      </c>
      <c r="B2542" s="2" t="str">
        <f t="shared" si="1755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1756"/>
        <v>2908.971</v>
      </c>
      <c r="AB2542" s="3">
        <f t="shared" si="1757"/>
        <v>34366.35</v>
      </c>
      <c r="AC2542" s="3" cm="1">
        <f t="array" ref="AC2542">100000000/LvacE(AA2542)</f>
        <v>34366.351035466949</v>
      </c>
      <c r="AD2542" s="10">
        <f t="shared" si="1758"/>
        <v>1.0906960061730926E-2</v>
      </c>
      <c r="AE2542" s="10" t="b">
        <f t="shared" si="1759"/>
        <v>1</v>
      </c>
      <c r="AP2542"/>
      <c r="AQ2542"/>
      <c r="AU2542" s="16" cm="1">
        <f t="array" ref="AU2542">$C2542*EXP(poly_from_str(100000000/$E2542,AU$4342))</f>
        <v>4.8441498282425535</v>
      </c>
    </row>
    <row r="2543" spans="1:48" x14ac:dyDescent="0.25">
      <c r="A2543">
        <v>2908.6660000000002</v>
      </c>
      <c r="B2543" s="2" t="str">
        <f t="shared" si="1755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1756"/>
        <v>2908.6660000000002</v>
      </c>
      <c r="AB2543" s="3">
        <f t="shared" si="1757"/>
        <v>34369.949999999997</v>
      </c>
      <c r="AC2543" s="3" cm="1">
        <f t="array" ref="AC2543">100000000/LvacE(AA2543)</f>
        <v>34369.954493792036</v>
      </c>
      <c r="AD2543" s="10">
        <f t="shared" si="1758"/>
        <v>1.0908198894921596E-2</v>
      </c>
      <c r="AE2543" s="10" t="b">
        <f t="shared" si="1759"/>
        <v>1</v>
      </c>
      <c r="AP2543"/>
      <c r="AQ2543"/>
      <c r="AU2543" s="16" cm="1">
        <f t="array" ref="AU2543">$C2543*EXP(poly_from_str(100000000/$E2543,AU$4342))</f>
        <v>1.6135499947020244</v>
      </c>
    </row>
    <row r="2544" spans="1:48" x14ac:dyDescent="0.25">
      <c r="A2544">
        <v>2908.5990000000002</v>
      </c>
      <c r="B2544" s="2" t="str">
        <f t="shared" si="1755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1756"/>
        <v>2908.5990000000002</v>
      </c>
      <c r="AB2544" s="3">
        <f t="shared" si="1757"/>
        <v>34370.75</v>
      </c>
      <c r="AC2544" s="3" cm="1">
        <f t="array" ref="AC2544">100000000/LvacE(AA2544)</f>
        <v>34370.746174393913</v>
      </c>
      <c r="AD2544" s="10">
        <f t="shared" si="1758"/>
        <v>1.0908471084256357E-2</v>
      </c>
      <c r="AE2544" s="10" t="b">
        <f t="shared" si="1759"/>
        <v>1</v>
      </c>
      <c r="AP2544"/>
      <c r="AQ2544"/>
      <c r="AU2544" s="16" cm="1">
        <f t="array" ref="AU2544">$C2544*EXP(poly_from_str(100000000/$E2544,AU$4342))</f>
        <v>8.0664525958755959</v>
      </c>
    </row>
    <row r="2545" spans="1:48" x14ac:dyDescent="0.25">
      <c r="A2545">
        <v>2908.1390000000001</v>
      </c>
      <c r="B2545" s="2" t="str">
        <f t="shared" si="1755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1756"/>
        <v>2908.1390000000001</v>
      </c>
      <c r="AB2545" s="3">
        <f t="shared" si="1757"/>
        <v>34376.18</v>
      </c>
      <c r="AC2545" s="3" cm="1">
        <f t="array" ref="AC2545">100000000/LvacE(AA2545)</f>
        <v>34376.182578353786</v>
      </c>
      <c r="AD2545" s="10">
        <f t="shared" si="1758"/>
        <v>1.0910340354837542E-2</v>
      </c>
      <c r="AE2545" s="10" t="b">
        <f t="shared" si="1759"/>
        <v>1</v>
      </c>
      <c r="AP2545"/>
      <c r="AQ2545"/>
      <c r="AU2545" s="16" cm="1">
        <f t="array" ref="AU2545">$C2545*EXP(poly_from_str(100000000/$E2545,AU$4342))</f>
        <v>6.4461085843155361</v>
      </c>
    </row>
    <row r="2546" spans="1:48" x14ac:dyDescent="0.25">
      <c r="A2546">
        <v>2906.5070000000001</v>
      </c>
      <c r="B2546" s="2" t="str">
        <f t="shared" si="1755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1756"/>
        <v>2906.5070000000001</v>
      </c>
      <c r="AB2546" s="3">
        <f t="shared" si="1757"/>
        <v>34395.480000000003</v>
      </c>
      <c r="AC2546" s="3" cm="1">
        <f t="array" ref="AC2546">100000000/LvacE(AA2546)</f>
        <v>34395.483875404236</v>
      </c>
      <c r="AD2546" s="10">
        <f t="shared" si="1758"/>
        <v>1.091697936309877E-2</v>
      </c>
      <c r="AE2546" s="10" t="b">
        <f t="shared" si="1759"/>
        <v>1</v>
      </c>
      <c r="AP2546"/>
      <c r="AQ2546"/>
      <c r="AU2546" s="16" cm="1">
        <f t="array" ref="AU2546">$C2546*EXP(poly_from_str(100000000/$E2546,AU$4342))</f>
        <v>3.2104579541945548</v>
      </c>
    </row>
    <row r="2547" spans="1:48" x14ac:dyDescent="0.25">
      <c r="A2547">
        <v>2906.4160000000002</v>
      </c>
      <c r="B2547" s="2" t="str">
        <f t="shared" si="1755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1756"/>
        <v>2906.4160000000002</v>
      </c>
      <c r="AB2547" s="3">
        <f t="shared" si="1757"/>
        <v>34396.559999999998</v>
      </c>
      <c r="AC2547" s="3" cm="1">
        <f t="array" ref="AC2547">100000000/LvacE(AA2547)</f>
        <v>34396.560749912569</v>
      </c>
      <c r="AD2547" s="10">
        <f t="shared" si="1758"/>
        <v>1.0917349882107821E-2</v>
      </c>
      <c r="AE2547" s="10" t="b">
        <f t="shared" si="1759"/>
        <v>1</v>
      </c>
      <c r="AP2547"/>
      <c r="AQ2547"/>
      <c r="AU2547" s="16" cm="1">
        <f t="array" ref="AU2547">$C2547*EXP(poly_from_str(100000000/$E2547,AU$4342))</f>
        <v>11.234125996074487</v>
      </c>
    </row>
    <row r="2548" spans="1:48" x14ac:dyDescent="0.25">
      <c r="A2548">
        <v>2906.252</v>
      </c>
      <c r="B2548" s="2" t="str">
        <f t="shared" si="1755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1756"/>
        <v>2906.252</v>
      </c>
      <c r="AB2548" s="3">
        <f t="shared" si="1757"/>
        <v>34398.5</v>
      </c>
      <c r="AC2548" s="3" cm="1">
        <f t="array" ref="AC2548">100000000/LvacE(AA2548)</f>
        <v>34398.501661055088</v>
      </c>
      <c r="AD2548" s="10">
        <f t="shared" si="1758"/>
        <v>1.0918017718534919E-2</v>
      </c>
      <c r="AE2548" s="10" t="b">
        <f t="shared" si="1759"/>
        <v>1</v>
      </c>
      <c r="AP2548"/>
      <c r="AQ2548"/>
      <c r="AU2548" s="16" cm="1">
        <f t="array" ref="AU2548">$C2548*EXP(poly_from_str(100000000/$E2548,AU$4342))</f>
        <v>1.6042391804628771</v>
      </c>
    </row>
    <row r="2549" spans="1:48" x14ac:dyDescent="0.25">
      <c r="A2549">
        <v>2906.0810000000001</v>
      </c>
      <c r="B2549" s="2" t="str">
        <f t="shared" si="1755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1792">$G2549&amp;""</f>
        <v>e</v>
      </c>
      <c r="N2549" t="str">
        <f t="shared" ref="N2549:N2551" si="1793">$H2549&amp;""</f>
        <v>9/2</v>
      </c>
      <c r="O2549">
        <v>64235.61</v>
      </c>
      <c r="P2549" t="str">
        <f t="shared" ref="P2549:P2551" si="1794">$J2549&amp;""</f>
        <v>o</v>
      </c>
      <c r="Q2549" t="str">
        <f t="shared" ref="Q2549:Q2551" si="1795">$K2549&amp;""</f>
        <v>9/2</v>
      </c>
      <c r="R2549">
        <v>25</v>
      </c>
      <c r="AA2549" s="10">
        <f t="shared" si="1756"/>
        <v>2906.0810000000001</v>
      </c>
      <c r="AB2549" s="3">
        <f t="shared" si="1757"/>
        <v>34400.53</v>
      </c>
      <c r="AC2549" s="3" cm="1">
        <f t="array" ref="AC2549">100000000/LvacE(AA2549)</f>
        <v>34400.525649236261</v>
      </c>
      <c r="AD2549" s="10">
        <f t="shared" si="1758"/>
        <v>1.0918714180581384E-2</v>
      </c>
      <c r="AE2549" s="10" t="b">
        <f t="shared" si="1759"/>
        <v>1</v>
      </c>
      <c r="AJ2549" t="s">
        <v>4697</v>
      </c>
      <c r="AK2549" t="s">
        <v>4842</v>
      </c>
      <c r="AL2549">
        <v>29835.09</v>
      </c>
      <c r="AM2549">
        <v>64235.61</v>
      </c>
      <c r="AN2549" s="10" cm="1">
        <f t="array" ref="AN2549">Lair(100000000/($AM2549-$AL2549))</f>
        <v>2906.0814730975708</v>
      </c>
      <c r="AO2549" s="10">
        <f t="shared" ref="AO2549:AO2551" si="1796">100000000/($AM2549-$AL2549)</f>
        <v>2906.9328021785714</v>
      </c>
      <c r="AP2549" s="12">
        <v>21600000</v>
      </c>
      <c r="AQ2549" s="3">
        <v>0.08</v>
      </c>
      <c r="AR2549" s="3">
        <f t="shared" ref="AR2549:AR2550" si="1797">LN(AU2549*100000000/($AM2549-$AL2549)/AP2549)</f>
        <v>-6.8316777818639869</v>
      </c>
      <c r="AS2549" s="13">
        <f t="shared" ref="AS2549:AS2551" si="1798">EXP(AR$4341*$AM2549+AR$4342)*$AP2549/(100000000/($AM2549-$AL2549))</f>
        <v>5.2956787656799289</v>
      </c>
      <c r="AT2549" s="3">
        <f t="shared" ref="AT2549:AT2550" si="1799">LN(AS2549/$C2549)</f>
        <v>5.7453248333751705E-2</v>
      </c>
      <c r="AU2549" s="16" cm="1">
        <f t="array" ref="AU2549">$C2549*EXP(poly_from_str(100000000/$E2549,AU$4342))</f>
        <v>8.0178660375299931</v>
      </c>
      <c r="AV2549" s="13">
        <f t="shared" ref="AV2549:AV2550" si="1800">LN(AS2549/AU2549)</f>
        <v>-0.41478114559649859</v>
      </c>
    </row>
    <row r="2550" spans="1:48" x14ac:dyDescent="0.25">
      <c r="A2550">
        <v>2905.768</v>
      </c>
      <c r="B2550" s="2" t="str">
        <f t="shared" si="1755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1792"/>
        <v>e</v>
      </c>
      <c r="N2550" t="str">
        <f t="shared" si="1793"/>
        <v>11/2</v>
      </c>
      <c r="O2550">
        <v>67870.759999999995</v>
      </c>
      <c r="P2550" t="str">
        <f t="shared" si="1794"/>
        <v>o</v>
      </c>
      <c r="Q2550" t="str">
        <f t="shared" si="1795"/>
        <v>9/2</v>
      </c>
      <c r="R2550">
        <v>25</v>
      </c>
      <c r="AA2550" s="10">
        <f t="shared" si="1756"/>
        <v>2905.768</v>
      </c>
      <c r="AB2550" s="3">
        <f t="shared" si="1757"/>
        <v>34404.230000000003</v>
      </c>
      <c r="AC2550" s="3" cm="1">
        <f t="array" ref="AC2550">100000000/LvacE(AA2550)</f>
        <v>34404.230993169418</v>
      </c>
      <c r="AD2550" s="10">
        <f t="shared" si="1758"/>
        <v>1.0919989309740044E-2</v>
      </c>
      <c r="AE2550" s="10" t="b">
        <f t="shared" si="1759"/>
        <v>1</v>
      </c>
      <c r="AJ2550" t="s">
        <v>4774</v>
      </c>
      <c r="AK2550" t="s">
        <v>4755</v>
      </c>
      <c r="AL2550">
        <v>33466.410000000003</v>
      </c>
      <c r="AM2550">
        <v>67870.759999999995</v>
      </c>
      <c r="AN2550" s="10" cm="1">
        <f t="array" ref="AN2550">Lair(100000000/($AM2550-$AL2550))</f>
        <v>2905.7579441450507</v>
      </c>
      <c r="AO2550" s="10">
        <f t="shared" si="1796"/>
        <v>2906.6091933142184</v>
      </c>
      <c r="AP2550" s="12">
        <v>98500000</v>
      </c>
      <c r="AQ2550" s="3">
        <v>0.46700000000000003</v>
      </c>
      <c r="AR2550" s="3">
        <f t="shared" si="1797"/>
        <v>-8.3499104239072945</v>
      </c>
      <c r="AS2550" s="13">
        <f t="shared" si="1798"/>
        <v>18.385448225144689</v>
      </c>
      <c r="AT2550" s="3">
        <f t="shared" si="1799"/>
        <v>1.3021215819591092</v>
      </c>
      <c r="AU2550" s="16" cm="1">
        <f t="array" ref="AU2550">$C2550*EXP(poly_from_str(100000000/$E2550,AU$4342))</f>
        <v>8.0117901631349344</v>
      </c>
      <c r="AV2550" s="13">
        <f t="shared" si="1800"/>
        <v>0.83064526725525945</v>
      </c>
    </row>
    <row r="2551" spans="1:48" x14ac:dyDescent="0.25">
      <c r="A2551">
        <v>2905.5770000000002</v>
      </c>
      <c r="B2551" s="2" t="str">
        <f t="shared" si="1755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1792"/>
        <v>e</v>
      </c>
      <c r="N2551" t="str">
        <f t="shared" si="1793"/>
        <v>7/2</v>
      </c>
      <c r="O2551">
        <v>69431</v>
      </c>
      <c r="P2551" t="str">
        <f t="shared" si="1794"/>
        <v>o</v>
      </c>
      <c r="Q2551" t="str">
        <f t="shared" si="1795"/>
        <v>7/2</v>
      </c>
      <c r="R2551">
        <v>25</v>
      </c>
      <c r="AA2551" s="10">
        <f t="shared" si="1756"/>
        <v>2905.5770000000002</v>
      </c>
      <c r="AB2551" s="3">
        <f t="shared" si="1757"/>
        <v>34406.49</v>
      </c>
      <c r="AC2551" s="3" cm="1">
        <f t="array" ref="AC2551">100000000/LvacE(AA2551)</f>
        <v>34406.492473815131</v>
      </c>
      <c r="AD2551" s="10">
        <f t="shared" si="1758"/>
        <v>1.0920767626157409E-2</v>
      </c>
      <c r="AE2551" s="10" t="b">
        <f t="shared" si="1759"/>
        <v>1</v>
      </c>
      <c r="AJ2551" t="s">
        <v>4770</v>
      </c>
      <c r="AK2551" t="s">
        <v>4864</v>
      </c>
      <c r="AL2551">
        <v>35024.49</v>
      </c>
      <c r="AM2551">
        <v>69431</v>
      </c>
      <c r="AN2551" s="10" cm="1">
        <f t="array" ref="AN2551">Lair(100000000/($AM2551-$AL2551))</f>
        <v>2905.5755157167732</v>
      </c>
      <c r="AO2551" s="10">
        <f t="shared" si="1796"/>
        <v>2906.4267198271486</v>
      </c>
      <c r="AP2551" s="12">
        <v>4200000</v>
      </c>
      <c r="AQ2551" s="3">
        <v>1.0999999999999999E-2</v>
      </c>
      <c r="AR2551" s="3"/>
      <c r="AS2551" s="13">
        <f t="shared" si="1798"/>
        <v>0.69736892482160662</v>
      </c>
      <c r="AT2551" s="3"/>
      <c r="AU2551" s="16" cm="1">
        <f t="array" ref="AU2551">$C2551*EXP(poly_from_str(100000000/$E2551,AU$4342))</f>
        <v>3.2032298923286935</v>
      </c>
    </row>
    <row r="2552" spans="1:48" x14ac:dyDescent="0.25">
      <c r="A2552">
        <v>2905.5390000000002</v>
      </c>
      <c r="B2552" s="2" t="str">
        <f t="shared" si="1755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1756"/>
        <v>2905.5390000000002</v>
      </c>
      <c r="AB2552" s="3">
        <f t="shared" si="1757"/>
        <v>34406.94</v>
      </c>
      <c r="AC2552" s="3" cm="1">
        <f t="array" ref="AC2552">100000000/LvacE(AA2552)</f>
        <v>34406.942437359896</v>
      </c>
      <c r="AD2552" s="10">
        <f t="shared" si="1758"/>
        <v>1.0920922492756058E-2</v>
      </c>
      <c r="AE2552" s="10" t="b">
        <f t="shared" si="1759"/>
        <v>1</v>
      </c>
      <c r="AP2552"/>
      <c r="AQ2552"/>
      <c r="AU2552" s="16" cm="1">
        <f t="array" ref="AU2552">$C2552*EXP(poly_from_str(100000000/$E2552,AU$4342))</f>
        <v>3.2029338203260886</v>
      </c>
    </row>
    <row r="2553" spans="1:48" x14ac:dyDescent="0.25">
      <c r="A2553">
        <v>2903.5450000000001</v>
      </c>
      <c r="B2553" s="2" t="str">
        <f t="shared" si="1755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1756"/>
        <v>2903.5450000000001</v>
      </c>
      <c r="AB2553" s="3">
        <f t="shared" si="1757"/>
        <v>34430.57</v>
      </c>
      <c r="AC2553" s="3" cm="1">
        <f t="array" ref="AC2553">100000000/LvacE(AA2553)</f>
        <v>34430.570204919532</v>
      </c>
      <c r="AD2553" s="10">
        <f t="shared" si="1758"/>
        <v>1.092905744614248E-2</v>
      </c>
      <c r="AE2553" s="10" t="b">
        <f t="shared" si="1759"/>
        <v>1</v>
      </c>
      <c r="AP2553"/>
      <c r="AQ2553"/>
      <c r="AU2553" s="16" cm="1">
        <f t="array" ref="AU2553">$C2553*EXP(poly_from_str(100000000/$E2553,AU$4342))</f>
        <v>9.5619483757859047</v>
      </c>
    </row>
    <row r="2554" spans="1:48" x14ac:dyDescent="0.25">
      <c r="A2554">
        <v>2901.212</v>
      </c>
      <c r="B2554" s="2" t="str">
        <f t="shared" si="1755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1801">$G2554&amp;""</f>
        <v>e</v>
      </c>
      <c r="N2554" t="str">
        <f t="shared" ref="N2554:N2556" si="1802">$H2554&amp;""</f>
        <v>5/2</v>
      </c>
      <c r="O2554">
        <v>68978.55</v>
      </c>
      <c r="P2554" t="str">
        <f t="shared" ref="P2554:P2556" si="1803">$J2554&amp;""</f>
        <v>o</v>
      </c>
      <c r="Q2554" t="str">
        <f t="shared" ref="Q2554:Q2556" si="1804">$K2554&amp;""</f>
        <v>5/2</v>
      </c>
      <c r="R2554">
        <v>25</v>
      </c>
      <c r="AA2554" s="10">
        <f t="shared" si="1756"/>
        <v>2901.212</v>
      </c>
      <c r="AB2554" s="3">
        <f t="shared" si="1757"/>
        <v>34458.26</v>
      </c>
      <c r="AC2554" s="3" cm="1">
        <f t="array" ref="AC2554">100000000/LvacE(AA2554)</f>
        <v>34458.256157182208</v>
      </c>
      <c r="AD2554" s="10">
        <f t="shared" si="1758"/>
        <v>1.0938596723917834E-2</v>
      </c>
      <c r="AE2554" s="10" t="b">
        <f t="shared" si="1759"/>
        <v>1</v>
      </c>
      <c r="AJ2554" t="s">
        <v>4722</v>
      </c>
      <c r="AK2554" t="s">
        <v>4918</v>
      </c>
      <c r="AL2554">
        <v>34520.269999999997</v>
      </c>
      <c r="AM2554">
        <v>68978.55</v>
      </c>
      <c r="AN2554" s="10" cm="1">
        <f t="array" ref="AN2554">Lair(100000000/($AM2554-$AL2554))</f>
        <v>2901.2099883401747</v>
      </c>
      <c r="AO2554" s="10">
        <f t="shared" ref="AO2554:AO2556" si="1805">100000000/($AM2554-$AL2554)</f>
        <v>2902.0601144340339</v>
      </c>
      <c r="AP2554" s="12">
        <v>2280000</v>
      </c>
      <c r="AQ2554" s="3">
        <v>8.9999999999999993E-3</v>
      </c>
      <c r="AR2554" s="3"/>
      <c r="AS2554" s="13">
        <f t="shared" ref="AS2554:AS2556" si="1806">EXP(AR$4341*$AM2554+AR$4342)*$AP2554/(100000000/($AM2554-$AL2554))</f>
        <v>0.39223608849530156</v>
      </c>
      <c r="AT2554" s="3"/>
      <c r="AU2554" s="16" cm="1">
        <f t="array" ref="AU2554">$C2554*EXP(poly_from_str(100000000/$E2554,AU$4342))</f>
        <v>9.5065246765759674</v>
      </c>
    </row>
    <row r="2555" spans="1:48" x14ac:dyDescent="0.25">
      <c r="A2555">
        <v>2900.788</v>
      </c>
      <c r="B2555" s="2" t="str">
        <f t="shared" si="1755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1801"/>
        <v>e</v>
      </c>
      <c r="N2555" t="str">
        <f t="shared" si="1802"/>
        <v>5/2</v>
      </c>
      <c r="O2555">
        <v>79366.649999999994</v>
      </c>
      <c r="P2555" t="str">
        <f t="shared" si="1803"/>
        <v>o</v>
      </c>
      <c r="Q2555" t="str">
        <f t="shared" si="1804"/>
        <v>5/2</v>
      </c>
      <c r="R2555">
        <v>25</v>
      </c>
      <c r="AA2555" s="10">
        <f t="shared" si="1756"/>
        <v>2900.788</v>
      </c>
      <c r="AB2555" s="3">
        <f t="shared" si="1757"/>
        <v>34463.29</v>
      </c>
      <c r="AC2555" s="3" cm="1">
        <f t="array" ref="AC2555">100000000/LvacE(AA2555)</f>
        <v>34463.292590877267</v>
      </c>
      <c r="AD2555" s="10">
        <f t="shared" si="1758"/>
        <v>1.0940332866599916E-2</v>
      </c>
      <c r="AE2555" s="10" t="b">
        <f t="shared" si="1759"/>
        <v>1</v>
      </c>
      <c r="AJ2555" t="s">
        <v>4765</v>
      </c>
      <c r="AK2555" t="s">
        <v>4859</v>
      </c>
      <c r="AL2555">
        <v>44903.42</v>
      </c>
      <c r="AM2555">
        <v>79366.649999999994</v>
      </c>
      <c r="AN2555" s="10" cm="1">
        <f t="array" ref="AN2555">Lair(100000000/($AM2555-$AL2555))</f>
        <v>2900.793264429818</v>
      </c>
      <c r="AO2555" s="10">
        <f t="shared" si="1805"/>
        <v>2901.6432876430913</v>
      </c>
      <c r="AP2555" s="12">
        <v>14100000</v>
      </c>
      <c r="AQ2555" s="3">
        <v>0.10299999999999999</v>
      </c>
      <c r="AR2555" s="3">
        <f t="shared" ref="AR2555:AR2556" si="1807">LN(AU2555*100000000/($AM2555-$AL2555)/AP2555)</f>
        <v>-7.3363526172486866</v>
      </c>
      <c r="AS2555" s="13">
        <f t="shared" si="1806"/>
        <v>1.112554136410089</v>
      </c>
      <c r="AT2555" s="3">
        <f t="shared" ref="AT2555:AT2556" si="1808">LN(AS2555/$C2555)</f>
        <v>-0.58648878474398791</v>
      </c>
      <c r="AU2555" s="16" cm="1">
        <f t="array" ref="AU2555">$C2555*EXP(poly_from_str(100000000/$E2555,AU$4342))</f>
        <v>3.1654658466477978</v>
      </c>
      <c r="AV2555" s="13">
        <f t="shared" ref="AV2555:AV2556" si="1809">LN(AS2555/AU2555)</f>
        <v>-1.0456418358837813</v>
      </c>
    </row>
    <row r="2556" spans="1:48" x14ac:dyDescent="0.25">
      <c r="A2556">
        <v>2900.4929999999999</v>
      </c>
      <c r="B2556" s="2" t="str">
        <f t="shared" si="1755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1801"/>
        <v>e</v>
      </c>
      <c r="N2556" t="str">
        <f t="shared" si="1802"/>
        <v>5/2</v>
      </c>
      <c r="O2556">
        <v>68987.070000000007</v>
      </c>
      <c r="P2556" t="str">
        <f t="shared" si="1803"/>
        <v>o</v>
      </c>
      <c r="Q2556" t="str">
        <f t="shared" si="1804"/>
        <v>7/2</v>
      </c>
      <c r="R2556">
        <v>25</v>
      </c>
      <c r="AA2556" s="10">
        <f t="shared" si="1756"/>
        <v>2900.4929999999999</v>
      </c>
      <c r="AB2556" s="3">
        <f t="shared" si="1757"/>
        <v>34466.800000000003</v>
      </c>
      <c r="AC2556" s="3" cm="1">
        <f t="array" ref="AC2556">100000000/LvacE(AA2556)</f>
        <v>34466.797581939158</v>
      </c>
      <c r="AD2556" s="10">
        <f t="shared" si="1758"/>
        <v>1.0941541245219202E-2</v>
      </c>
      <c r="AE2556" s="10" t="b">
        <f t="shared" si="1759"/>
        <v>1</v>
      </c>
      <c r="AJ2556" t="s">
        <v>4722</v>
      </c>
      <c r="AK2556" t="s">
        <v>4920</v>
      </c>
      <c r="AL2556">
        <v>34520.269999999997</v>
      </c>
      <c r="AM2556">
        <v>68987.070000000007</v>
      </c>
      <c r="AN2556" s="10" cm="1">
        <f t="array" ref="AN2556">Lair(100000000/($AM2556-$AL2556))</f>
        <v>2900.4927923851765</v>
      </c>
      <c r="AO2556" s="10">
        <f t="shared" si="1805"/>
        <v>2901.3427414207285</v>
      </c>
      <c r="AP2556" s="12">
        <v>24000000</v>
      </c>
      <c r="AQ2556" s="3">
        <v>0.11799999999999999</v>
      </c>
      <c r="AR2556" s="3">
        <f t="shared" si="1807"/>
        <v>-6.9527900624475976</v>
      </c>
      <c r="AS2556" s="13">
        <f t="shared" si="1806"/>
        <v>4.1271820429487551</v>
      </c>
      <c r="AT2556" s="3">
        <f t="shared" si="1808"/>
        <v>-0.19184305239932459</v>
      </c>
      <c r="AU2556" s="16" cm="1">
        <f t="array" ref="AU2556">$C2556*EXP(poly_from_str(100000000/$E2556,AU$4342))</f>
        <v>7.9077666973292216</v>
      </c>
      <c r="AV2556" s="13">
        <f t="shared" si="1809"/>
        <v>-0.65025054273030858</v>
      </c>
    </row>
    <row r="2557" spans="1:48" x14ac:dyDescent="0.25">
      <c r="A2557">
        <v>2899.8429999999998</v>
      </c>
      <c r="B2557" s="2" t="str">
        <f t="shared" si="1755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1756"/>
        <v>2899.8429999999998</v>
      </c>
      <c r="AB2557" s="3">
        <f t="shared" si="1757"/>
        <v>34474.519999999997</v>
      </c>
      <c r="AC2557" s="3" cm="1">
        <f t="array" ref="AC2557">100000000/LvacE(AA2557)</f>
        <v>34474.522960118309</v>
      </c>
      <c r="AD2557" s="10">
        <f t="shared" si="1758"/>
        <v>1.0944205075950373E-2</v>
      </c>
      <c r="AE2557" s="10" t="b">
        <f t="shared" si="1759"/>
        <v>1</v>
      </c>
      <c r="AP2557"/>
      <c r="AQ2557"/>
      <c r="AU2557" s="16" cm="1">
        <f t="array" ref="AU2557">$C2557*EXP(poly_from_str(100000000/$E2557,AU$4342))</f>
        <v>7.8947690947361195</v>
      </c>
    </row>
    <row r="2558" spans="1:48" x14ac:dyDescent="0.25">
      <c r="A2558">
        <v>2899.6439999999998</v>
      </c>
      <c r="B2558" s="2" t="str">
        <f t="shared" si="1755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1756"/>
        <v>2899.6439999999998</v>
      </c>
      <c r="AB2558" s="3">
        <f t="shared" si="1757"/>
        <v>34476.89</v>
      </c>
      <c r="AC2558" s="3" cm="1">
        <f t="array" ref="AC2558">100000000/LvacE(AA2558)</f>
        <v>34476.888806808289</v>
      </c>
      <c r="AD2558" s="10">
        <f t="shared" si="1758"/>
        <v>1.094502097616264E-2</v>
      </c>
      <c r="AE2558" s="10" t="b">
        <f t="shared" si="1759"/>
        <v>1</v>
      </c>
      <c r="AP2558"/>
      <c r="AQ2558"/>
      <c r="AU2558" s="16" cm="1">
        <f t="array" ref="AU2558">$C2558*EXP(poly_from_str(100000000/$E2558,AU$4342))</f>
        <v>3.1563087540135899</v>
      </c>
    </row>
    <row r="2559" spans="1:48" x14ac:dyDescent="0.25">
      <c r="A2559">
        <v>2899.5830000000001</v>
      </c>
      <c r="B2559" s="2" t="str">
        <f t="shared" si="1755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1756"/>
        <v>2899.5830000000001</v>
      </c>
      <c r="AB2559" s="3">
        <f t="shared" si="1757"/>
        <v>34477.61</v>
      </c>
      <c r="AC2559" s="3" cm="1">
        <f t="array" ref="AC2559">100000000/LvacE(AA2559)</f>
        <v>34477.614081117943</v>
      </c>
      <c r="AD2559" s="10">
        <f t="shared" si="1758"/>
        <v>1.0945271109866133E-2</v>
      </c>
      <c r="AE2559" s="10" t="b">
        <f t="shared" si="1759"/>
        <v>1</v>
      </c>
      <c r="AP2559"/>
      <c r="AQ2559"/>
      <c r="AU2559" s="16" cm="1">
        <f t="array" ref="AU2559">$C2559*EXP(poly_from_str(100000000/$E2559,AU$4342))</f>
        <v>6.3116455141900394</v>
      </c>
    </row>
    <row r="2560" spans="1:48" x14ac:dyDescent="0.25">
      <c r="A2560">
        <v>2898.607</v>
      </c>
      <c r="B2560" s="2" t="str">
        <f t="shared" si="1755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1756"/>
        <v>2898.607</v>
      </c>
      <c r="AB2560" s="3">
        <f t="shared" si="1757"/>
        <v>34489.22</v>
      </c>
      <c r="AC2560" s="3" cm="1">
        <f t="array" ref="AC2560">100000000/LvacE(AA2560)</f>
        <v>34489.222621294866</v>
      </c>
      <c r="AD2560" s="10">
        <f t="shared" si="1758"/>
        <v>1.0949275396991531E-2</v>
      </c>
      <c r="AE2560" s="10" t="b">
        <f t="shared" si="1759"/>
        <v>1</v>
      </c>
      <c r="AP2560"/>
      <c r="AQ2560"/>
      <c r="AU2560" s="16" cm="1">
        <f t="array" ref="AU2560">$C2560*EXP(poly_from_str(100000000/$E2560,AU$4342))</f>
        <v>1.5739847036428498</v>
      </c>
    </row>
    <row r="2561" spans="1:48" x14ac:dyDescent="0.25">
      <c r="A2561">
        <v>2897.636</v>
      </c>
      <c r="B2561" s="2" t="str">
        <f t="shared" si="1755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1810">$G2561&amp;""</f>
        <v>e</v>
      </c>
      <c r="N2561" t="str">
        <f t="shared" ref="N2561:N2562" si="1811">$H2561&amp;""</f>
        <v>5/2</v>
      </c>
      <c r="O2561">
        <v>63768.66</v>
      </c>
      <c r="P2561" t="str">
        <f t="shared" ref="P2561:P2562" si="1812">$J2561&amp;""</f>
        <v>o</v>
      </c>
      <c r="Q2561" t="str">
        <f t="shared" ref="Q2561:Q2562" si="1813">$K2561&amp;""</f>
        <v>7/2</v>
      </c>
      <c r="R2561">
        <v>25</v>
      </c>
      <c r="S2561" t="s">
        <v>3321</v>
      </c>
      <c r="AA2561" s="10">
        <f t="shared" si="1756"/>
        <v>2897.636</v>
      </c>
      <c r="AB2561" s="3">
        <f t="shared" si="1757"/>
        <v>34500.78</v>
      </c>
      <c r="AC2561" s="3" cm="1">
        <f t="array" ref="AC2561">100000000/LvacE(AA2561)</f>
        <v>34500.779450985807</v>
      </c>
      <c r="AD2561" s="10">
        <f t="shared" si="1758"/>
        <v>1.0953263186091319E-2</v>
      </c>
      <c r="AE2561" s="10" t="b">
        <f t="shared" si="1759"/>
        <v>1</v>
      </c>
      <c r="AJ2561" t="s">
        <v>4700</v>
      </c>
      <c r="AK2561" t="s">
        <v>4850</v>
      </c>
      <c r="AL2561">
        <v>29267.86</v>
      </c>
      <c r="AM2561">
        <v>63768.66</v>
      </c>
      <c r="AN2561" s="10" cm="1">
        <f t="array" ref="AN2561">Lair(100000000/($AM2561-$AL2561))</f>
        <v>2897.6342699636216</v>
      </c>
      <c r="AO2561" s="10">
        <f t="shared" ref="AO2561:AO2562" si="1814">100000000/($AM2561-$AL2561)</f>
        <v>2898.4835134257755</v>
      </c>
      <c r="AP2561" s="12">
        <v>5170000</v>
      </c>
      <c r="AQ2561" s="3">
        <v>3.6999999999999998E-2</v>
      </c>
      <c r="AR2561" s="3"/>
      <c r="AS2561" s="13">
        <f t="shared" ref="AS2561:AS2562" si="1815">EXP(AR$4341*$AM2561+AR$4342)*$AP2561/(100000000/($AM2561-$AL2561))</f>
        <v>1.3165628654313226</v>
      </c>
      <c r="AT2561" s="3"/>
      <c r="AU2561" s="16" cm="1">
        <f t="array" ref="AU2561">$C2561*EXP(poly_from_str(100000000/$E2561,AU$4342))</f>
        <v>6.2802379559392536</v>
      </c>
    </row>
    <row r="2562" spans="1:48" x14ac:dyDescent="0.25">
      <c r="A2562">
        <v>2897.1819999999998</v>
      </c>
      <c r="B2562" s="2" t="str">
        <f t="shared" ref="B2562:B2625" si="1816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1810"/>
        <v>e</v>
      </c>
      <c r="N2562" t="str">
        <f t="shared" si="1811"/>
        <v>7/2</v>
      </c>
      <c r="O2562">
        <v>58158.080000000002</v>
      </c>
      <c r="P2562" t="str">
        <f t="shared" si="1812"/>
        <v>o</v>
      </c>
      <c r="Q2562" t="str">
        <f t="shared" si="1813"/>
        <v>7/2</v>
      </c>
      <c r="R2562">
        <v>25</v>
      </c>
      <c r="S2562" t="s">
        <v>2205</v>
      </c>
      <c r="AA2562" s="10">
        <f t="shared" si="1756"/>
        <v>2897.1819999999998</v>
      </c>
      <c r="AB2562" s="3">
        <f t="shared" si="1757"/>
        <v>34506.19</v>
      </c>
      <c r="AC2562" s="3" cm="1">
        <f t="array" ref="AC2562">100000000/LvacE(AA2562)</f>
        <v>34506.18561076367</v>
      </c>
      <c r="AD2562" s="10">
        <f t="shared" si="1758"/>
        <v>1.0955129089364022E-2</v>
      </c>
      <c r="AE2562" s="10" t="b">
        <f t="shared" si="1759"/>
        <v>1</v>
      </c>
      <c r="AJ2562" t="s">
        <v>4759</v>
      </c>
      <c r="AK2562" t="s">
        <v>4902</v>
      </c>
      <c r="AL2562">
        <v>23651.88</v>
      </c>
      <c r="AM2562">
        <v>58158.080000000002</v>
      </c>
      <c r="AN2562" s="10" cm="1">
        <f t="array" ref="AN2562">Lair(100000000/($AM2562-$AL2562))</f>
        <v>2897.1807877138071</v>
      </c>
      <c r="AO2562" s="10">
        <f t="shared" si="1814"/>
        <v>2898.0299192608868</v>
      </c>
      <c r="AP2562" s="12">
        <v>4460000</v>
      </c>
      <c r="AQ2562" s="3">
        <v>0.02</v>
      </c>
      <c r="AR2562" s="3"/>
      <c r="AS2562" s="13">
        <f t="shared" si="1815"/>
        <v>1.7306773855227242</v>
      </c>
      <c r="AT2562" s="3"/>
      <c r="AU2562" s="16" cm="1">
        <f t="array" ref="AU2562">$C2562*EXP(poly_from_str(100000000/$E2562,AU$4342))</f>
        <v>4.7046518140943228</v>
      </c>
    </row>
    <row r="2563" spans="1:48" x14ac:dyDescent="0.25">
      <c r="A2563">
        <v>2895.9380000000001</v>
      </c>
      <c r="B2563" s="2" t="str">
        <f t="shared" si="1816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1817">ROUND($A2563,3)+0</f>
        <v>2895.9380000000001</v>
      </c>
      <c r="AB2563" s="3">
        <f t="shared" ref="AB2563:AB2626" si="1818">ROUND($E2563,2)+0</f>
        <v>34521.01</v>
      </c>
      <c r="AC2563" s="3" cm="1">
        <f t="array" ref="AC2563">100000000/LvacE(AA2563)</f>
        <v>34521.00764979321</v>
      </c>
      <c r="AD2563" s="10">
        <f t="shared" ref="AD2563:AD2626" si="1819">0.0005/$AA2563*AC2563+0.005</f>
        <v>1.0960246326025144E-2</v>
      </c>
      <c r="AE2563" s="10" t="b">
        <f t="shared" ref="AE2563:AE2626" si="1820">ABS(AB2563-AC2563)&lt;AD2563</f>
        <v>1</v>
      </c>
      <c r="AP2563"/>
      <c r="AQ2563"/>
      <c r="AU2563" s="16" cm="1">
        <f t="array" ref="AU2563">$C2563*EXP(poly_from_str(100000000/$E2563,AU$4342))</f>
        <v>4.6894614429848707</v>
      </c>
    </row>
    <row r="2564" spans="1:48" x14ac:dyDescent="0.25">
      <c r="A2564">
        <v>2895.65</v>
      </c>
      <c r="B2564" s="2" t="str">
        <f t="shared" si="1816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1821">$G2564&amp;""</f>
        <v>e</v>
      </c>
      <c r="N2564" t="str">
        <f t="shared" ref="N2564:N2566" si="1822">$H2564&amp;""</f>
        <v>5/2</v>
      </c>
      <c r="O2564">
        <v>71536.38</v>
      </c>
      <c r="P2564" t="str">
        <f t="shared" ref="P2564:P2566" si="1823">$J2564&amp;""</f>
        <v>o</v>
      </c>
      <c r="Q2564" t="str">
        <f t="shared" ref="Q2564:Q2566" si="1824">$K2564&amp;""</f>
        <v>5/2</v>
      </c>
      <c r="R2564">
        <v>25</v>
      </c>
      <c r="AA2564" s="10">
        <f t="shared" si="1817"/>
        <v>2895.65</v>
      </c>
      <c r="AB2564" s="3">
        <f t="shared" si="1818"/>
        <v>34524.44</v>
      </c>
      <c r="AC2564" s="3" cm="1">
        <f t="array" ref="AC2564">100000000/LvacE(AA2564)</f>
        <v>34524.440933971804</v>
      </c>
      <c r="AD2564" s="10">
        <f t="shared" si="1819"/>
        <v>1.0961431964148258E-2</v>
      </c>
      <c r="AE2564" s="10" t="b">
        <f t="shared" si="1820"/>
        <v>1</v>
      </c>
      <c r="AJ2564" t="s">
        <v>4768</v>
      </c>
      <c r="AK2564" t="s">
        <v>4860</v>
      </c>
      <c r="AL2564">
        <v>37011.919999999998</v>
      </c>
      <c r="AM2564">
        <v>71536.38</v>
      </c>
      <c r="AN2564" s="10" cm="1">
        <f t="array" ref="AN2564">Lair(100000000/($AM2564-$AL2564))</f>
        <v>2895.6483967309355</v>
      </c>
      <c r="AO2564" s="10">
        <f t="shared" ref="AO2564:AO2566" si="1825">100000000/($AM2564-$AL2564)</f>
        <v>2896.4971501364535</v>
      </c>
      <c r="AP2564" s="12">
        <v>3610000</v>
      </c>
      <c r="AQ2564" s="3">
        <v>3.3000000000000002E-2</v>
      </c>
      <c r="AR2564" s="3"/>
      <c r="AS2564" s="13">
        <f t="shared" ref="AS2564:AS2566" si="1826">EXP(AR$4341*$AM2564+AR$4342)*$AP2564/(100000000/($AM2564-$AL2564))</f>
        <v>0.51355551885620254</v>
      </c>
      <c r="AT2564" s="3"/>
      <c r="AU2564" s="16" cm="1">
        <f t="array" ref="AU2564">$C2564*EXP(poly_from_str(100000000/$E2564,AU$4342))</f>
        <v>3.1239568002529747</v>
      </c>
    </row>
    <row r="2565" spans="1:48" x14ac:dyDescent="0.25">
      <c r="A2565">
        <v>2893.1860000000001</v>
      </c>
      <c r="B2565" s="2" t="str">
        <f t="shared" si="1816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1821"/>
        <v>e</v>
      </c>
      <c r="N2565" t="str">
        <f t="shared" si="1822"/>
        <v>13/2</v>
      </c>
      <c r="O2565">
        <v>63816.91</v>
      </c>
      <c r="P2565" t="str">
        <f t="shared" si="1823"/>
        <v>o</v>
      </c>
      <c r="Q2565" t="str">
        <f t="shared" si="1824"/>
        <v>11/2</v>
      </c>
      <c r="R2565">
        <v>25</v>
      </c>
      <c r="AA2565" s="10">
        <f t="shared" si="1817"/>
        <v>2893.1860000000001</v>
      </c>
      <c r="AB2565" s="3">
        <f t="shared" si="1818"/>
        <v>34553.839999999997</v>
      </c>
      <c r="AC2565" s="3" cm="1">
        <f t="array" ref="AC2565">100000000/LvacE(AA2565)</f>
        <v>34553.8425254268</v>
      </c>
      <c r="AD2565" s="10">
        <f t="shared" si="1819"/>
        <v>1.0971590233988898E-2</v>
      </c>
      <c r="AE2565" s="10" t="b">
        <f t="shared" si="1820"/>
        <v>1</v>
      </c>
      <c r="AJ2565" t="s">
        <v>4699</v>
      </c>
      <c r="AK2565" t="s">
        <v>4928</v>
      </c>
      <c r="AL2565">
        <v>29263.08</v>
      </c>
      <c r="AM2565">
        <v>63816.91</v>
      </c>
      <c r="AN2565" s="10" cm="1">
        <f t="array" ref="AN2565">Lair(100000000/($AM2565-$AL2565))</f>
        <v>2893.1870447383412</v>
      </c>
      <c r="AO2565" s="10">
        <f t="shared" si="1825"/>
        <v>2894.0351908891139</v>
      </c>
      <c r="AP2565" s="12">
        <v>6480000</v>
      </c>
      <c r="AQ2565" s="3">
        <v>2.1999999999999999E-2</v>
      </c>
      <c r="AR2565" s="3"/>
      <c r="AS2565" s="13">
        <f t="shared" si="1826"/>
        <v>1.6467228348223004</v>
      </c>
      <c r="AT2565" s="3"/>
      <c r="AU2565" s="16" cm="1">
        <f t="array" ref="AU2565">$C2565*EXP(poly_from_str(100000000/$E2565,AU$4342))</f>
        <v>4.6555507338137057</v>
      </c>
    </row>
    <row r="2566" spans="1:48" x14ac:dyDescent="0.25">
      <c r="A2566">
        <v>2893.1030000000001</v>
      </c>
      <c r="B2566" s="2" t="str">
        <f t="shared" si="1816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1821"/>
        <v>e</v>
      </c>
      <c r="N2566" t="str">
        <f t="shared" si="1822"/>
        <v>9/2</v>
      </c>
      <c r="O2566">
        <v>80360.820000000007</v>
      </c>
      <c r="P2566" t="str">
        <f t="shared" si="1823"/>
        <v>o</v>
      </c>
      <c r="Q2566" t="str">
        <f t="shared" si="1824"/>
        <v>11/2</v>
      </c>
      <c r="R2566">
        <v>25</v>
      </c>
      <c r="AA2566" s="10">
        <f t="shared" si="1817"/>
        <v>2893.1030000000001</v>
      </c>
      <c r="AB2566" s="3">
        <f t="shared" si="1818"/>
        <v>34554.83</v>
      </c>
      <c r="AC2566" s="3" cm="1">
        <f t="array" ref="AC2566">100000000/LvacE(AA2566)</f>
        <v>34554.833791785364</v>
      </c>
      <c r="AD2566" s="10">
        <f t="shared" si="1819"/>
        <v>1.0971932867890525E-2</v>
      </c>
      <c r="AE2566" s="10" t="b">
        <f t="shared" si="1820"/>
        <v>1</v>
      </c>
      <c r="AJ2566" t="s">
        <v>4802</v>
      </c>
      <c r="AK2566" t="s">
        <v>4913</v>
      </c>
      <c r="AL2566">
        <v>45805.95</v>
      </c>
      <c r="AM2566">
        <v>80360.820000000007</v>
      </c>
      <c r="AN2566" s="10" cm="1">
        <f t="array" ref="AN2566">Lair(100000000/($AM2566-$AL2566))</f>
        <v>2893.0999642685633</v>
      </c>
      <c r="AO2566" s="10">
        <f t="shared" si="1825"/>
        <v>2893.9480889379693</v>
      </c>
      <c r="AP2566" s="12">
        <v>289000000</v>
      </c>
      <c r="AQ2566" s="3">
        <v>0.45600000000000002</v>
      </c>
      <c r="AR2566" s="3">
        <f>LN(AU2566*100000000/($AM2566-$AL2566)/AP2566)</f>
        <v>-8.8751086235450884</v>
      </c>
      <c r="AS2566" s="13">
        <f t="shared" si="1826"/>
        <v>21.220264252871448</v>
      </c>
      <c r="AT2566" s="3">
        <f t="shared" ref="AT2566" si="1827">LN(AS2566/$C2566)</f>
        <v>0.85773200878204414</v>
      </c>
      <c r="AU2566" s="16" cm="1">
        <f t="array" ref="AU2566">$C2566*EXP(poly_from_str(100000000/$E2566,AU$4342))</f>
        <v>13.963568012698818</v>
      </c>
      <c r="AV2566" s="13">
        <f>LN(AS2566/AU2566)</f>
        <v>0.4185049331389552</v>
      </c>
    </row>
    <row r="2567" spans="1:48" x14ac:dyDescent="0.25">
      <c r="A2567">
        <v>2892.7289999999998</v>
      </c>
      <c r="B2567" s="2" t="str">
        <f t="shared" si="1816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1817"/>
        <v>2892.7289999999998</v>
      </c>
      <c r="AB2567" s="3">
        <f t="shared" si="1818"/>
        <v>34559.300000000003</v>
      </c>
      <c r="AC2567" s="3" cm="1">
        <f t="array" ref="AC2567">100000000/LvacE(AA2567)</f>
        <v>34559.301167479447</v>
      </c>
      <c r="AD2567" s="10">
        <f t="shared" si="1819"/>
        <v>1.0973477150379357E-2</v>
      </c>
      <c r="AE2567" s="10" t="b">
        <f t="shared" si="1820"/>
        <v>1</v>
      </c>
      <c r="AP2567"/>
      <c r="AQ2567"/>
      <c r="AU2567" s="16" cm="1">
        <f t="array" ref="AU2567">$C2567*EXP(poly_from_str(100000000/$E2567,AU$4342))</f>
        <v>3.0999179175478346</v>
      </c>
    </row>
    <row r="2568" spans="1:48" x14ac:dyDescent="0.25">
      <c r="A2568">
        <v>2890.8420000000001</v>
      </c>
      <c r="B2568" s="2" t="str">
        <f t="shared" si="1816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1817"/>
        <v>2890.8420000000001</v>
      </c>
      <c r="AB2568" s="3">
        <f t="shared" si="1818"/>
        <v>34581.86</v>
      </c>
      <c r="AC2568" s="3" cm="1">
        <f t="array" ref="AC2568">100000000/LvacE(AA2568)</f>
        <v>34581.85873607469</v>
      </c>
      <c r="AD2568" s="10">
        <f t="shared" si="1819"/>
        <v>1.0981277900361675E-2</v>
      </c>
      <c r="AE2568" s="10" t="b">
        <f t="shared" si="1820"/>
        <v>1</v>
      </c>
      <c r="AJ2568" t="s">
        <v>4702</v>
      </c>
      <c r="AK2568" t="s">
        <v>4936</v>
      </c>
      <c r="AL2568">
        <v>39024.269999999997</v>
      </c>
      <c r="AM2568">
        <v>73606.17</v>
      </c>
      <c r="AN2568" s="10" cm="1">
        <f t="array" ref="AN2568">Lair(100000000/($AM2568-$AL2568))</f>
        <v>2890.8385463756708</v>
      </c>
      <c r="AO2568" s="10">
        <f>100000000/($AM2568-$AL2568)</f>
        <v>2891.6861132557783</v>
      </c>
      <c r="AP2568" s="12">
        <v>3960000</v>
      </c>
      <c r="AQ2568" s="3">
        <v>3.2000000000000001E-2</v>
      </c>
      <c r="AR2568" s="3"/>
      <c r="AS2568" s="13">
        <f>EXP(AR$4341*$AM2568+AR$4342)*$AP2568/(100000000/($AM2568-$AL2568))</f>
        <v>0.48310099312213933</v>
      </c>
      <c r="AT2568" s="3"/>
      <c r="AU2568" s="16" cm="1">
        <f t="array" ref="AU2568">$C2568*EXP(poly_from_str(100000000/$E2568,AU$4342))</f>
        <v>3.0842215633970884</v>
      </c>
    </row>
    <row r="2569" spans="1:48" x14ac:dyDescent="0.25">
      <c r="A2569">
        <v>2889.58</v>
      </c>
      <c r="B2569" s="2" t="str">
        <f t="shared" si="1816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1817"/>
        <v>2889.58</v>
      </c>
      <c r="AB2569" s="3">
        <f t="shared" si="1818"/>
        <v>34596.959999999999</v>
      </c>
      <c r="AC2569" s="3" cm="1">
        <f t="array" ref="AC2569">100000000/LvacE(AA2569)</f>
        <v>34596.961371161458</v>
      </c>
      <c r="AD2569" s="10">
        <f t="shared" si="1819"/>
        <v>1.0986503466102592E-2</v>
      </c>
      <c r="AE2569" s="10" t="b">
        <f t="shared" si="1820"/>
        <v>1</v>
      </c>
      <c r="AP2569"/>
      <c r="AQ2569"/>
      <c r="AU2569" s="16" cm="1">
        <f t="array" ref="AU2569">$C2569*EXP(poly_from_str(100000000/$E2569,AU$4342))</f>
        <v>1.5368280182650274</v>
      </c>
    </row>
    <row r="2570" spans="1:48" x14ac:dyDescent="0.25">
      <c r="A2570">
        <v>2889.2170000000001</v>
      </c>
      <c r="B2570" s="2" t="str">
        <f t="shared" si="1816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1817"/>
        <v>2889.2170000000001</v>
      </c>
      <c r="AB2570" s="3">
        <f t="shared" si="1818"/>
        <v>34601.31</v>
      </c>
      <c r="AC2570" s="3" cm="1">
        <f t="array" ref="AC2570">100000000/LvacE(AA2570)</f>
        <v>34601.307916089929</v>
      </c>
      <c r="AD2570" s="10">
        <f t="shared" si="1819"/>
        <v>1.0988007809051712E-2</v>
      </c>
      <c r="AE2570" s="10" t="b">
        <f t="shared" si="1820"/>
        <v>1</v>
      </c>
      <c r="AP2570"/>
      <c r="AQ2570"/>
      <c r="AU2570" s="16" cm="1">
        <f t="array" ref="AU2570">$C2570*EXP(poly_from_str(100000000/$E2570,AU$4342))</f>
        <v>7.6765090156973841</v>
      </c>
    </row>
    <row r="2571" spans="1:48" x14ac:dyDescent="0.25">
      <c r="A2571">
        <v>2888.8739999999998</v>
      </c>
      <c r="B2571" s="2" t="str">
        <f t="shared" si="1816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1817"/>
        <v>2888.8739999999998</v>
      </c>
      <c r="AB2571" s="3">
        <f t="shared" si="1818"/>
        <v>34605.42</v>
      </c>
      <c r="AC2571" s="3" cm="1">
        <f t="array" ref="AC2571">100000000/LvacE(AA2571)</f>
        <v>34605.41598558455</v>
      </c>
      <c r="AD2571" s="10">
        <f t="shared" si="1819"/>
        <v>1.0989429789181625E-2</v>
      </c>
      <c r="AE2571" s="10" t="b">
        <f t="shared" si="1820"/>
        <v>1</v>
      </c>
      <c r="AJ2571" t="s">
        <v>4761</v>
      </c>
      <c r="AK2571" t="s">
        <v>4864</v>
      </c>
      <c r="AL2571">
        <v>34825.49</v>
      </c>
      <c r="AM2571">
        <v>69431</v>
      </c>
      <c r="AN2571" s="10" cm="1">
        <f t="array" ref="AN2571">Lair(100000000/($AM2571-$AL2571))</f>
        <v>2888.8661472655167</v>
      </c>
      <c r="AO2571" s="10">
        <f>100000000/($AM2571-$AL2571)</f>
        <v>2889.7132277489914</v>
      </c>
      <c r="AP2571" s="12">
        <v>132000000</v>
      </c>
      <c r="AQ2571" s="3">
        <v>0.372</v>
      </c>
      <c r="AR2571" s="3">
        <f>LN(AU2571*100000000/($AM2571-$AL2571)/AP2571)</f>
        <v>-8.5098543226040899</v>
      </c>
      <c r="AS2571" s="13">
        <f>EXP(AR$4341*$AM2571+AR$4342)*$AP2571/(100000000/($AM2571-$AL2571))</f>
        <v>22.044074160686193</v>
      </c>
      <c r="AT2571" s="3">
        <f>LN(AS2571/$C2571)</f>
        <v>1.3012843509991328</v>
      </c>
      <c r="AU2571" s="16" cm="1">
        <f t="array" ref="AU2571">$C2571*EXP(poly_from_str(100000000/$E2571,AU$4342))</f>
        <v>9.2031481056182596</v>
      </c>
      <c r="AV2571" s="13">
        <f>LN(AS2571/AU2571)</f>
        <v>0.87349820931097366</v>
      </c>
    </row>
    <row r="2572" spans="1:48" x14ac:dyDescent="0.25">
      <c r="A2572">
        <v>2888.8389999999999</v>
      </c>
      <c r="B2572" s="2" t="str">
        <f t="shared" si="1816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1817"/>
        <v>2888.8389999999999</v>
      </c>
      <c r="AB2572" s="3">
        <f t="shared" si="1818"/>
        <v>34605.83</v>
      </c>
      <c r="AC2572" s="3" cm="1">
        <f t="array" ref="AC2572">100000000/LvacE(AA2572)</f>
        <v>34605.835231195189</v>
      </c>
      <c r="AD2572" s="10">
        <f t="shared" si="1819"/>
        <v>1.0989574917673708E-2</v>
      </c>
      <c r="AE2572" s="10" t="b">
        <f t="shared" si="1820"/>
        <v>1</v>
      </c>
      <c r="AP2572"/>
      <c r="AQ2572"/>
      <c r="AU2572" s="16" cm="1">
        <f t="array" ref="AU2572">$C2572*EXP(poly_from_str(100000000/$E2572,AU$4342))</f>
        <v>0</v>
      </c>
    </row>
    <row r="2573" spans="1:48" x14ac:dyDescent="0.25">
      <c r="A2573">
        <v>2888.1460000000002</v>
      </c>
      <c r="B2573" s="2" t="str">
        <f t="shared" si="1816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1817"/>
        <v>2888.1460000000002</v>
      </c>
      <c r="AB2573" s="3">
        <f t="shared" si="1818"/>
        <v>34614.14</v>
      </c>
      <c r="AC2573" s="3" cm="1">
        <f t="array" ref="AC2573">100000000/LvacE(AA2573)</f>
        <v>34614.138386518141</v>
      </c>
      <c r="AD2573" s="10">
        <f t="shared" si="1819"/>
        <v>1.0992449548346611E-2</v>
      </c>
      <c r="AE2573" s="10" t="b">
        <f t="shared" si="1820"/>
        <v>1</v>
      </c>
      <c r="AP2573"/>
      <c r="AQ2573"/>
      <c r="AU2573" s="16" cm="1">
        <f t="array" ref="AU2573">$C2573*EXP(poly_from_str(100000000/$E2573,AU$4342))</f>
        <v>4.592367387131846</v>
      </c>
    </row>
    <row r="2574" spans="1:48" x14ac:dyDescent="0.25">
      <c r="A2574">
        <v>2887.2269999999999</v>
      </c>
      <c r="B2574" s="2" t="str">
        <f t="shared" si="1816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2205</v>
      </c>
      <c r="AA2574" s="10">
        <f t="shared" si="1817"/>
        <v>2887.2269999999999</v>
      </c>
      <c r="AB2574" s="3">
        <f t="shared" si="1818"/>
        <v>34625.160000000003</v>
      </c>
      <c r="AC2574" s="3" cm="1">
        <f t="array" ref="AC2574">100000000/LvacE(AA2574)</f>
        <v>34625.155500101246</v>
      </c>
      <c r="AD2574" s="10">
        <f t="shared" si="1819"/>
        <v>1.0996264841680486E-2</v>
      </c>
      <c r="AE2574" s="10" t="b">
        <f t="shared" si="1820"/>
        <v>1</v>
      </c>
      <c r="AJ2574" t="s">
        <v>4756</v>
      </c>
      <c r="AK2574" t="s">
        <v>4902</v>
      </c>
      <c r="AL2574">
        <v>23532.86</v>
      </c>
      <c r="AM2574">
        <v>58158.080000000002</v>
      </c>
      <c r="AN2574" s="10" cm="1">
        <f t="array" ref="AN2574">Lair(100000000/($AM2574-$AL2574))</f>
        <v>2887.2216174032692</v>
      </c>
      <c r="AO2574" s="10">
        <f>100000000/($AM2574-$AL2574)</f>
        <v>2888.0682924180696</v>
      </c>
      <c r="AP2574" s="12">
        <v>15700000</v>
      </c>
      <c r="AQ2574" s="3">
        <v>0.152</v>
      </c>
      <c r="AR2574" s="3">
        <f>LN(AU2574*100000000/($AM2574-$AL2574)/AP2574)</f>
        <v>-6.3858292131405063</v>
      </c>
      <c r="AS2574" s="13">
        <f>EXP(AR$4341*$AM2574+AR$4342)*$AP2574/(100000000/($AM2574-$AL2574))</f>
        <v>6.1133085902906545</v>
      </c>
      <c r="AT2574" s="3">
        <f>LN(AS2574/$C2574)</f>
        <v>1.8708661534212301E-2</v>
      </c>
      <c r="AU2574" s="16" cm="1">
        <f t="array" ref="AU2574">$C2574*EXP(poly_from_str(100000000/$E2574,AU$4342))</f>
        <v>9.1613991301283093</v>
      </c>
      <c r="AV2574" s="13">
        <f>LN(AS2574/AU2574)</f>
        <v>-0.40453077972346579</v>
      </c>
    </row>
    <row r="2575" spans="1:48" x14ac:dyDescent="0.25">
      <c r="A2575">
        <v>2887.136</v>
      </c>
      <c r="B2575" s="2" t="str">
        <f t="shared" si="1816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1817"/>
        <v>2887.136</v>
      </c>
      <c r="AB2575" s="3">
        <f t="shared" si="1818"/>
        <v>34626.25</v>
      </c>
      <c r="AC2575" s="3" cm="1">
        <f t="array" ref="AC2575">100000000/LvacE(AA2575)</f>
        <v>34626.246803723843</v>
      </c>
      <c r="AD2575" s="10">
        <f t="shared" si="1819"/>
        <v>1.0996642832849551E-2</v>
      </c>
      <c r="AE2575" s="10" t="b">
        <f t="shared" si="1820"/>
        <v>1</v>
      </c>
      <c r="AP2575"/>
      <c r="AQ2575"/>
      <c r="AU2575" s="16" cm="1">
        <f t="array" ref="AU2575">$C2575*EXP(poly_from_str(100000000/$E2575,AU$4342))</f>
        <v>0</v>
      </c>
    </row>
    <row r="2576" spans="1:48" x14ac:dyDescent="0.25">
      <c r="A2576">
        <v>2887.1120000000001</v>
      </c>
      <c r="B2576" s="2" t="str">
        <f t="shared" si="1816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1817"/>
        <v>2887.1120000000001</v>
      </c>
      <c r="AB2576" s="3">
        <f t="shared" si="1818"/>
        <v>34626.53</v>
      </c>
      <c r="AC2576" s="3" cm="1">
        <f t="array" ref="AC2576">100000000/LvacE(AA2576)</f>
        <v>34626.534631527269</v>
      </c>
      <c r="AD2576" s="10">
        <f t="shared" si="1819"/>
        <v>1.0996742528784346E-2</v>
      </c>
      <c r="AE2576" s="10" t="b">
        <f t="shared" si="1820"/>
        <v>1</v>
      </c>
      <c r="AP2576"/>
      <c r="AQ2576"/>
      <c r="AU2576" s="16" cm="1">
        <f t="array" ref="AU2576">$C2576*EXP(poly_from_str(100000000/$E2576,AU$4342))</f>
        <v>0</v>
      </c>
    </row>
    <row r="2577" spans="1:48" x14ac:dyDescent="0.25">
      <c r="A2577">
        <v>2887.0749999999998</v>
      </c>
      <c r="B2577" s="2" t="str">
        <f t="shared" si="1816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1817"/>
        <v>2887.0749999999998</v>
      </c>
      <c r="AB2577" s="3">
        <f t="shared" si="1818"/>
        <v>34626.980000000003</v>
      </c>
      <c r="AC2577" s="3" cm="1">
        <f t="array" ref="AC2577">100000000/LvacE(AA2577)</f>
        <v>34626.978375432293</v>
      </c>
      <c r="AD2577" s="10">
        <f t="shared" si="1819"/>
        <v>1.0996896231554826E-2</v>
      </c>
      <c r="AE2577" s="10" t="b">
        <f t="shared" si="1820"/>
        <v>1</v>
      </c>
      <c r="AJ2577" t="s">
        <v>4974</v>
      </c>
      <c r="AK2577" t="s">
        <v>4835</v>
      </c>
      <c r="AL2577">
        <v>33338.370000000003</v>
      </c>
      <c r="AM2577">
        <v>67965.47</v>
      </c>
      <c r="AN2577" s="10" cm="1">
        <f t="array" ref="AN2577">Lair(100000000/($AM2577-$AL2577))</f>
        <v>2887.06485492098</v>
      </c>
      <c r="AO2577" s="10">
        <f>100000000/($AM2577-$AL2577)</f>
        <v>2887.9114912886153</v>
      </c>
      <c r="AP2577" s="12">
        <v>15100000</v>
      </c>
      <c r="AQ2577" s="3">
        <v>2.9000000000000001E-2</v>
      </c>
      <c r="AR2577" s="3"/>
      <c r="AS2577" s="13">
        <f>EXP(AR$4341*$AM2577+AR$4342)*$AP2577/(100000000/($AM2577-$AL2577))</f>
        <v>2.8166369828777764</v>
      </c>
      <c r="AT2577" s="3"/>
      <c r="AU2577" s="16" cm="1">
        <f t="array" ref="AU2577">$C2577*EXP(poly_from_str(100000000/$E2577,AU$4342))</f>
        <v>3.0525127210564778</v>
      </c>
    </row>
    <row r="2578" spans="1:48" x14ac:dyDescent="0.25">
      <c r="A2578">
        <v>2886.8560000000002</v>
      </c>
      <c r="B2578" s="2" t="str">
        <f t="shared" si="1816"/>
        <v/>
      </c>
      <c r="C2578">
        <v>4</v>
      </c>
      <c r="D2578" t="s">
        <v>1156</v>
      </c>
      <c r="E2578">
        <v>34629.599999999999</v>
      </c>
      <c r="R2578">
        <v>25</v>
      </c>
      <c r="S2578" t="s">
        <v>22</v>
      </c>
      <c r="AA2578" s="10">
        <f t="shared" si="1817"/>
        <v>2886.8560000000002</v>
      </c>
      <c r="AB2578" s="3">
        <f t="shared" si="1818"/>
        <v>34629.599999999999</v>
      </c>
      <c r="AC2578" s="3" cm="1">
        <f t="array" ref="AC2578">100000000/LvacE(AA2578)</f>
        <v>34629.605092518264</v>
      </c>
      <c r="AD2578" s="10">
        <f t="shared" si="1819"/>
        <v>1.0997806106802392E-2</v>
      </c>
      <c r="AE2578" s="10" t="b">
        <f t="shared" si="1820"/>
        <v>1</v>
      </c>
      <c r="AP2578"/>
      <c r="AQ2578"/>
      <c r="AU2578" s="16" cm="1">
        <f t="array" ref="AU2578">$C2578*EXP(poly_from_str(100000000/$E2578,AU$4342))</f>
        <v>6.1013177411536414</v>
      </c>
    </row>
    <row r="2579" spans="1:48" x14ac:dyDescent="0.25">
      <c r="A2579">
        <v>2886.2779999999998</v>
      </c>
      <c r="B2579" s="2" t="str">
        <f t="shared" si="1816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1817"/>
        <v>2886.2779999999998</v>
      </c>
      <c r="AB2579" s="3">
        <f t="shared" si="1818"/>
        <v>34636.54</v>
      </c>
      <c r="AC2579" s="3" cm="1">
        <f t="array" ref="AC2579">100000000/LvacE(AA2579)</f>
        <v>34636.539620734868</v>
      </c>
      <c r="AD2579" s="10">
        <f t="shared" si="1819"/>
        <v>1.100020850741593E-2</v>
      </c>
      <c r="AE2579" s="10" t="b">
        <f t="shared" si="1820"/>
        <v>1</v>
      </c>
      <c r="AJ2579" t="s">
        <v>4718</v>
      </c>
      <c r="AK2579" t="s">
        <v>4892</v>
      </c>
      <c r="AL2579">
        <v>27604.26</v>
      </c>
      <c r="AM2579">
        <v>62240.83</v>
      </c>
      <c r="AN2579" s="10" cm="1">
        <f t="array" ref="AN2579">Lair(100000000/($AM2579-$AL2579))</f>
        <v>2886.2754643580279</v>
      </c>
      <c r="AO2579" s="10">
        <f>100000000/($AM2579-$AL2579)</f>
        <v>2887.1219061240758</v>
      </c>
      <c r="AP2579" s="12">
        <v>3480000</v>
      </c>
      <c r="AQ2579" s="3">
        <v>5.6000000000000001E-2</v>
      </c>
      <c r="AR2579" s="3">
        <f>LN(AU2579*100000000/($AM2579-$AL2579)/AP2579)</f>
        <v>-5.0644922480588059</v>
      </c>
      <c r="AS2579" s="13">
        <f>EXP(AR$4341*$AM2579+AR$4342)*$AP2579/(100000000/($AM2579-$AL2579))</f>
        <v>0.99777277926174479</v>
      </c>
      <c r="AT2579" s="3">
        <f>LN(AS2579/$C2579)</f>
        <v>-1.6116676171173452</v>
      </c>
      <c r="AU2579" s="16" cm="1">
        <f t="array" ref="AU2579">$C2579*EXP(poly_from_str(100000000/$E2579,AU$4342))</f>
        <v>7.61435437200777</v>
      </c>
      <c r="AV2579" s="13">
        <f>LN(AS2579/AU2579)</f>
        <v>-2.0322649037206988</v>
      </c>
    </row>
    <row r="2580" spans="1:48" x14ac:dyDescent="0.25">
      <c r="A2580">
        <v>2885.0390000000002</v>
      </c>
      <c r="B2580" s="2" t="str">
        <f t="shared" si="1816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1817"/>
        <v>2885.0390000000002</v>
      </c>
      <c r="AB2580" s="3">
        <f t="shared" si="1818"/>
        <v>34651.410000000003</v>
      </c>
      <c r="AC2580" s="3" cm="1">
        <f t="array" ref="AC2580">100000000/LvacE(AA2580)</f>
        <v>34651.413826933967</v>
      </c>
      <c r="AD2580" s="10">
        <f t="shared" si="1819"/>
        <v>1.1005363155737923E-2</v>
      </c>
      <c r="AE2580" s="10" t="b">
        <f t="shared" si="1820"/>
        <v>1</v>
      </c>
      <c r="AP2580"/>
      <c r="AQ2580"/>
      <c r="AU2580" s="16" cm="1">
        <f t="array" ref="AU2580">$C2580*EXP(poly_from_str(100000000/$E2580,AU$4342))</f>
        <v>0</v>
      </c>
    </row>
    <row r="2581" spans="1:48" x14ac:dyDescent="0.25">
      <c r="A2581">
        <v>2885.0010000000002</v>
      </c>
      <c r="B2581" s="2" t="str">
        <f t="shared" si="1816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1828">$G2581&amp;""</f>
        <v>e</v>
      </c>
      <c r="N2581" t="str">
        <f t="shared" ref="N2581:N2582" si="1829">$H2581&amp;""</f>
        <v>7/2</v>
      </c>
      <c r="O2581">
        <v>73378.42</v>
      </c>
      <c r="P2581" t="str">
        <f t="shared" ref="P2581:P2582" si="1830">$J2581&amp;""</f>
        <v>o</v>
      </c>
      <c r="Q2581" t="str">
        <f t="shared" ref="Q2581:Q2582" si="1831">$K2581&amp;""</f>
        <v>7/2</v>
      </c>
      <c r="R2581">
        <v>25</v>
      </c>
      <c r="AA2581" s="10">
        <f t="shared" si="1817"/>
        <v>2885.0010000000002</v>
      </c>
      <c r="AB2581" s="3">
        <f t="shared" si="1818"/>
        <v>34651.870000000003</v>
      </c>
      <c r="AC2581" s="3" cm="1">
        <f t="array" ref="AC2581">100000000/LvacE(AA2581)</f>
        <v>34651.870219186043</v>
      </c>
      <c r="AD2581" s="10">
        <f t="shared" si="1819"/>
        <v>1.1005521353231081E-2</v>
      </c>
      <c r="AE2581" s="10" t="b">
        <f t="shared" si="1820"/>
        <v>1</v>
      </c>
      <c r="AJ2581" t="s">
        <v>4750</v>
      </c>
      <c r="AK2581" t="s">
        <v>4919</v>
      </c>
      <c r="AL2581">
        <v>38726.5</v>
      </c>
      <c r="AM2581">
        <v>73378.42</v>
      </c>
      <c r="AN2581" s="10" cm="1">
        <f t="array" ref="AN2581">Lair(100000000/($AM2581-$AL2581))</f>
        <v>2884.9968512264409</v>
      </c>
      <c r="AO2581" s="10">
        <f t="shared" ref="AO2581:AO2582" si="1832">100000000/($AM2581-$AL2581)</f>
        <v>2885.8429778205655</v>
      </c>
      <c r="AP2581" s="12">
        <v>67000000</v>
      </c>
      <c r="AQ2581" s="3">
        <v>0.252</v>
      </c>
      <c r="AR2581" s="3">
        <f>LN(AU2581*100000000/($AM2581-$AL2581)/AP2581)</f>
        <v>-7.8438576030454676</v>
      </c>
      <c r="AS2581" s="13">
        <f t="shared" ref="AS2581:AS2582" si="1833">EXP(AR$4341*$AM2581+AR$4342)*$AP2581/(100000000/($AM2581-$AL2581))</f>
        <v>8.3314178647376185</v>
      </c>
      <c r="AT2581" s="3">
        <f t="shared" ref="AT2581" si="1834">LN(AS2581/$C2581)</f>
        <v>0.32827418431955796</v>
      </c>
      <c r="AU2581" s="16" cm="1">
        <f t="array" ref="AU2581">$C2581*EXP(poly_from_str(100000000/$E2581,AU$4342))</f>
        <v>9.104540496049875</v>
      </c>
      <c r="AV2581" s="13">
        <f>LN(AS2581/AU2581)</f>
        <v>-8.8739591148108116E-2</v>
      </c>
    </row>
    <row r="2582" spans="1:48" x14ac:dyDescent="0.25">
      <c r="A2582">
        <v>2883.3510000000001</v>
      </c>
      <c r="B2582" s="2" t="str">
        <f t="shared" si="1816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1828"/>
        <v>e</v>
      </c>
      <c r="N2582" t="str">
        <f t="shared" si="1829"/>
        <v>5/2</v>
      </c>
      <c r="O2582">
        <v>68331.73</v>
      </c>
      <c r="P2582" t="str">
        <f t="shared" si="1830"/>
        <v>o</v>
      </c>
      <c r="Q2582" t="str">
        <f t="shared" si="1831"/>
        <v>7/2</v>
      </c>
      <c r="R2582">
        <v>25</v>
      </c>
      <c r="AA2582" s="10">
        <f t="shared" si="1817"/>
        <v>2883.3510000000001</v>
      </c>
      <c r="AB2582" s="3">
        <f t="shared" si="1818"/>
        <v>34671.699999999997</v>
      </c>
      <c r="AC2582" s="3" cm="1">
        <f t="array" ref="AC2582">100000000/LvacE(AA2582)</f>
        <v>34671.698851699592</v>
      </c>
      <c r="AD2582" s="10">
        <f t="shared" si="1819"/>
        <v>1.1012396487923182E-2</v>
      </c>
      <c r="AE2582" s="10" t="b">
        <f t="shared" si="1820"/>
        <v>1</v>
      </c>
      <c r="AJ2582" t="s">
        <v>4895</v>
      </c>
      <c r="AK2582" t="s">
        <v>4923</v>
      </c>
      <c r="AL2582">
        <v>33659.99</v>
      </c>
      <c r="AM2582">
        <v>68331.75</v>
      </c>
      <c r="AN2582" s="10" cm="1">
        <f t="array" ref="AN2582">Lair(100000000/($AM2582-$AL2582))</f>
        <v>2883.3459106000414</v>
      </c>
      <c r="AO2582" s="10">
        <f t="shared" si="1832"/>
        <v>2884.1916303066241</v>
      </c>
      <c r="AP2582" s="12">
        <v>8320000</v>
      </c>
      <c r="AQ2582" s="3">
        <v>1.4E-2</v>
      </c>
      <c r="AR2582" s="3"/>
      <c r="AS2582" s="13">
        <f t="shared" si="1833"/>
        <v>1.5118165002054342</v>
      </c>
      <c r="AT2582" s="3"/>
      <c r="AU2582" s="16" cm="1">
        <f t="array" ref="AU2582">$C2582*EXP(poly_from_str(100000000/$E2582,AU$4342))</f>
        <v>9.0620607303174516</v>
      </c>
    </row>
    <row r="2583" spans="1:48" x14ac:dyDescent="0.25">
      <c r="A2583">
        <v>2883.306</v>
      </c>
      <c r="B2583" s="2" t="str">
        <f t="shared" si="1816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1817"/>
        <v>2883.306</v>
      </c>
      <c r="AB2583" s="3">
        <f t="shared" si="1818"/>
        <v>34672.239999999998</v>
      </c>
      <c r="AC2583" s="3" cm="1">
        <f t="array" ref="AC2583">100000000/LvacE(AA2583)</f>
        <v>34672.23995046693</v>
      </c>
      <c r="AD2583" s="10">
        <f t="shared" si="1819"/>
        <v>1.1012584156948124E-2</v>
      </c>
      <c r="AE2583" s="10" t="b">
        <f t="shared" si="1820"/>
        <v>1</v>
      </c>
      <c r="AP2583"/>
      <c r="AQ2583"/>
      <c r="AU2583" s="16" cm="1">
        <f t="array" ref="AU2583">$C2583*EXP(poly_from_str(100000000/$E2583,AU$4342))</f>
        <v>0</v>
      </c>
    </row>
    <row r="2584" spans="1:48" x14ac:dyDescent="0.25">
      <c r="A2584">
        <v>2883.2669999999998</v>
      </c>
      <c r="B2584" s="2" t="str">
        <f t="shared" si="1816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1817"/>
        <v>2883.2669999999998</v>
      </c>
      <c r="AB2584" s="3">
        <f t="shared" si="1818"/>
        <v>34672.71</v>
      </c>
      <c r="AC2584" s="3" cm="1">
        <f t="array" ref="AC2584">100000000/LvacE(AA2584)</f>
        <v>34672.708916393101</v>
      </c>
      <c r="AD2584" s="10">
        <f t="shared" si="1819"/>
        <v>1.1012746810543926E-2</v>
      </c>
      <c r="AE2584" s="10" t="b">
        <f t="shared" si="1820"/>
        <v>1</v>
      </c>
      <c r="AP2584"/>
      <c r="AQ2584"/>
      <c r="AU2584" s="16" cm="1">
        <f t="array" ref="AU2584">$C2584*EXP(poly_from_str(100000000/$E2584,AU$4342))</f>
        <v>0</v>
      </c>
    </row>
    <row r="2585" spans="1:48" x14ac:dyDescent="0.25">
      <c r="A2585">
        <v>2882.6179999999999</v>
      </c>
      <c r="B2585" s="2" t="str">
        <f t="shared" si="1816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1835">$G2585&amp;""</f>
        <v>e</v>
      </c>
      <c r="N2585" t="str">
        <f t="shared" ref="N2585:N2587" si="1836">$H2585&amp;""</f>
        <v>7/2</v>
      </c>
      <c r="O2585">
        <v>65935.25</v>
      </c>
      <c r="P2585" t="str">
        <f t="shared" ref="P2585:P2587" si="1837">$J2585&amp;""</f>
        <v>o</v>
      </c>
      <c r="Q2585" t="str">
        <f t="shared" ref="Q2585:Q2587" si="1838">$K2585&amp;""</f>
        <v>7/2</v>
      </c>
      <c r="R2585">
        <v>25</v>
      </c>
      <c r="AA2585" s="10">
        <f t="shared" si="1817"/>
        <v>2882.6179999999999</v>
      </c>
      <c r="AB2585" s="3">
        <f t="shared" si="1818"/>
        <v>34680.51</v>
      </c>
      <c r="AC2585" s="3" cm="1">
        <f t="array" ref="AC2585">100000000/LvacE(AA2585)</f>
        <v>34680.514852852953</v>
      </c>
      <c r="AD2585" s="10">
        <f t="shared" si="1819"/>
        <v>1.101545450227067E-2</v>
      </c>
      <c r="AE2585" s="10" t="b">
        <f t="shared" si="1820"/>
        <v>1</v>
      </c>
      <c r="AJ2585" t="s">
        <v>4735</v>
      </c>
      <c r="AK2585" t="s">
        <v>4858</v>
      </c>
      <c r="AL2585">
        <v>31254.71</v>
      </c>
      <c r="AM2585">
        <v>65935.25</v>
      </c>
      <c r="AN2585" s="10" cm="1">
        <f t="array" ref="AN2585">Lair(100000000/($AM2585-$AL2585))</f>
        <v>2882.6159057122554</v>
      </c>
      <c r="AO2585" s="10">
        <f t="shared" ref="AO2585:AO2587" si="1839">100000000/($AM2585-$AL2585)</f>
        <v>2883.4614455253582</v>
      </c>
      <c r="AP2585" s="12">
        <v>31600000</v>
      </c>
      <c r="AQ2585" s="3">
        <v>6.2E-2</v>
      </c>
      <c r="AR2585" s="3">
        <f t="shared" ref="AR2585:AR2587" si="1840">LN(AU2585*100000000/($AM2585-$AL2585)/AP2585)</f>
        <v>-6.812234984283922</v>
      </c>
      <c r="AS2585" s="13">
        <f t="shared" ref="AS2585:AS2587" si="1841">EXP(AR$4341*$AM2585+AR$4342)*$AP2585/(100000000/($AM2585-$AL2585))</f>
        <v>6.8751229971209202</v>
      </c>
      <c r="AT2585" s="3">
        <f t="shared" ref="AT2585:AT2587" si="1842">LN(AS2585/$C2585)</f>
        <v>-0.15153200779691819</v>
      </c>
      <c r="AU2585" s="16" cm="1">
        <f t="array" ref="AU2585">$C2585*EXP(poly_from_str(100000000/$E2585,AU$4342))</f>
        <v>12.057488895859944</v>
      </c>
      <c r="AV2585" s="13">
        <f t="shared" ref="AV2585:AV2587" si="1843">LN(AS2585/AU2585)</f>
        <v>-0.56177641814544343</v>
      </c>
    </row>
    <row r="2586" spans="1:48" x14ac:dyDescent="0.25">
      <c r="A2586">
        <v>2882.4659999999999</v>
      </c>
      <c r="B2586" s="2" t="str">
        <f t="shared" si="1816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1835"/>
        <v>e</v>
      </c>
      <c r="N2586" t="str">
        <f t="shared" si="1836"/>
        <v>11/2</v>
      </c>
      <c r="O2586">
        <v>62062.63</v>
      </c>
      <c r="P2586" t="str">
        <f t="shared" si="1837"/>
        <v>o</v>
      </c>
      <c r="Q2586" t="str">
        <f t="shared" si="1838"/>
        <v>9/2</v>
      </c>
      <c r="R2586">
        <v>25</v>
      </c>
      <c r="AA2586" s="10">
        <f t="shared" si="1817"/>
        <v>2882.4659999999999</v>
      </c>
      <c r="AB2586" s="3">
        <f t="shared" si="1818"/>
        <v>34682.339999999997</v>
      </c>
      <c r="AC2586" s="3" cm="1">
        <f t="array" ref="AC2586">100000000/LvacE(AA2586)</f>
        <v>34682.343561678819</v>
      </c>
      <c r="AD2586" s="10">
        <f t="shared" si="1819"/>
        <v>1.1016088925537858E-2</v>
      </c>
      <c r="AE2586" s="10" t="b">
        <f t="shared" si="1820"/>
        <v>1</v>
      </c>
      <c r="AJ2586" t="s">
        <v>4712</v>
      </c>
      <c r="AK2586" t="s">
        <v>4848</v>
      </c>
      <c r="AL2586">
        <v>27380.31</v>
      </c>
      <c r="AM2586">
        <v>62062.63</v>
      </c>
      <c r="AN2586" s="10" cm="1">
        <f t="array" ref="AN2586">Lair(100000000/($AM2586-$AL2586))</f>
        <v>2882.467954337139</v>
      </c>
      <c r="AO2586" s="10">
        <f t="shared" si="1839"/>
        <v>2883.3134576925654</v>
      </c>
      <c r="AP2586" s="12">
        <v>13700000</v>
      </c>
      <c r="AQ2586" s="3">
        <v>0.05</v>
      </c>
      <c r="AR2586" s="3">
        <f t="shared" si="1840"/>
        <v>-6.1104922501586012</v>
      </c>
      <c r="AS2586" s="13">
        <f t="shared" si="1841"/>
        <v>3.9861551855395216</v>
      </c>
      <c r="AT2586" s="3">
        <f t="shared" si="1842"/>
        <v>-0.56308299537341377</v>
      </c>
      <c r="AU2586" s="16" cm="1">
        <f t="array" ref="AU2586">$C2586*EXP(poly_from_str(100000000/$E2586,AU$4342))</f>
        <v>10.545705576486718</v>
      </c>
      <c r="AV2586" s="13">
        <f t="shared" si="1843"/>
        <v>-0.97289156900961193</v>
      </c>
    </row>
    <row r="2587" spans="1:48" x14ac:dyDescent="0.25">
      <c r="A2587">
        <v>2882.0810000000001</v>
      </c>
      <c r="B2587" s="2" t="str">
        <f t="shared" si="1816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1835"/>
        <v>e</v>
      </c>
      <c r="N2587" t="str">
        <f t="shared" si="1836"/>
        <v>9/2</v>
      </c>
      <c r="O2587">
        <v>69978.080000000002</v>
      </c>
      <c r="P2587" t="str">
        <f t="shared" si="1837"/>
        <v>o</v>
      </c>
      <c r="Q2587" t="str">
        <f t="shared" si="1838"/>
        <v>11/2</v>
      </c>
      <c r="R2587">
        <v>25</v>
      </c>
      <c r="AA2587" s="10">
        <f t="shared" si="1817"/>
        <v>2882.0810000000001</v>
      </c>
      <c r="AB2587" s="3">
        <f t="shared" si="1818"/>
        <v>34686.980000000003</v>
      </c>
      <c r="AC2587" s="3" cm="1">
        <f t="array" ref="AC2587">100000000/LvacE(AA2587)</f>
        <v>34686.976351604673</v>
      </c>
      <c r="AD2587" s="10">
        <f t="shared" si="1819"/>
        <v>1.1017696302013141E-2</v>
      </c>
      <c r="AE2587" s="10" t="b">
        <f t="shared" si="1820"/>
        <v>1</v>
      </c>
      <c r="AJ2587" t="s">
        <v>4807</v>
      </c>
      <c r="AK2587" t="s">
        <v>4941</v>
      </c>
      <c r="AL2587">
        <v>35291</v>
      </c>
      <c r="AM2587">
        <v>69978.080000000002</v>
      </c>
      <c r="AN2587" s="10" cm="1">
        <f t="array" ref="AN2587">Lair(100000000/($AM2587-$AL2587))</f>
        <v>2882.072383680164</v>
      </c>
      <c r="AO2587" s="10">
        <f t="shared" si="1839"/>
        <v>2882.9177895631456</v>
      </c>
      <c r="AP2587" s="12">
        <v>209000000</v>
      </c>
      <c r="AQ2587" s="3">
        <v>0.38800000000000001</v>
      </c>
      <c r="AR2587" s="3">
        <f t="shared" si="1840"/>
        <v>-8.8366747516131063</v>
      </c>
      <c r="AS2587" s="13">
        <f t="shared" si="1841"/>
        <v>33.578095461703164</v>
      </c>
      <c r="AT2587" s="3">
        <f t="shared" si="1842"/>
        <v>1.5679637845384471</v>
      </c>
      <c r="AU2587" s="16" cm="1">
        <f t="array" ref="AU2587">$C2587*EXP(poly_from_str(100000000/$E2587,AU$4342))</f>
        <v>10.534039561667862</v>
      </c>
      <c r="AV2587" s="13">
        <f t="shared" si="1843"/>
        <v>1.1592620569227685</v>
      </c>
    </row>
    <row r="2588" spans="1:48" x14ac:dyDescent="0.25">
      <c r="A2588">
        <v>2882.0360000000001</v>
      </c>
      <c r="B2588" s="2" t="str">
        <f t="shared" si="1816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1817"/>
        <v>2882.0360000000001</v>
      </c>
      <c r="AB2588" s="3">
        <f t="shared" si="1818"/>
        <v>34687.519999999997</v>
      </c>
      <c r="AC2588" s="3" cm="1">
        <f t="array" ref="AC2588">100000000/LvacE(AA2588)</f>
        <v>34687.517927315399</v>
      </c>
      <c r="AD2588" s="10">
        <f t="shared" si="1819"/>
        <v>1.1017884219231716E-2</v>
      </c>
      <c r="AE2588" s="10" t="b">
        <f t="shared" si="1820"/>
        <v>1</v>
      </c>
      <c r="AP2588"/>
      <c r="AQ2588"/>
      <c r="AU2588" s="16" cm="1">
        <f t="array" ref="AU2588">$C2588*EXP(poly_from_str(100000000/$E2588,AU$4342))</f>
        <v>0</v>
      </c>
    </row>
    <row r="2589" spans="1:48" x14ac:dyDescent="0.25">
      <c r="A2589">
        <v>2881.9989999999998</v>
      </c>
      <c r="B2589" s="2" t="str">
        <f t="shared" si="1816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1817"/>
        <v>2881.9989999999998</v>
      </c>
      <c r="AB2589" s="3">
        <f t="shared" si="1818"/>
        <v>34687.96</v>
      </c>
      <c r="AC2589" s="3" cm="1">
        <f t="array" ref="AC2589">100000000/LvacE(AA2589)</f>
        <v>34687.963235568481</v>
      </c>
      <c r="AD2589" s="10">
        <f t="shared" si="1819"/>
        <v>1.1018038735538853E-2</v>
      </c>
      <c r="AE2589" s="10" t="b">
        <f t="shared" si="1820"/>
        <v>1</v>
      </c>
      <c r="AP2589"/>
      <c r="AQ2589"/>
      <c r="AU2589" s="16" cm="1">
        <f t="array" ref="AU2589">$C2589*EXP(poly_from_str(100000000/$E2589,AU$4342))</f>
        <v>0</v>
      </c>
    </row>
    <row r="2590" spans="1:48" x14ac:dyDescent="0.25">
      <c r="A2590">
        <v>2881.9690000000001</v>
      </c>
      <c r="B2590" s="2" t="str">
        <f t="shared" si="1816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1817"/>
        <v>2881.9690000000001</v>
      </c>
      <c r="AB2590" s="3">
        <f t="shared" si="1818"/>
        <v>34688.32</v>
      </c>
      <c r="AC2590" s="3" cm="1">
        <f t="array" ref="AC2590">100000000/LvacE(AA2590)</f>
        <v>34688.32430470745</v>
      </c>
      <c r="AD2590" s="10">
        <f t="shared" si="1819"/>
        <v>1.101816402339988E-2</v>
      </c>
      <c r="AE2590" s="10" t="b">
        <f t="shared" si="1820"/>
        <v>1</v>
      </c>
      <c r="AP2590"/>
      <c r="AQ2590"/>
      <c r="AU2590" s="16" cm="1">
        <f t="array" ref="AU2590">$C2590*EXP(poly_from_str(100000000/$E2590,AU$4342))</f>
        <v>0</v>
      </c>
    </row>
    <row r="2591" spans="1:48" x14ac:dyDescent="0.25">
      <c r="A2591">
        <v>2880.9740000000002</v>
      </c>
      <c r="B2591" s="2" t="str">
        <f t="shared" si="1816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1817"/>
        <v>2880.9740000000002</v>
      </c>
      <c r="AB2591" s="3">
        <f t="shared" si="1818"/>
        <v>34700.300000000003</v>
      </c>
      <c r="AC2591" s="3" cm="1">
        <f t="array" ref="AC2591">100000000/LvacE(AA2591)</f>
        <v>34700.304024785342</v>
      </c>
      <c r="AD2591" s="10">
        <f t="shared" si="1819"/>
        <v>1.1022321621921153E-2</v>
      </c>
      <c r="AE2591" s="10" t="b">
        <f t="shared" si="1820"/>
        <v>1</v>
      </c>
      <c r="AP2591"/>
      <c r="AQ2591"/>
      <c r="AU2591" s="16" cm="1">
        <f t="array" ref="AU2591">$C2591*EXP(poly_from_str(100000000/$E2591,AU$4342))</f>
        <v>6.0002704867083603</v>
      </c>
    </row>
    <row r="2592" spans="1:48" x14ac:dyDescent="0.25">
      <c r="A2592">
        <v>2880.7289999999998</v>
      </c>
      <c r="B2592" s="2" t="str">
        <f t="shared" si="1816"/>
        <v/>
      </c>
      <c r="C2592">
        <v>1</v>
      </c>
      <c r="D2592" t="s">
        <v>1156</v>
      </c>
      <c r="E2592">
        <v>34703.25</v>
      </c>
      <c r="R2592">
        <v>25</v>
      </c>
      <c r="S2592" t="s">
        <v>22</v>
      </c>
      <c r="AA2592" s="10">
        <f t="shared" si="1817"/>
        <v>2880.7289999999998</v>
      </c>
      <c r="AB2592" s="3">
        <f t="shared" si="1818"/>
        <v>34703.25</v>
      </c>
      <c r="AC2592" s="3" cm="1">
        <f t="array" ref="AC2592">100000000/LvacE(AA2592)</f>
        <v>34703.255074722634</v>
      </c>
      <c r="AD2592" s="10">
        <f t="shared" si="1819"/>
        <v>1.1023346013235302E-2</v>
      </c>
      <c r="AE2592" s="10" t="b">
        <f t="shared" si="1820"/>
        <v>1</v>
      </c>
      <c r="AP2592"/>
      <c r="AQ2592"/>
      <c r="AU2592" s="16" cm="1">
        <f t="array" ref="AU2592">$C2592*EXP(poly_from_str(100000000/$E2592,AU$4342))</f>
        <v>1.4990034491187605</v>
      </c>
    </row>
    <row r="2593" spans="1:48" x14ac:dyDescent="0.25">
      <c r="A2593">
        <v>2880.3150000000001</v>
      </c>
      <c r="B2593" s="2" t="str">
        <f t="shared" si="1816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1817"/>
        <v>2880.3150000000001</v>
      </c>
      <c r="AB2593" s="3">
        <f t="shared" si="1818"/>
        <v>34708.239999999998</v>
      </c>
      <c r="AC2593" s="3" cm="1">
        <f t="array" ref="AC2593">100000000/LvacE(AA2593)</f>
        <v>34708.242887688742</v>
      </c>
      <c r="AD2593" s="10">
        <f t="shared" si="1819"/>
        <v>1.1025077619581321E-2</v>
      </c>
      <c r="AE2593" s="10" t="b">
        <f t="shared" si="1820"/>
        <v>1</v>
      </c>
      <c r="AJ2593" t="s">
        <v>4742</v>
      </c>
      <c r="AK2593" t="s">
        <v>4840</v>
      </c>
      <c r="AL2593">
        <v>28885.14</v>
      </c>
      <c r="AM2593">
        <v>63593.35</v>
      </c>
      <c r="AN2593" s="10" cm="1">
        <f t="array" ref="AN2593">Lair(100000000/($AM2593-$AL2593))</f>
        <v>2880.3177254032571</v>
      </c>
      <c r="AO2593" s="10">
        <f>100000000/($AM2593-$AL2593)</f>
        <v>2881.1626989694946</v>
      </c>
      <c r="AP2593" s="12">
        <v>1820000</v>
      </c>
      <c r="AQ2593" s="3">
        <v>1E-3</v>
      </c>
      <c r="AR2593" s="3"/>
      <c r="AS2593" s="13">
        <f>EXP(AR$4341*$AM2593+AR$4342)*$AP2593/(100000000/($AM2593-$AL2593))</f>
        <v>0.47243195973249724</v>
      </c>
      <c r="AT2593" s="3"/>
      <c r="AU2593" s="16" cm="1">
        <f t="array" ref="AU2593">$C2593*EXP(poly_from_str(100000000/$E2593,AU$4342))</f>
        <v>5.9888063697323597</v>
      </c>
    </row>
    <row r="2594" spans="1:48" x14ac:dyDescent="0.25">
      <c r="A2594">
        <v>2880.2829999999999</v>
      </c>
      <c r="B2594" s="2" t="str">
        <f t="shared" si="1816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1817"/>
        <v>2880.2829999999999</v>
      </c>
      <c r="AB2594" s="3">
        <f t="shared" si="1818"/>
        <v>34708.629999999997</v>
      </c>
      <c r="AC2594" s="3" cm="1">
        <f t="array" ref="AC2594">100000000/LvacE(AA2594)</f>
        <v>34708.628478818697</v>
      </c>
      <c r="AD2594" s="10">
        <f t="shared" si="1819"/>
        <v>1.1025211494637628E-2</v>
      </c>
      <c r="AE2594" s="10" t="b">
        <f t="shared" si="1820"/>
        <v>1</v>
      </c>
      <c r="AP2594"/>
      <c r="AQ2594"/>
      <c r="AU2594" s="16" cm="1">
        <f t="array" ref="AU2594">$C2594*EXP(poly_from_str(100000000/$E2594,AU$4342))</f>
        <v>0</v>
      </c>
    </row>
    <row r="2595" spans="1:48" x14ac:dyDescent="0.25">
      <c r="A2595">
        <v>2879.703</v>
      </c>
      <c r="B2595" s="2" t="str">
        <f t="shared" si="1816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1817"/>
        <v>2879.703</v>
      </c>
      <c r="AB2595" s="3">
        <f t="shared" si="1818"/>
        <v>34715.620000000003</v>
      </c>
      <c r="AC2595" s="3" cm="1">
        <f t="array" ref="AC2595">100000000/LvacE(AA2595)</f>
        <v>34715.618803206104</v>
      </c>
      <c r="AD2595" s="10">
        <f t="shared" si="1819"/>
        <v>1.1027638753580857E-2</v>
      </c>
      <c r="AE2595" s="10" t="b">
        <f t="shared" si="1820"/>
        <v>1</v>
      </c>
      <c r="AJ2595" t="s">
        <v>4806</v>
      </c>
      <c r="AK2595" t="s">
        <v>4917</v>
      </c>
      <c r="AL2595">
        <v>44679.98</v>
      </c>
      <c r="AM2595">
        <v>79395.55</v>
      </c>
      <c r="AN2595" s="10" cm="1">
        <f t="array" ref="AN2595">Lair(100000000/($AM2595-$AL2595))</f>
        <v>2879.7070445253053</v>
      </c>
      <c r="AO2595" s="10">
        <f>100000000/($AM2595-$AL2595)</f>
        <v>2880.5518676490119</v>
      </c>
      <c r="AP2595" s="12">
        <v>143000000</v>
      </c>
      <c r="AQ2595" s="3">
        <v>0.45100000000000001</v>
      </c>
      <c r="AR2595" s="3">
        <f>LN(AU2595*100000000/($AM2595-$AL2595)/AP2595)</f>
        <v>-8.3313629254746111</v>
      </c>
      <c r="AS2595" s="13">
        <f>EXP(AR$4341*$AM2595+AR$4342)*$AP2595/(100000000/($AM2595-$AL2595))</f>
        <v>11.341342848299755</v>
      </c>
      <c r="AT2595" s="3">
        <f>LN(AS2595/$C2595)</f>
        <v>0.34901316656668596</v>
      </c>
      <c r="AU2595" s="16" cm="1">
        <f t="array" ref="AU2595">$C2595*EXP(poly_from_str(100000000/$E2595,AU$4342))</f>
        <v>11.956261155887027</v>
      </c>
      <c r="AV2595" s="13">
        <f>LN(AS2595/AU2595)</f>
        <v>-5.280037901849878E-2</v>
      </c>
    </row>
    <row r="2596" spans="1:48" x14ac:dyDescent="0.25">
      <c r="A2596">
        <v>2878.2269999999999</v>
      </c>
      <c r="B2596" s="2" t="str">
        <f t="shared" si="1816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1817"/>
        <v>2878.2269999999999</v>
      </c>
      <c r="AB2596" s="3">
        <f t="shared" si="1818"/>
        <v>34733.42</v>
      </c>
      <c r="AC2596" s="3" cm="1">
        <f t="array" ref="AC2596">100000000/LvacE(AA2596)</f>
        <v>34733.420679791525</v>
      </c>
      <c r="AD2596" s="10">
        <f t="shared" si="1819"/>
        <v>1.1033822328779407E-2</v>
      </c>
      <c r="AE2596" s="10" t="b">
        <f t="shared" si="1820"/>
        <v>1</v>
      </c>
      <c r="AP2596"/>
      <c r="AQ2596"/>
      <c r="AU2596" s="16" cm="1">
        <f t="array" ref="AU2596">$C2596*EXP(poly_from_str(100000000/$E2596,AU$4342))</f>
        <v>1.4880755913195796</v>
      </c>
    </row>
    <row r="2597" spans="1:48" x14ac:dyDescent="0.25">
      <c r="A2597">
        <v>2876.3249999999998</v>
      </c>
      <c r="B2597" s="2" t="str">
        <f t="shared" si="1816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1844">$G2597&amp;""</f>
        <v>e</v>
      </c>
      <c r="N2597" t="str">
        <f t="shared" ref="N2597:N2598" si="1845">$H2597&amp;""</f>
        <v>7/2</v>
      </c>
      <c r="O2597">
        <v>60166.2</v>
      </c>
      <c r="P2597" t="str">
        <f t="shared" ref="P2597:P2598" si="1846">$J2597&amp;""</f>
        <v>o</v>
      </c>
      <c r="Q2597" t="str">
        <f t="shared" ref="Q2597:Q2598" si="1847">$K2597&amp;""</f>
        <v>9/2</v>
      </c>
      <c r="R2597">
        <v>25</v>
      </c>
      <c r="AA2597" s="10">
        <f t="shared" si="1817"/>
        <v>2876.3249999999998</v>
      </c>
      <c r="AB2597" s="3">
        <f t="shared" si="1818"/>
        <v>34756.39</v>
      </c>
      <c r="AC2597" s="3" cm="1">
        <f t="array" ref="AC2597">100000000/LvacE(AA2597)</f>
        <v>34756.387434973905</v>
      </c>
      <c r="AD2597" s="10">
        <f t="shared" si="1819"/>
        <v>1.1041804635250521E-2</v>
      </c>
      <c r="AE2597" s="10" t="b">
        <f t="shared" si="1820"/>
        <v>1</v>
      </c>
      <c r="AJ2597" t="s">
        <v>4720</v>
      </c>
      <c r="AK2597" t="s">
        <v>4726</v>
      </c>
      <c r="AL2597">
        <v>25409.74</v>
      </c>
      <c r="AM2597">
        <v>60166.2</v>
      </c>
      <c r="AN2597" s="10" cm="1">
        <f t="array" ref="AN2597">Lair(100000000/($AM2597-$AL2597))</f>
        <v>2876.3189905558893</v>
      </c>
      <c r="AO2597" s="10">
        <f t="shared" ref="AO2597:AO2598" si="1848">100000000/($AM2597-$AL2597)</f>
        <v>2877.1629791986879</v>
      </c>
      <c r="AP2597" s="12">
        <v>11300000</v>
      </c>
      <c r="AQ2597" s="3">
        <v>0.124</v>
      </c>
      <c r="AR2597" s="3">
        <f>LN(AU2597*100000000/($AM2597-$AL2597)/AP2597)</f>
        <v>-5.9380019292634136</v>
      </c>
      <c r="AS2597" s="13">
        <f t="shared" ref="AS2597:AS2598" si="1849">EXP(AR$4341*$AM2597+AR$4342)*$AP2597/(100000000/($AM2597-$AL2597))</f>
        <v>3.7988195753356844</v>
      </c>
      <c r="AT2597" s="3">
        <f t="shared" ref="AT2597" si="1850">LN(AS2597/$C2597)</f>
        <v>-0.61121976865052907</v>
      </c>
      <c r="AU2597" s="16" cm="1">
        <f t="array" ref="AU2597">$C2597*EXP(poly_from_str(100000000/$E2597,AU$4342))</f>
        <v>10.357918953747019</v>
      </c>
      <c r="AV2597" s="13">
        <f>LN(AS2597/AU2597)</f>
        <v>-1.0030609630583893</v>
      </c>
    </row>
    <row r="2598" spans="1:48" x14ac:dyDescent="0.25">
      <c r="A2598">
        <v>2876.2289999999998</v>
      </c>
      <c r="B2598" s="2" t="str">
        <f t="shared" si="1816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1844"/>
        <v>o</v>
      </c>
      <c r="N2598" t="str">
        <f t="shared" si="1845"/>
        <v>9/2</v>
      </c>
      <c r="O2598">
        <v>103895.83</v>
      </c>
      <c r="P2598" t="str">
        <f t="shared" si="1846"/>
        <v>e</v>
      </c>
      <c r="Q2598" t="str">
        <f t="shared" si="1847"/>
        <v>7/2</v>
      </c>
      <c r="R2598">
        <v>25</v>
      </c>
      <c r="AA2598" s="10">
        <f t="shared" si="1817"/>
        <v>2876.2289999999998</v>
      </c>
      <c r="AB2598" s="3">
        <f t="shared" si="1818"/>
        <v>34757.550000000003</v>
      </c>
      <c r="AC2598" s="3" cm="1">
        <f t="array" ref="AC2598">100000000/LvacE(AA2598)</f>
        <v>34757.547445468132</v>
      </c>
      <c r="AD2598" s="10">
        <f t="shared" si="1819"/>
        <v>1.104220794753619E-2</v>
      </c>
      <c r="AE2598" s="10" t="b">
        <f t="shared" si="1820"/>
        <v>1</v>
      </c>
      <c r="AJ2598" t="s">
        <v>4879</v>
      </c>
      <c r="AK2598" t="s">
        <v>4952</v>
      </c>
      <c r="AL2598">
        <v>69138.28</v>
      </c>
      <c r="AM2598">
        <v>103895.83</v>
      </c>
      <c r="AN2598" s="10" cm="1">
        <f t="array" ref="AN2598">Lair(100000000/($AM2598-$AL2598))</f>
        <v>2876.2287846710929</v>
      </c>
      <c r="AO2598" s="10">
        <f t="shared" si="1848"/>
        <v>2877.0727511001205</v>
      </c>
      <c r="AP2598" s="12">
        <v>427000</v>
      </c>
      <c r="AQ2598" s="3">
        <v>3.0000000000000001E-3</v>
      </c>
      <c r="AR2598" s="3"/>
      <c r="AS2598" s="13">
        <f t="shared" si="1849"/>
        <v>5.3921057514912749E-3</v>
      </c>
      <c r="AT2598" s="3"/>
      <c r="AU2598" s="16" cm="1">
        <f t="array" ref="AU2598">$C2598*EXP(poly_from_str(100000000/$E2598,AU$4342))</f>
        <v>1.4792786877196584</v>
      </c>
    </row>
    <row r="2599" spans="1:48" x14ac:dyDescent="0.25">
      <c r="A2599">
        <v>2876.0450000000001</v>
      </c>
      <c r="B2599" s="2" t="str">
        <f t="shared" si="1816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1817"/>
        <v>2876.0450000000001</v>
      </c>
      <c r="AB2599" s="3">
        <f t="shared" si="1818"/>
        <v>34759.769999999997</v>
      </c>
      <c r="AC2599" s="3" cm="1">
        <f t="array" ref="AC2599">100000000/LvacE(AA2599)</f>
        <v>34759.771015353792</v>
      </c>
      <c r="AD2599" s="10">
        <f t="shared" si="1819"/>
        <v>1.1042981075635776E-2</v>
      </c>
      <c r="AE2599" s="10" t="b">
        <f t="shared" si="1820"/>
        <v>1</v>
      </c>
      <c r="AP2599"/>
      <c r="AQ2599"/>
      <c r="AU2599" s="16" cm="1">
        <f t="array" ref="AU2599">$C2599*EXP(poly_from_str(100000000/$E2599,AU$4342))</f>
        <v>5.9138675511239382</v>
      </c>
    </row>
    <row r="2600" spans="1:48" x14ac:dyDescent="0.25">
      <c r="A2600">
        <v>2870.5740000000001</v>
      </c>
      <c r="B2600" s="2" t="str">
        <f t="shared" si="1816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1817"/>
        <v>2870.5740000000001</v>
      </c>
      <c r="AB2600" s="3">
        <f t="shared" si="1818"/>
        <v>34826.019999999997</v>
      </c>
      <c r="AC2600" s="3" cm="1">
        <f t="array" ref="AC2600">100000000/LvacE(AA2600)</f>
        <v>34826.016200341917</v>
      </c>
      <c r="AD2600" s="10">
        <f t="shared" si="1819"/>
        <v>1.1066037001718456E-2</v>
      </c>
      <c r="AE2600" s="10" t="b">
        <f t="shared" si="1820"/>
        <v>1</v>
      </c>
      <c r="AP2600"/>
      <c r="AQ2600"/>
      <c r="AU2600" s="16" cm="1">
        <f t="array" ref="AU2600">$C2600*EXP(poly_from_str(100000000/$E2600,AU$4342))</f>
        <v>1.454057593424751</v>
      </c>
    </row>
    <row r="2601" spans="1:48" x14ac:dyDescent="0.25">
      <c r="A2601">
        <v>2870.08</v>
      </c>
      <c r="B2601" s="2" t="str">
        <f t="shared" si="1816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1817"/>
        <v>2870.08</v>
      </c>
      <c r="AB2601" s="3">
        <f t="shared" si="1818"/>
        <v>34832.01</v>
      </c>
      <c r="AC2601" s="3" cm="1">
        <f t="array" ref="AC2601">100000000/LvacE(AA2601)</f>
        <v>34832.010192215021</v>
      </c>
      <c r="AD2601" s="10">
        <f t="shared" si="1819"/>
        <v>1.106812531222388E-2</v>
      </c>
      <c r="AE2601" s="10" t="b">
        <f t="shared" si="1820"/>
        <v>1</v>
      </c>
      <c r="AP2601"/>
      <c r="AQ2601"/>
      <c r="AU2601" s="16" cm="1">
        <f t="array" ref="AU2601">$C2601*EXP(poly_from_str(100000000/$E2601,AU$4342))</f>
        <v>0</v>
      </c>
    </row>
    <row r="2602" spans="1:48" x14ac:dyDescent="0.25">
      <c r="A2602">
        <v>2870.0529999999999</v>
      </c>
      <c r="B2602" s="2" t="str">
        <f t="shared" si="1816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1817"/>
        <v>2870.0529999999999</v>
      </c>
      <c r="AB2602" s="3">
        <f t="shared" si="1818"/>
        <v>34832.339999999997</v>
      </c>
      <c r="AC2602" s="3" cm="1">
        <f t="array" ref="AC2602">100000000/LvacE(AA2602)</f>
        <v>34832.337858523635</v>
      </c>
      <c r="AD2602" s="10">
        <f t="shared" si="1819"/>
        <v>1.1068239481731459E-2</v>
      </c>
      <c r="AE2602" s="10" t="b">
        <f t="shared" si="1820"/>
        <v>1</v>
      </c>
      <c r="AP2602"/>
      <c r="AQ2602"/>
      <c r="AU2602" s="16" cm="1">
        <f t="array" ref="AU2602">$C2602*EXP(poly_from_str(100000000/$E2602,AU$4342))</f>
        <v>0</v>
      </c>
    </row>
    <row r="2603" spans="1:48" x14ac:dyDescent="0.25">
      <c r="A2603">
        <v>2870.0219999999999</v>
      </c>
      <c r="B2603" s="2" t="str">
        <f t="shared" si="1816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1817"/>
        <v>2870.0219999999999</v>
      </c>
      <c r="AB2603" s="3">
        <f t="shared" si="1818"/>
        <v>34832.71</v>
      </c>
      <c r="AC2603" s="3" cm="1">
        <f t="array" ref="AC2603">100000000/LvacE(AA2603)</f>
        <v>34832.714075591226</v>
      </c>
      <c r="AD2603" s="10">
        <f t="shared" si="1819"/>
        <v>1.1068370569213622E-2</v>
      </c>
      <c r="AE2603" s="10" t="b">
        <f t="shared" si="1820"/>
        <v>1</v>
      </c>
      <c r="AJ2603" t="s">
        <v>4975</v>
      </c>
      <c r="AK2603" t="s">
        <v>4819</v>
      </c>
      <c r="AL2603">
        <v>28399.43</v>
      </c>
      <c r="AM2603">
        <v>63232.14</v>
      </c>
      <c r="AN2603" s="10" cm="1">
        <f t="array" ref="AN2603">Lair(100000000/($AM2603-$AL2603))</f>
        <v>2870.0223319442657</v>
      </c>
      <c r="AO2603" s="10">
        <f>100000000/($AM2603-$AL2603)</f>
        <v>2870.8647704987638</v>
      </c>
      <c r="AP2603" s="12">
        <v>143000000</v>
      </c>
      <c r="AQ2603" s="3">
        <v>0.56999999999999995</v>
      </c>
      <c r="AR2603" s="3">
        <f>LN(AU2603*100000000/($AM2603-$AL2603)/AP2603)</f>
        <v>-8.2461137419207517</v>
      </c>
      <c r="AS2603" s="13">
        <f>EXP(AR$4341*$AM2603+AR$4342)*$AP2603/(100000000/($AM2603-$AL2603))</f>
        <v>38.276451194667558</v>
      </c>
      <c r="AT2603" s="3">
        <f>LN(AS2603/$C2603)</f>
        <v>1.447610278437633</v>
      </c>
      <c r="AU2603" s="16" cm="1">
        <f t="array" ref="AU2603">$C2603*EXP(poly_from_str(100000000/$E2603,AU$4342))</f>
        <v>13.064163477450034</v>
      </c>
      <c r="AV2603" s="13">
        <f>LN(AS2603/AU2603)</f>
        <v>1.0749619866008508</v>
      </c>
    </row>
    <row r="2604" spans="1:48" x14ac:dyDescent="0.25">
      <c r="A2604">
        <v>2869.4580000000001</v>
      </c>
      <c r="B2604" s="2" t="str">
        <f t="shared" si="1816"/>
        <v/>
      </c>
      <c r="C2604">
        <v>2</v>
      </c>
      <c r="D2604" t="s">
        <v>1156</v>
      </c>
      <c r="E2604">
        <v>34839.56</v>
      </c>
      <c r="R2604">
        <v>25</v>
      </c>
      <c r="S2604" t="s">
        <v>22</v>
      </c>
      <c r="AA2604" s="10">
        <f t="shared" si="1817"/>
        <v>2869.4580000000001</v>
      </c>
      <c r="AB2604" s="3">
        <f t="shared" si="1818"/>
        <v>34839.56</v>
      </c>
      <c r="AC2604" s="3" cm="1">
        <f t="array" ref="AC2604">100000000/LvacE(AA2604)</f>
        <v>34839.560218190243</v>
      </c>
      <c r="AD2604" s="10">
        <f t="shared" si="1819"/>
        <v>1.1070756257486648E-2</v>
      </c>
      <c r="AE2604" s="10" t="b">
        <f t="shared" si="1820"/>
        <v>1</v>
      </c>
      <c r="AP2604"/>
      <c r="AQ2604"/>
      <c r="AU2604" s="16" cm="1">
        <f t="array" ref="AU2604">$C2604*EXP(poly_from_str(100000000/$E2604,AU$4342))</f>
        <v>2.8980539513077628</v>
      </c>
    </row>
    <row r="2605" spans="1:48" x14ac:dyDescent="0.25">
      <c r="A2605">
        <v>2868.2249999999999</v>
      </c>
      <c r="B2605" s="2" t="str">
        <f t="shared" si="1816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1817"/>
        <v>2868.2249999999999</v>
      </c>
      <c r="AB2605" s="3">
        <f t="shared" si="1818"/>
        <v>34854.54</v>
      </c>
      <c r="AC2605" s="3" cm="1">
        <f t="array" ref="AC2605">100000000/LvacE(AA2605)</f>
        <v>34854.536427435938</v>
      </c>
      <c r="AD2605" s="10">
        <f t="shared" si="1819"/>
        <v>1.1075976680252758E-2</v>
      </c>
      <c r="AE2605" s="10" t="b">
        <f t="shared" si="1820"/>
        <v>1</v>
      </c>
      <c r="AP2605"/>
      <c r="AQ2605"/>
      <c r="AU2605" s="16" cm="1">
        <f t="array" ref="AU2605">$C2605*EXP(poly_from_str(100000000/$E2605,AU$4342))</f>
        <v>7.2172278213000727</v>
      </c>
    </row>
    <row r="2606" spans="1:48" x14ac:dyDescent="0.25">
      <c r="A2606">
        <v>2868.1909999999998</v>
      </c>
      <c r="B2606" s="2" t="str">
        <f t="shared" si="1816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1817"/>
        <v>2868.1909999999998</v>
      </c>
      <c r="AB2606" s="3">
        <f t="shared" si="1818"/>
        <v>34854.949999999997</v>
      </c>
      <c r="AC2606" s="3" cm="1">
        <f t="array" ref="AC2606">100000000/LvacE(AA2606)</f>
        <v>34854.949579119871</v>
      </c>
      <c r="AD2606" s="10">
        <f t="shared" si="1819"/>
        <v>1.107612072890541E-2</v>
      </c>
      <c r="AE2606" s="10" t="b">
        <f t="shared" si="1820"/>
        <v>1</v>
      </c>
      <c r="AP2606"/>
      <c r="AQ2606"/>
      <c r="AU2606" s="16" cm="1">
        <f t="array" ref="AU2606">$C2606*EXP(poly_from_str(100000000/$E2606,AU$4342))</f>
        <v>0</v>
      </c>
    </row>
    <row r="2607" spans="1:48" x14ac:dyDescent="0.25">
      <c r="A2607">
        <v>2868.1590000000001</v>
      </c>
      <c r="B2607" s="2" t="str">
        <f t="shared" si="1816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1817"/>
        <v>2868.1590000000001</v>
      </c>
      <c r="AB2607" s="3">
        <f t="shared" si="1818"/>
        <v>34855.339999999997</v>
      </c>
      <c r="AC2607" s="3" cm="1">
        <f t="array" ref="AC2607">100000000/LvacE(AA2607)</f>
        <v>34855.338436710728</v>
      </c>
      <c r="AD2607" s="10">
        <f t="shared" si="1819"/>
        <v>1.1076256308787401E-2</v>
      </c>
      <c r="AE2607" s="10" t="b">
        <f t="shared" si="1820"/>
        <v>1</v>
      </c>
      <c r="AP2607"/>
      <c r="AQ2607"/>
      <c r="AU2607" s="16" cm="1">
        <f t="array" ref="AU2607">$C2607*EXP(poly_from_str(100000000/$E2607,AU$4342))</f>
        <v>0</v>
      </c>
    </row>
    <row r="2608" spans="1:48" x14ac:dyDescent="0.25">
      <c r="A2608">
        <v>2867.62</v>
      </c>
      <c r="B2608" s="2" t="str">
        <f t="shared" si="1816"/>
        <v/>
      </c>
      <c r="C2608">
        <v>7</v>
      </c>
      <c r="D2608" t="s">
        <v>1156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1851">$G2608&amp;""</f>
        <v>e</v>
      </c>
      <c r="N2608" t="str">
        <f t="shared" ref="N2608:N2609" si="1852">$H2608&amp;""</f>
        <v>7/2</v>
      </c>
      <c r="O2608">
        <v>69686.259999999995</v>
      </c>
      <c r="P2608" t="str">
        <f t="shared" ref="P2608:P2609" si="1853">$J2608&amp;""</f>
        <v>o</v>
      </c>
      <c r="Q2608" t="str">
        <f t="shared" ref="Q2608:Q2609" si="1854">$K2608&amp;""</f>
        <v>9/2</v>
      </c>
      <c r="R2608">
        <v>25</v>
      </c>
      <c r="AA2608" s="10">
        <f t="shared" si="1817"/>
        <v>2867.62</v>
      </c>
      <c r="AB2608" s="3">
        <f t="shared" si="1818"/>
        <v>34861.89</v>
      </c>
      <c r="AC2608" s="3" cm="1">
        <f t="array" ref="AC2608">100000000/LvacE(AA2608)</f>
        <v>34861.889560844953</v>
      </c>
      <c r="AD2608" s="10">
        <f t="shared" si="1819"/>
        <v>1.1078540664531032E-2</v>
      </c>
      <c r="AE2608" s="10" t="b">
        <f t="shared" si="1820"/>
        <v>1</v>
      </c>
      <c r="AJ2608" t="s">
        <v>4761</v>
      </c>
      <c r="AK2608" t="s">
        <v>4838</v>
      </c>
      <c r="AL2608">
        <v>34825.49</v>
      </c>
      <c r="AM2608">
        <v>69686.259999999995</v>
      </c>
      <c r="AN2608" s="10" cm="1">
        <f t="array" ref="AN2608">Lair(100000000/($AM2608-$AL2608))</f>
        <v>2867.7120947286094</v>
      </c>
      <c r="AO2608" s="10">
        <f t="shared" ref="AO2608:AO2609" si="1855">100000000/($AM2608-$AL2608)</f>
        <v>2868.5539648148911</v>
      </c>
      <c r="AP2608" s="12">
        <v>45400000</v>
      </c>
      <c r="AQ2608" s="3">
        <v>0.28199999999999997</v>
      </c>
      <c r="AR2608" s="3">
        <f>LN(AU2608*100000000/($AM2608-$AL2608)/AP2608)</f>
        <v>-7.3584193247629619</v>
      </c>
      <c r="AS2608" s="13">
        <f t="shared" ref="AS2608:AS2609" si="1856">EXP(AR$4341*$AM2608+AR$4342)*$AP2608/(100000000/($AM2608-$AL2608))</f>
        <v>7.4928316015088638</v>
      </c>
      <c r="AT2608" s="3">
        <f t="shared" ref="AT2608" si="1857">LN(AS2608/$C2608)</f>
        <v>6.8036627966328117E-2</v>
      </c>
      <c r="AU2608" s="16" cm="1">
        <f t="array" ref="AU2608">$C2608*EXP(poly_from_str(100000000/$E2608,AU$4342))</f>
        <v>10.084907521715813</v>
      </c>
      <c r="AV2608" s="13">
        <f>LN(AS2608/AU2608)</f>
        <v>-0.29709322445808867</v>
      </c>
    </row>
    <row r="2609" spans="1:48" x14ac:dyDescent="0.25">
      <c r="A2609">
        <v>2865.8449999999998</v>
      </c>
      <c r="B2609" s="2" t="str">
        <f t="shared" si="1816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1851"/>
        <v>e</v>
      </c>
      <c r="N2609" t="str">
        <f t="shared" si="1852"/>
        <v>9/2</v>
      </c>
      <c r="O2609">
        <v>63768.66</v>
      </c>
      <c r="P2609" t="str">
        <f t="shared" si="1853"/>
        <v>o</v>
      </c>
      <c r="Q2609" t="str">
        <f t="shared" si="1854"/>
        <v>7/2</v>
      </c>
      <c r="R2609">
        <v>25</v>
      </c>
      <c r="AA2609" s="10">
        <f t="shared" si="1817"/>
        <v>2865.8449999999998</v>
      </c>
      <c r="AB2609" s="3">
        <f t="shared" si="1818"/>
        <v>34883.480000000003</v>
      </c>
      <c r="AC2609" s="3" cm="1">
        <f t="array" ref="AC2609">100000000/LvacE(AA2609)</f>
        <v>34883.480717912229</v>
      </c>
      <c r="AD2609" s="10">
        <f t="shared" si="1819"/>
        <v>1.1086072470407896E-2</v>
      </c>
      <c r="AE2609" s="10" t="b">
        <f t="shared" si="1820"/>
        <v>1</v>
      </c>
      <c r="AJ2609" t="s">
        <v>4742</v>
      </c>
      <c r="AK2609" t="s">
        <v>4850</v>
      </c>
      <c r="AL2609">
        <v>28885.14</v>
      </c>
      <c r="AM2609">
        <v>63768.66</v>
      </c>
      <c r="AN2609" s="10" cm="1">
        <f t="array" ref="AN2609">Lair(100000000/($AM2609-$AL2609))</f>
        <v>2865.8417687951742</v>
      </c>
      <c r="AO2609" s="10">
        <f t="shared" si="1855"/>
        <v>2866.6831787617762</v>
      </c>
      <c r="AP2609" s="12">
        <v>12900000</v>
      </c>
      <c r="AQ2609" s="3">
        <v>7.0000000000000001E-3</v>
      </c>
      <c r="AR2609" s="3"/>
      <c r="AS2609" s="13">
        <f t="shared" si="1856"/>
        <v>3.3214820130829583</v>
      </c>
      <c r="AT2609" s="3"/>
      <c r="AU2609" s="16" cm="1">
        <f t="array" ref="AU2609">$C2609*EXP(poly_from_str(100000000/$E2609,AU$4342))</f>
        <v>5.7304690659812412</v>
      </c>
    </row>
    <row r="2610" spans="1:48" x14ac:dyDescent="0.25">
      <c r="A2610">
        <v>2865.8150000000001</v>
      </c>
      <c r="B2610" s="2" t="str">
        <f t="shared" si="1816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1817"/>
        <v>2865.8150000000001</v>
      </c>
      <c r="AB2610" s="3">
        <f t="shared" si="1818"/>
        <v>34883.85</v>
      </c>
      <c r="AC2610" s="3" cm="1">
        <f t="array" ref="AC2610">100000000/LvacE(AA2610)</f>
        <v>34883.845868698387</v>
      </c>
      <c r="AD2610" s="10">
        <f t="shared" si="1819"/>
        <v>1.1086199888809708E-2</v>
      </c>
      <c r="AE2610" s="10" t="b">
        <f t="shared" si="1820"/>
        <v>1</v>
      </c>
      <c r="AP2610"/>
      <c r="AQ2610"/>
      <c r="AU2610" s="16" cm="1">
        <f t="array" ref="AU2610">$C2610*EXP(poly_from_str(100000000/$E2610,AU$4342))</f>
        <v>0</v>
      </c>
    </row>
    <row r="2611" spans="1:48" x14ac:dyDescent="0.25">
      <c r="A2611">
        <v>2865.489</v>
      </c>
      <c r="B2611" s="2" t="str">
        <f t="shared" si="1816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1858">$G2611&amp;""</f>
        <v>e</v>
      </c>
      <c r="N2611" t="str">
        <f t="shared" ref="N2611:N2613" si="1859">$H2611&amp;""</f>
        <v>13/2</v>
      </c>
      <c r="O2611">
        <v>64150.94</v>
      </c>
      <c r="P2611" t="str">
        <f t="shared" ref="P2611:P2613" si="1860">$J2611&amp;""</f>
        <v>o</v>
      </c>
      <c r="Q2611" t="str">
        <f t="shared" ref="Q2611:Q2613" si="1861">$K2611&amp;""</f>
        <v>11/2</v>
      </c>
      <c r="R2611">
        <v>25</v>
      </c>
      <c r="AA2611" s="10">
        <f t="shared" si="1817"/>
        <v>2865.489</v>
      </c>
      <c r="AB2611" s="3">
        <f t="shared" si="1818"/>
        <v>34887.81</v>
      </c>
      <c r="AC2611" s="3" cm="1">
        <f t="array" ref="AC2611">100000000/LvacE(AA2611)</f>
        <v>34887.814333502036</v>
      </c>
      <c r="AD2611" s="10">
        <f t="shared" si="1819"/>
        <v>1.1087584760140771E-2</v>
      </c>
      <c r="AE2611" s="10" t="b">
        <f t="shared" si="1820"/>
        <v>1</v>
      </c>
      <c r="AJ2611" t="s">
        <v>4699</v>
      </c>
      <c r="AK2611" t="s">
        <v>4931</v>
      </c>
      <c r="AL2611">
        <v>29263.08</v>
      </c>
      <c r="AM2611">
        <v>64150.94</v>
      </c>
      <c r="AN2611" s="10" cm="1">
        <f t="array" ref="AN2611">Lair(100000000/($AM2611-$AL2611))</f>
        <v>2865.4852451965717</v>
      </c>
      <c r="AO2611" s="10">
        <f t="shared" ref="AO2611:AO2613" si="1862">100000000/($AM2611-$AL2611)</f>
        <v>2866.3265674650152</v>
      </c>
      <c r="AP2611" s="12">
        <v>3320000</v>
      </c>
      <c r="AQ2611" s="3">
        <v>2.5999999999999999E-2</v>
      </c>
      <c r="AR2611" s="3"/>
      <c r="AS2611" s="13">
        <f>EXP(AR$4341*$AM2611+AR$4342)*$AP2611/(100000000/($AM2611-$AL2611))</f>
        <v>0.83075867894049016</v>
      </c>
      <c r="AT2611" s="3"/>
      <c r="AU2611" s="16" cm="1">
        <f t="array" ref="AU2611">$C2611*EXP(poly_from_str(100000000/$E2611,AU$4342))</f>
        <v>4.2929763431397188</v>
      </c>
    </row>
    <row r="2612" spans="1:48" x14ac:dyDescent="0.25">
      <c r="A2612">
        <v>2864.817</v>
      </c>
      <c r="B2612" s="2" t="str">
        <f t="shared" si="1816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1858"/>
        <v>e</v>
      </c>
      <c r="N2612" t="str">
        <f t="shared" si="1859"/>
        <v>7/2</v>
      </c>
      <c r="O2612">
        <v>71536.38</v>
      </c>
      <c r="P2612" t="str">
        <f t="shared" si="1860"/>
        <v>o</v>
      </c>
      <c r="Q2612" t="str">
        <f t="shared" si="1861"/>
        <v>5/2</v>
      </c>
      <c r="R2612">
        <v>25</v>
      </c>
      <c r="AA2612" s="10">
        <f t="shared" si="1817"/>
        <v>2864.817</v>
      </c>
      <c r="AB2612" s="3">
        <f t="shared" si="1818"/>
        <v>34896</v>
      </c>
      <c r="AC2612" s="3" cm="1">
        <f t="array" ref="AC2612">100000000/LvacE(AA2612)</f>
        <v>34895.99757672233</v>
      </c>
      <c r="AD2612" s="10">
        <f t="shared" si="1819"/>
        <v>1.1090440956040531E-2</v>
      </c>
      <c r="AE2612" s="10" t="b">
        <f t="shared" si="1820"/>
        <v>1</v>
      </c>
      <c r="AJ2612" t="s">
        <v>4805</v>
      </c>
      <c r="AK2612" t="s">
        <v>4860</v>
      </c>
      <c r="AL2612">
        <v>36640.379999999997</v>
      </c>
      <c r="AM2612">
        <v>71536.38</v>
      </c>
      <c r="AN2612" s="10" cm="1">
        <f t="array" ref="AN2612">Lair(100000000/($AM2612-$AL2612))</f>
        <v>2864.8167972148226</v>
      </c>
      <c r="AO2612" s="10">
        <f t="shared" si="1862"/>
        <v>2865.6579550664828</v>
      </c>
      <c r="AU2612" s="16" cm="1">
        <f t="array" ref="AU2612">$C2612*EXP(poly_from_str(100000000/$E2612,AU$4342))</f>
        <v>7.139573598629446</v>
      </c>
    </row>
    <row r="2613" spans="1:48" x14ac:dyDescent="0.25">
      <c r="A2613">
        <v>2863.8209999999999</v>
      </c>
      <c r="B2613" s="2" t="str">
        <f t="shared" si="1816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1858"/>
        <v>e</v>
      </c>
      <c r="N2613" t="str">
        <f t="shared" si="1859"/>
        <v>11/2</v>
      </c>
      <c r="O2613">
        <v>68374.539999999994</v>
      </c>
      <c r="P2613" t="str">
        <f t="shared" si="1860"/>
        <v>o</v>
      </c>
      <c r="Q2613" t="str">
        <f t="shared" si="1861"/>
        <v>9/2</v>
      </c>
      <c r="R2613">
        <v>25</v>
      </c>
      <c r="AA2613" s="10">
        <f t="shared" si="1817"/>
        <v>2863.8209999999999</v>
      </c>
      <c r="AB2613" s="3">
        <f t="shared" si="1818"/>
        <v>34908.129999999997</v>
      </c>
      <c r="AC2613" s="3" cm="1">
        <f t="array" ref="AC2613">100000000/LvacE(AA2613)</f>
        <v>34908.133375851838</v>
      </c>
      <c r="AD2613" s="10">
        <f t="shared" si="1819"/>
        <v>1.1094677945278675E-2</v>
      </c>
      <c r="AE2613" s="10" t="b">
        <f t="shared" si="1820"/>
        <v>1</v>
      </c>
      <c r="AJ2613" t="s">
        <v>4774</v>
      </c>
      <c r="AK2613" t="s">
        <v>4739</v>
      </c>
      <c r="AL2613">
        <v>33466.410000000003</v>
      </c>
      <c r="AM2613">
        <v>68374.539999999994</v>
      </c>
      <c r="AN2613" s="10" cm="1">
        <f t="array" ref="AN2613">Lair(100000000/($AM2613-$AL2613))</f>
        <v>2863.8212731377103</v>
      </c>
      <c r="AO2613" s="10">
        <f t="shared" si="1862"/>
        <v>2864.6621861440308</v>
      </c>
      <c r="AP2613" s="12">
        <v>16000000</v>
      </c>
      <c r="AQ2613" s="3">
        <v>0.47199999999999998</v>
      </c>
      <c r="AR2613" s="3">
        <f>LN(AU2613*100000000/($AM2613-$AL2613)/AP2613)</f>
        <v>-6.8885869487785802</v>
      </c>
      <c r="AS2613" s="13">
        <f>EXP(AR$4341*$AM2613+AR$4342)*$AP2613/(100000000/($AM2613-$AL2613))</f>
        <v>2.9177750459160925</v>
      </c>
      <c r="AT2613" s="3">
        <f>LN(AS2613/$C2613)</f>
        <v>-0.31547300586351157</v>
      </c>
      <c r="AU2613" s="16" cm="1">
        <f t="array" ref="AU2613">$C2613*EXP(poly_from_str(100000000/$E2613,AU$4342))</f>
        <v>5.6933943669440428</v>
      </c>
      <c r="AV2613" s="13">
        <f>LN(AS2613/AU2613)</f>
        <v>-0.66848526456770907</v>
      </c>
    </row>
    <row r="2614" spans="1:48" x14ac:dyDescent="0.25">
      <c r="A2614">
        <v>2863.5450000000001</v>
      </c>
      <c r="B2614" s="2" t="str">
        <f t="shared" si="1816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1817"/>
        <v>2863.5450000000001</v>
      </c>
      <c r="AB2614" s="3">
        <f t="shared" si="1818"/>
        <v>34911.5</v>
      </c>
      <c r="AC2614" s="3" cm="1">
        <f t="array" ref="AC2614">100000000/LvacE(AA2614)</f>
        <v>34911.497801843543</v>
      </c>
      <c r="AD2614" s="10">
        <f t="shared" si="1819"/>
        <v>1.1095852833086881E-2</v>
      </c>
      <c r="AE2614" s="10" t="b">
        <f t="shared" si="1820"/>
        <v>1</v>
      </c>
      <c r="AP2614"/>
      <c r="AQ2614"/>
      <c r="AU2614" s="16" cm="1">
        <f t="array" ref="AU2614">$C2614*EXP(poly_from_str(100000000/$E2614,AU$4342))</f>
        <v>9.9545479853988237</v>
      </c>
    </row>
    <row r="2615" spans="1:48" x14ac:dyDescent="0.25">
      <c r="A2615" t="s">
        <v>3322</v>
      </c>
      <c r="B2615" s="2" t="str">
        <f t="shared" si="1816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1817"/>
        <v>2862.2809999999999</v>
      </c>
      <c r="AB2615" s="3">
        <f t="shared" si="1818"/>
        <v>34926.910000000003</v>
      </c>
      <c r="AC2615" s="3" cm="1">
        <f t="array" ref="AC2615">100000000/LvacE(AA2615)</f>
        <v>34926.914187037422</v>
      </c>
      <c r="AD2615" s="10">
        <f t="shared" si="1819"/>
        <v>1.1101237821694903E-2</v>
      </c>
      <c r="AE2615" s="10" t="b">
        <f t="shared" si="1820"/>
        <v>1</v>
      </c>
      <c r="AP2615"/>
      <c r="AQ2615"/>
      <c r="AU2615" s="16" cm="1">
        <f t="array" ref="AU2615">$C2615*EXP(poly_from_str(100000000/$E2615,AU$4342))</f>
        <v>1.4162601337204936</v>
      </c>
    </row>
    <row r="2616" spans="1:48" x14ac:dyDescent="0.25">
      <c r="A2616" t="s">
        <v>3323</v>
      </c>
      <c r="B2616" s="2" t="str">
        <f t="shared" si="1816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1817"/>
        <v>2861.8739999999998</v>
      </c>
      <c r="AB2616" s="3">
        <f t="shared" si="1818"/>
        <v>34931.879999999997</v>
      </c>
      <c r="AC2616" s="3" cm="1">
        <f t="array" ref="AC2616">100000000/LvacE(AA2616)</f>
        <v>34931.881063633678</v>
      </c>
      <c r="AD2616" s="10">
        <f t="shared" si="1819"/>
        <v>1.1102973272693641E-2</v>
      </c>
      <c r="AE2616" s="10" t="b">
        <f t="shared" si="1820"/>
        <v>1</v>
      </c>
      <c r="AJ2616" t="s">
        <v>4742</v>
      </c>
      <c r="AK2616" t="s">
        <v>4928</v>
      </c>
      <c r="AL2616">
        <v>28885.14</v>
      </c>
      <c r="AM2616">
        <v>63816.91</v>
      </c>
      <c r="AN2616" s="10" cm="1">
        <f t="array" ref="AN2616">Lair(100000000/($AM2616-$AL2616))</f>
        <v>2861.8830957950249</v>
      </c>
      <c r="AO2616" s="10">
        <f>100000000/($AM2616-$AL2616)</f>
        <v>2862.723532188606</v>
      </c>
      <c r="AP2616" s="12">
        <v>164000000</v>
      </c>
      <c r="AQ2616" s="3">
        <v>0.13600000000000001</v>
      </c>
      <c r="AR2616" s="3">
        <f>LN(AU2616*100000000/($AM2616-$AL2616)/AP2616)</f>
        <v>-8.4119320978376919</v>
      </c>
      <c r="AS2616" s="13">
        <f>EXP(AR$4341*$AM2616+AR$4342)*$AP2616/(100000000/($AM2616-$AL2616))</f>
        <v>42.132162421525855</v>
      </c>
      <c r="AT2616" s="3">
        <f>LN(AS2616/$C2616)</f>
        <v>1.5435868246939193</v>
      </c>
      <c r="AU2616" s="16" cm="1">
        <f t="array" ref="AU2616">$C2616*EXP(poly_from_str(100000000/$E2616,AU$4342))</f>
        <v>12.729423862407</v>
      </c>
      <c r="AV2616" s="13">
        <f>LN(AS2616/AU2616)</f>
        <v>1.1968952487405473</v>
      </c>
    </row>
    <row r="2617" spans="1:48" x14ac:dyDescent="0.25">
      <c r="A2617" t="s">
        <v>3324</v>
      </c>
      <c r="B2617" s="2" t="str">
        <f t="shared" si="1816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1817"/>
        <v>2861.848</v>
      </c>
      <c r="AB2617" s="3">
        <f t="shared" si="1818"/>
        <v>34932.199999999997</v>
      </c>
      <c r="AC2617" s="3" cm="1">
        <f t="array" ref="AC2617">100000000/LvacE(AA2617)</f>
        <v>34932.198405964489</v>
      </c>
      <c r="AD2617" s="10">
        <f t="shared" si="1819"/>
        <v>1.110308416204573E-2</v>
      </c>
      <c r="AE2617" s="10" t="b">
        <f t="shared" si="1820"/>
        <v>1</v>
      </c>
      <c r="AP2617"/>
      <c r="AQ2617"/>
      <c r="AU2617" s="16" cm="1">
        <f t="array" ref="AU2617">$C2617*EXP(poly_from_str(100000000/$E2617,AU$4342))</f>
        <v>0</v>
      </c>
    </row>
    <row r="2618" spans="1:48" x14ac:dyDescent="0.25">
      <c r="A2618" t="s">
        <v>3325</v>
      </c>
      <c r="B2618" s="2" t="str">
        <f t="shared" si="1816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1817"/>
        <v>2861.165</v>
      </c>
      <c r="AB2618" s="3">
        <f t="shared" si="1818"/>
        <v>34940.54</v>
      </c>
      <c r="AC2618" s="3" cm="1">
        <f t="array" ref="AC2618">100000000/LvacE(AA2618)</f>
        <v>34940.536810463345</v>
      </c>
      <c r="AD2618" s="10">
        <f t="shared" si="1819"/>
        <v>1.1105998222832893E-2</v>
      </c>
      <c r="AE2618" s="10" t="b">
        <f t="shared" si="1820"/>
        <v>1</v>
      </c>
      <c r="AJ2618" t="s">
        <v>4788</v>
      </c>
      <c r="AK2618" t="s">
        <v>4858</v>
      </c>
      <c r="AL2618">
        <v>30994.55</v>
      </c>
      <c r="AM2618">
        <v>65935.25</v>
      </c>
      <c r="AN2618" s="10" cm="1">
        <f t="array" ref="AN2618">Lair(100000000/($AM2618-$AL2618))</f>
        <v>2861.1516325681887</v>
      </c>
      <c r="AO2618" s="10">
        <f>100000000/($AM2618-$AL2618)</f>
        <v>2861.9918891149864</v>
      </c>
      <c r="AP2618" s="12">
        <v>59700000</v>
      </c>
      <c r="AQ2618" s="3">
        <v>0.28199999999999997</v>
      </c>
      <c r="AR2618" s="3">
        <f>LN(AU2618*100000000/($AM2618-$AL2618)/AP2618)</f>
        <v>-7.6552887610945</v>
      </c>
      <c r="AS2618" s="13">
        <f>EXP(AR$4341*$AM2618+AR$4342)*$AP2618/(100000000/($AM2618-$AL2618))</f>
        <v>13.086197513271575</v>
      </c>
      <c r="AT2618" s="3">
        <f>LN(AS2618/$C2618)</f>
        <v>0.62564790075773946</v>
      </c>
      <c r="AU2618" s="16" cm="1">
        <f t="array" ref="AU2618">$C2618*EXP(poly_from_str(100000000/$E2618,AU$4342))</f>
        <v>9.8777098778138601</v>
      </c>
      <c r="AV2618" s="13">
        <f>LN(AS2618/AU2618)</f>
        <v>0.28127735866513448</v>
      </c>
    </row>
    <row r="2619" spans="1:48" x14ac:dyDescent="0.25">
      <c r="A2619" t="s">
        <v>3326</v>
      </c>
      <c r="B2619" s="2" t="str">
        <f t="shared" si="1816"/>
        <v/>
      </c>
      <c r="C2619">
        <v>5</v>
      </c>
      <c r="D2619" t="s">
        <v>1156</v>
      </c>
      <c r="E2619">
        <v>34952.129999999997</v>
      </c>
      <c r="R2619">
        <v>26</v>
      </c>
      <c r="S2619" t="s">
        <v>22</v>
      </c>
      <c r="AA2619" s="10">
        <f t="shared" si="1817"/>
        <v>2860.2159999999999</v>
      </c>
      <c r="AB2619" s="3">
        <f t="shared" si="1818"/>
        <v>34952.129999999997</v>
      </c>
      <c r="AC2619" s="3" cm="1">
        <f t="array" ref="AC2619">100000000/LvacE(AA2619)</f>
        <v>34952.129285742543</v>
      </c>
      <c r="AD2619" s="10">
        <f t="shared" si="1819"/>
        <v>1.1110050654520942E-2</v>
      </c>
      <c r="AE2619" s="10" t="b">
        <f t="shared" si="1820"/>
        <v>1</v>
      </c>
      <c r="AP2619"/>
      <c r="AQ2619"/>
      <c r="AU2619" s="16" cm="1">
        <f t="array" ref="AU2619">$C2619*EXP(poly_from_str(100000000/$E2619,AU$4342))</f>
        <v>7.0335285061412458</v>
      </c>
    </row>
    <row r="2620" spans="1:48" x14ac:dyDescent="0.25">
      <c r="A2620" t="s">
        <v>3327</v>
      </c>
      <c r="B2620" s="2" t="str">
        <f t="shared" si="1816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1863">$G2620&amp;""</f>
        <v>e</v>
      </c>
      <c r="N2620" t="str">
        <f t="shared" ref="N2620:N2621" si="1864">$H2620&amp;""</f>
        <v>9/2</v>
      </c>
      <c r="O2620">
        <v>62558.67</v>
      </c>
      <c r="P2620" t="str">
        <f t="shared" ref="P2620:P2621" si="1865">$J2620&amp;""</f>
        <v>o</v>
      </c>
      <c r="Q2620" t="str">
        <f t="shared" ref="Q2620:Q2621" si="1866">$K2620&amp;""</f>
        <v>11/2</v>
      </c>
      <c r="R2620">
        <v>26</v>
      </c>
      <c r="AA2620" s="10">
        <f t="shared" si="1817"/>
        <v>2860.0340000000001</v>
      </c>
      <c r="AB2620" s="3">
        <f t="shared" si="1818"/>
        <v>34954.35</v>
      </c>
      <c r="AC2620" s="3" cm="1">
        <f t="array" ref="AC2620">100000000/LvacE(AA2620)</f>
        <v>34954.353379274216</v>
      </c>
      <c r="AD2620" s="10">
        <f t="shared" si="1819"/>
        <v>1.1110828294222063E-2</v>
      </c>
      <c r="AE2620" s="10" t="b">
        <f t="shared" si="1820"/>
        <v>1</v>
      </c>
      <c r="AJ2620" t="s">
        <v>4718</v>
      </c>
      <c r="AK2620" t="s">
        <v>4821</v>
      </c>
      <c r="AL2620">
        <v>27604.26</v>
      </c>
      <c r="AM2620">
        <v>62558.67</v>
      </c>
      <c r="AN2620" s="10" cm="1">
        <f t="array" ref="AN2620">Lair(100000000/($AM2620-$AL2620))</f>
        <v>2860.0293631721142</v>
      </c>
      <c r="AO2620" s="10">
        <f t="shared" ref="AO2620:AO2621" si="1867">100000000/($AM2620-$AL2620)</f>
        <v>2860.8693438109808</v>
      </c>
      <c r="AP2620" s="12">
        <v>12900000</v>
      </c>
      <c r="AQ2620" s="3">
        <v>7.5999999999999998E-2</v>
      </c>
      <c r="AR2620" s="3">
        <f>LN(AU2620*100000000/($AM2620-$AL2620)/AP2620)</f>
        <v>-6.9745935569213602</v>
      </c>
      <c r="AS2620" s="13">
        <f t="shared" ref="AS2620:AS2621" si="1868">EXP(AR$4341*$AM2620+AR$4342)*$AP2620/(100000000/($AM2620-$AL2620))</f>
        <v>3.6446014991269124</v>
      </c>
      <c r="AT2620" s="3">
        <f t="shared" ref="AT2620" si="1869">LN(AS2620/$C2620)</f>
        <v>0.19463474272986583</v>
      </c>
      <c r="AU2620" s="16" cm="1">
        <f t="array" ref="AU2620">$C2620*EXP(poly_from_str(100000000/$E2620,AU$4342))</f>
        <v>4.2175883701172543</v>
      </c>
      <c r="AV2620" s="13">
        <f>LN(AS2620/AU2620)</f>
        <v>-0.14601645701960742</v>
      </c>
    </row>
    <row r="2621" spans="1:48" x14ac:dyDescent="0.25">
      <c r="A2621" t="s">
        <v>3328</v>
      </c>
      <c r="B2621" s="2" t="str">
        <f t="shared" si="1816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1863"/>
        <v>e</v>
      </c>
      <c r="N2621" t="str">
        <f t="shared" si="1864"/>
        <v>5/2</v>
      </c>
      <c r="O2621">
        <v>71978.52</v>
      </c>
      <c r="P2621" t="str">
        <f t="shared" si="1865"/>
        <v>o</v>
      </c>
      <c r="Q2621" t="str">
        <f t="shared" si="1866"/>
        <v>7/2</v>
      </c>
      <c r="R2621">
        <v>26</v>
      </c>
      <c r="AA2621" s="10">
        <f t="shared" si="1817"/>
        <v>2859.0320000000002</v>
      </c>
      <c r="AB2621" s="3">
        <f t="shared" si="1818"/>
        <v>34966.6</v>
      </c>
      <c r="AC2621" s="3" cm="1">
        <f t="array" ref="AC2621">100000000/LvacE(AA2621)</f>
        <v>34966.603184423504</v>
      </c>
      <c r="AD2621" s="10">
        <f t="shared" si="1819"/>
        <v>1.1115112245057682E-2</v>
      </c>
      <c r="AE2621" s="10" t="b">
        <f t="shared" si="1820"/>
        <v>1</v>
      </c>
      <c r="AJ2621" t="s">
        <v>4768</v>
      </c>
      <c r="AK2621" t="s">
        <v>4716</v>
      </c>
      <c r="AL2621">
        <v>37011.919999999998</v>
      </c>
      <c r="AM2621">
        <v>71978.52</v>
      </c>
      <c r="AN2621" s="10" cm="1">
        <f t="array" ref="AN2621">Lair(100000000/($AM2621-$AL2621))</f>
        <v>2859.0322565997726</v>
      </c>
      <c r="AO2621" s="10">
        <f t="shared" si="1867"/>
        <v>2859.871992129632</v>
      </c>
      <c r="AP2621" s="12">
        <v>3940000</v>
      </c>
      <c r="AQ2621" s="3">
        <v>3.5000000000000003E-2</v>
      </c>
      <c r="AR2621" s="3"/>
      <c r="AS2621" s="13">
        <f t="shared" si="1868"/>
        <v>0.54915195067983857</v>
      </c>
      <c r="AT2621" s="3"/>
      <c r="AU2621" s="16" cm="1">
        <f t="array" ref="AU2621">$C2621*EXP(poly_from_str(100000000/$E2621,AU$4342))</f>
        <v>1.40120626009959</v>
      </c>
    </row>
    <row r="2622" spans="1:48" x14ac:dyDescent="0.25">
      <c r="A2622" t="s">
        <v>3329</v>
      </c>
      <c r="B2622" s="2" t="str">
        <f t="shared" si="1816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1817"/>
        <v>2858.4029999999998</v>
      </c>
      <c r="AB2622" s="3">
        <f t="shared" si="1818"/>
        <v>34974.300000000003</v>
      </c>
      <c r="AC2622" s="3" cm="1">
        <f t="array" ref="AC2622">100000000/LvacE(AA2622)</f>
        <v>34974.297319747886</v>
      </c>
      <c r="AD2622" s="10">
        <f t="shared" si="1819"/>
        <v>1.1117803773601534E-2</v>
      </c>
      <c r="AE2622" s="10" t="b">
        <f t="shared" si="1820"/>
        <v>1</v>
      </c>
      <c r="AP2622"/>
      <c r="AQ2622"/>
      <c r="AU2622" s="16" cm="1">
        <f t="array" ref="AU2622">$C2622*EXP(poly_from_str(100000000/$E2622,AU$4342))</f>
        <v>2.7965494884958884</v>
      </c>
    </row>
    <row r="2623" spans="1:48" x14ac:dyDescent="0.25">
      <c r="A2623" t="s">
        <v>3330</v>
      </c>
      <c r="B2623" s="2" t="str">
        <f t="shared" si="1816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1870">$G2623&amp;""</f>
        <v>e</v>
      </c>
      <c r="N2623" t="str">
        <f t="shared" ref="N2623:N2624" si="1871">$H2623&amp;""</f>
        <v>5/2</v>
      </c>
      <c r="O2623">
        <v>71994.81</v>
      </c>
      <c r="P2623" t="str">
        <f t="shared" ref="P2623:P2624" si="1872">$J2623&amp;""</f>
        <v>o</v>
      </c>
      <c r="Q2623" t="str">
        <f t="shared" ref="Q2623:Q2624" si="1873">$K2623&amp;""</f>
        <v>5/2</v>
      </c>
      <c r="R2623">
        <v>26</v>
      </c>
      <c r="AA2623" s="10">
        <f t="shared" si="1817"/>
        <v>2857.7</v>
      </c>
      <c r="AB2623" s="3">
        <f t="shared" si="1818"/>
        <v>34982.9</v>
      </c>
      <c r="AC2623" s="3" cm="1">
        <f t="array" ref="AC2623">100000000/LvacE(AA2623)</f>
        <v>34982.900655344572</v>
      </c>
      <c r="AD2623" s="10">
        <f t="shared" si="1819"/>
        <v>1.1120814055944391E-2</v>
      </c>
      <c r="AE2623" s="10" t="b">
        <f t="shared" si="1820"/>
        <v>1</v>
      </c>
      <c r="AJ2623" t="s">
        <v>4768</v>
      </c>
      <c r="AK2623" t="s">
        <v>4900</v>
      </c>
      <c r="AL2623">
        <v>37011.919999999998</v>
      </c>
      <c r="AM2623">
        <v>71994.81</v>
      </c>
      <c r="AN2623" s="10" cm="1">
        <f t="array" ref="AN2623">Lair(100000000/($AM2623-$AL2623))</f>
        <v>2857.7008666862362</v>
      </c>
      <c r="AO2623" s="10">
        <f t="shared" ref="AO2623:AO2624" si="1874">100000000/($AM2623-$AL2623)</f>
        <v>2858.5402749744235</v>
      </c>
      <c r="AP2623" s="12">
        <v>16300000</v>
      </c>
      <c r="AQ2623" s="3">
        <v>6.7000000000000004E-2</v>
      </c>
      <c r="AR2623" s="3">
        <f t="shared" ref="AR2623:AR2624" si="1875">LN(AU2623*100000000/($AM2623-$AL2623)/AP2623)</f>
        <v>-6.9294230147356251</v>
      </c>
      <c r="AS2623" s="13">
        <f t="shared" ref="AS2623:AS2624" si="1876">EXP(AR$4341*$AM2623+AR$4342)*$AP2623/(100000000/($AM2623-$AL2623))</f>
        <v>2.2701537009550448</v>
      </c>
      <c r="AT2623" s="3">
        <f t="shared" ref="AT2623:AT2624" si="1877">LN(AS2623/$C2623)</f>
        <v>-0.56644682224694975</v>
      </c>
      <c r="AU2623" s="16" cm="1">
        <f t="array" ref="AU2623">$C2623*EXP(poly_from_str(100000000/$E2623,AU$4342))</f>
        <v>5.5799860192988575</v>
      </c>
      <c r="AV2623" s="13">
        <f t="shared" ref="AV2623:AV2624" si="1878">LN(AS2623/AU2623)</f>
        <v>-0.89933873201514314</v>
      </c>
    </row>
    <row r="2624" spans="1:48" x14ac:dyDescent="0.25">
      <c r="A2624" t="s">
        <v>3331</v>
      </c>
      <c r="B2624" s="2" t="str">
        <f t="shared" si="1816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1870"/>
        <v>e</v>
      </c>
      <c r="N2624" t="str">
        <f t="shared" si="1871"/>
        <v>3/2</v>
      </c>
      <c r="O2624">
        <v>74105.2</v>
      </c>
      <c r="P2624" t="str">
        <f t="shared" si="1872"/>
        <v>o</v>
      </c>
      <c r="Q2624" t="str">
        <f t="shared" si="1873"/>
        <v>5/2</v>
      </c>
      <c r="R2624">
        <v>26</v>
      </c>
      <c r="AA2624" s="10">
        <f t="shared" si="1817"/>
        <v>2857.5459999999998</v>
      </c>
      <c r="AB2624" s="3">
        <f t="shared" si="1818"/>
        <v>34984.79</v>
      </c>
      <c r="AC2624" s="3" cm="1">
        <f t="array" ref="AC2624">100000000/LvacE(AA2624)</f>
        <v>34984.785877250106</v>
      </c>
      <c r="AD2624" s="10">
        <f t="shared" si="1819"/>
        <v>1.1121473788567201E-2</v>
      </c>
      <c r="AE2624" s="10" t="b">
        <f t="shared" si="1820"/>
        <v>1</v>
      </c>
      <c r="AJ2624" t="s">
        <v>4733</v>
      </c>
      <c r="AK2624" t="s">
        <v>4940</v>
      </c>
      <c r="AL2624">
        <v>39120.400000000001</v>
      </c>
      <c r="AM2624">
        <v>74105.2</v>
      </c>
      <c r="AN2624" s="10" cm="1">
        <f t="array" ref="AN2624">Lair(100000000/($AM2624-$AL2624))</f>
        <v>2857.5448426301359</v>
      </c>
      <c r="AO2624" s="10">
        <f t="shared" si="1874"/>
        <v>2858.3842125723177</v>
      </c>
      <c r="AP2624" s="12">
        <v>17000000</v>
      </c>
      <c r="AQ2624" s="3">
        <v>0.125</v>
      </c>
      <c r="AR2624" s="3">
        <f t="shared" si="1875"/>
        <v>-7.2597249153661467</v>
      </c>
      <c r="AS2624" s="13">
        <f t="shared" si="1876"/>
        <v>2.0209595839057908</v>
      </c>
      <c r="AT2624" s="3">
        <f t="shared" si="1877"/>
        <v>-0.39503984851398666</v>
      </c>
      <c r="AU2624" s="16" cm="1">
        <f t="array" ref="AU2624">$C2624*EXP(poly_from_str(100000000/$E2624,AU$4342))</f>
        <v>4.182826453732079</v>
      </c>
      <c r="AV2624" s="13">
        <f t="shared" si="1878"/>
        <v>-0.72741476297576735</v>
      </c>
    </row>
    <row r="2625" spans="1:48" x14ac:dyDescent="0.25">
      <c r="A2625" t="s">
        <v>3332</v>
      </c>
      <c r="B2625" s="2" t="str">
        <f t="shared" si="1816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1817"/>
        <v>2855.4940000000001</v>
      </c>
      <c r="AB2625" s="3">
        <f t="shared" si="1818"/>
        <v>35009.919999999998</v>
      </c>
      <c r="AC2625" s="3" cm="1">
        <f t="array" ref="AC2625">100000000/LvacE(AA2625)</f>
        <v>35009.925251716901</v>
      </c>
      <c r="AD2625" s="10">
        <f t="shared" si="1819"/>
        <v>1.1130274700580162E-2</v>
      </c>
      <c r="AE2625" s="10" t="b">
        <f t="shared" si="1820"/>
        <v>1</v>
      </c>
      <c r="AP2625"/>
      <c r="AQ2625"/>
      <c r="AU2625" s="16" cm="1">
        <f t="array" ref="AU2625">$C2625*EXP(poly_from_str(100000000/$E2625,AU$4342))</f>
        <v>1.3846695296112119</v>
      </c>
    </row>
    <row r="2626" spans="1:48" x14ac:dyDescent="0.25">
      <c r="A2626" t="s">
        <v>3333</v>
      </c>
      <c r="B2626" s="2" t="str">
        <f t="shared" ref="B2626:B2689" si="1879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1817"/>
        <v>2853.25</v>
      </c>
      <c r="AB2626" s="3">
        <f t="shared" si="1818"/>
        <v>35037.46</v>
      </c>
      <c r="AC2626" s="3" cm="1">
        <f t="array" ref="AC2626">100000000/LvacE(AA2626)</f>
        <v>35037.458237555205</v>
      </c>
      <c r="AD2626" s="10">
        <f t="shared" si="1819"/>
        <v>1.113992083370809E-2</v>
      </c>
      <c r="AE2626" s="10" t="b">
        <f t="shared" si="1820"/>
        <v>1</v>
      </c>
      <c r="AP2626"/>
      <c r="AQ2626"/>
      <c r="AU2626" s="16" cm="1">
        <f t="array" ref="AU2626">$C2626*EXP(poly_from_str(100000000/$E2626,AU$4342))</f>
        <v>4.122309469243767</v>
      </c>
    </row>
    <row r="2627" spans="1:48" x14ac:dyDescent="0.25">
      <c r="A2627" t="s">
        <v>3334</v>
      </c>
      <c r="B2627" s="2" t="str">
        <f t="shared" si="1879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1880">ROUND($A2627,3)+0</f>
        <v>2852.3919999999998</v>
      </c>
      <c r="AB2627" s="3">
        <f t="shared" ref="AB2627:AB2690" si="1881">ROUND($E2627,2)+0</f>
        <v>35048</v>
      </c>
      <c r="AC2627" s="3" cm="1">
        <f t="array" ref="AC2627">100000000/LvacE(AA2627)</f>
        <v>35047.99700322876</v>
      </c>
      <c r="AD2627" s="10">
        <f t="shared" ref="AD2627:AD2690" si="1882">0.0005/$AA2627*AC2627+0.005</f>
        <v>1.1143615078717925E-2</v>
      </c>
      <c r="AE2627" s="10" t="b">
        <f t="shared" ref="AE2627:AE2690" si="1883">ABS(AB2627-AC2627)&lt;AD2627</f>
        <v>1</v>
      </c>
      <c r="AJ2627" t="s">
        <v>4708</v>
      </c>
      <c r="AK2627" t="s">
        <v>4850</v>
      </c>
      <c r="AL2627">
        <v>28720.71</v>
      </c>
      <c r="AM2627">
        <v>63768.66</v>
      </c>
      <c r="AN2627" s="10" cm="1">
        <f t="array" ref="AN2627">Lair(100000000/($AM2627-$AL2627))</f>
        <v>2852.3958218324688</v>
      </c>
      <c r="AO2627" s="10">
        <f>100000000/($AM2627-$AL2627)</f>
        <v>2853.233926663328</v>
      </c>
      <c r="AP2627" s="12">
        <v>39900000</v>
      </c>
      <c r="AQ2627" s="3">
        <v>2.9000000000000001E-2</v>
      </c>
      <c r="AR2627" s="3"/>
      <c r="AS2627" s="13">
        <f>EXP(AR$4341*$AM2627+AR$4342)*$AP2627/(100000000/($AM2627-$AL2627))</f>
        <v>10.321846803315792</v>
      </c>
      <c r="AT2627" s="3"/>
      <c r="AU2627" s="16" cm="1">
        <f t="array" ref="AU2627">$C2627*EXP(poly_from_str(100000000/$E2627,AU$4342))</f>
        <v>4.1101466234590465</v>
      </c>
    </row>
    <row r="2628" spans="1:48" x14ac:dyDescent="0.25">
      <c r="A2628" t="s">
        <v>3335</v>
      </c>
      <c r="B2628" s="2" t="str">
        <f t="shared" si="1879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1880"/>
        <v>2851.5129999999999</v>
      </c>
      <c r="AB2628" s="3">
        <f t="shared" si="1881"/>
        <v>35058.800000000003</v>
      </c>
      <c r="AC2628" s="3" cm="1">
        <f t="array" ref="AC2628">100000000/LvacE(AA2628)</f>
        <v>35058.800286969374</v>
      </c>
      <c r="AD2628" s="10">
        <f t="shared" si="1882"/>
        <v>1.1147403200856769E-2</v>
      </c>
      <c r="AE2628" s="10" t="b">
        <f t="shared" si="1883"/>
        <v>1</v>
      </c>
      <c r="AP2628"/>
      <c r="AQ2628"/>
      <c r="AU2628" s="16" cm="1">
        <f t="array" ref="AU2628">$C2628*EXP(poly_from_str(100000000/$E2628,AU$4342))</f>
        <v>0</v>
      </c>
    </row>
    <row r="2629" spans="1:48" x14ac:dyDescent="0.25">
      <c r="A2629" t="s">
        <v>3336</v>
      </c>
      <c r="B2629" s="2" t="str">
        <f t="shared" si="1879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1880"/>
        <v>2851.4859999999999</v>
      </c>
      <c r="AB2629" s="3">
        <f t="shared" si="1881"/>
        <v>35059.129999999997</v>
      </c>
      <c r="AC2629" s="3" cm="1">
        <f t="array" ref="AC2629">100000000/LvacE(AA2629)</f>
        <v>35059.132233876036</v>
      </c>
      <c r="AD2629" s="10">
        <f t="shared" si="1882"/>
        <v>1.1147519615014072E-2</v>
      </c>
      <c r="AE2629" s="10" t="b">
        <f t="shared" si="1883"/>
        <v>1</v>
      </c>
      <c r="AJ2629" t="s">
        <v>4774</v>
      </c>
      <c r="AK2629" t="s">
        <v>4869</v>
      </c>
      <c r="AL2629">
        <v>33466.410000000003</v>
      </c>
      <c r="AM2629">
        <v>68525.62</v>
      </c>
      <c r="AN2629" s="10" cm="1">
        <f t="array" ref="AN2629">Lair(100000000/($AM2629-$AL2629))</f>
        <v>2851.47967098762</v>
      </c>
      <c r="AO2629" s="10">
        <f>100000000/($AM2629-$AL2629)</f>
        <v>2852.3175507947849</v>
      </c>
      <c r="AP2629" s="12">
        <v>48800000</v>
      </c>
      <c r="AQ2629" s="3">
        <v>0.39500000000000002</v>
      </c>
      <c r="AR2629" s="3">
        <f>LN(AU2629*100000000/($AM2629-$AL2629)/AP2629)</f>
        <v>-7.6438820288646765</v>
      </c>
      <c r="AS2629" s="13">
        <f>EXP(AR$4341*$AM2629+AR$4342)*$AP2629/(100000000/($AM2629-$AL2629))</f>
        <v>8.8369648458304795</v>
      </c>
      <c r="AT2629" s="3">
        <f>LN(AS2629/$C2629)</f>
        <v>0.38718400523386837</v>
      </c>
      <c r="AU2629" s="16" cm="1">
        <f t="array" ref="AU2629">$C2629*EXP(poly_from_str(100000000/$E2629,AU$4342))</f>
        <v>8.1945698658266366</v>
      </c>
      <c r="AV2629" s="13">
        <f>LN(AS2629/AU2629)</f>
        <v>7.5471751035144197E-2</v>
      </c>
    </row>
    <row r="2630" spans="1:48" x14ac:dyDescent="0.25">
      <c r="A2630" t="s">
        <v>3337</v>
      </c>
      <c r="B2630" s="2" t="str">
        <f t="shared" si="1879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1880"/>
        <v>2850.9209999999998</v>
      </c>
      <c r="AB2630" s="3">
        <f t="shared" si="1881"/>
        <v>35066.080000000002</v>
      </c>
      <c r="AC2630" s="3" cm="1">
        <f t="array" ref="AC2630">100000000/LvacE(AA2630)</f>
        <v>35066.079972545354</v>
      </c>
      <c r="AD2630" s="10">
        <f t="shared" si="1882"/>
        <v>1.1149956447854107E-2</v>
      </c>
      <c r="AE2630" s="10" t="b">
        <f t="shared" si="1883"/>
        <v>1</v>
      </c>
      <c r="AP2630"/>
      <c r="AQ2630"/>
      <c r="AU2630" s="16" cm="1">
        <f t="array" ref="AU2630">$C2630*EXP(poly_from_str(100000000/$E2630,AU$4342))</f>
        <v>1.3630814747155087</v>
      </c>
    </row>
    <row r="2631" spans="1:48" x14ac:dyDescent="0.25">
      <c r="A2631" t="s">
        <v>3338</v>
      </c>
      <c r="B2631" s="2" t="str">
        <f t="shared" si="1879"/>
        <v/>
      </c>
      <c r="C2631">
        <v>2</v>
      </c>
      <c r="D2631" t="s">
        <v>1156</v>
      </c>
      <c r="E2631">
        <v>35074.97</v>
      </c>
      <c r="R2631">
        <v>26</v>
      </c>
      <c r="S2631" t="s">
        <v>22</v>
      </c>
      <c r="AA2631" s="10">
        <f t="shared" si="1880"/>
        <v>2850.1979999999999</v>
      </c>
      <c r="AB2631" s="3">
        <f t="shared" si="1881"/>
        <v>35074.97</v>
      </c>
      <c r="AC2631" s="3" cm="1">
        <f t="array" ref="AC2631">100000000/LvacE(AA2631)</f>
        <v>35074.974635987215</v>
      </c>
      <c r="AD2631" s="10">
        <f t="shared" si="1882"/>
        <v>1.1153076845185355E-2</v>
      </c>
      <c r="AE2631" s="10" t="b">
        <f t="shared" si="1883"/>
        <v>1</v>
      </c>
      <c r="AP2631"/>
      <c r="AQ2631"/>
      <c r="AU2631" s="16" cm="1">
        <f t="array" ref="AU2631">$C2631*EXP(poly_from_str(100000000/$E2631,AU$4342))</f>
        <v>2.7192996321673348</v>
      </c>
    </row>
    <row r="2632" spans="1:48" x14ac:dyDescent="0.25">
      <c r="A2632" t="s">
        <v>3339</v>
      </c>
      <c r="B2632" s="2" t="str">
        <f t="shared" si="1879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1880"/>
        <v>2850.0479999999998</v>
      </c>
      <c r="AB2632" s="3">
        <f t="shared" si="1881"/>
        <v>35076.82</v>
      </c>
      <c r="AC2632" s="3" cm="1">
        <f t="array" ref="AC2632">100000000/LvacE(AA2632)</f>
        <v>35076.820567052811</v>
      </c>
      <c r="AD2632" s="10">
        <f t="shared" si="1882"/>
        <v>1.1153724527982127E-2</v>
      </c>
      <c r="AE2632" s="10" t="b">
        <f t="shared" si="1883"/>
        <v>1</v>
      </c>
      <c r="AP2632"/>
      <c r="AQ2632"/>
      <c r="AU2632" s="16" cm="1">
        <f t="array" ref="AU2632">$C2632*EXP(poly_from_str(100000000/$E2632,AU$4342))</f>
        <v>0</v>
      </c>
    </row>
    <row r="2633" spans="1:48" x14ac:dyDescent="0.25">
      <c r="A2633" t="s">
        <v>3340</v>
      </c>
      <c r="B2633" s="2" t="str">
        <f t="shared" si="1879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1880"/>
        <v>2850.0259999999998</v>
      </c>
      <c r="AB2633" s="3">
        <f t="shared" si="1881"/>
        <v>35077.089999999997</v>
      </c>
      <c r="AC2633" s="3" cm="1">
        <f t="array" ref="AC2633">100000000/LvacE(AA2633)</f>
        <v>35077.091319946732</v>
      </c>
      <c r="AD2633" s="10">
        <f t="shared" si="1882"/>
        <v>1.11538195300581E-2</v>
      </c>
      <c r="AE2633" s="10" t="b">
        <f t="shared" si="1883"/>
        <v>1</v>
      </c>
      <c r="AP2633"/>
      <c r="AQ2633"/>
      <c r="AU2633" s="16" cm="1">
        <f t="array" ref="AU2633">$C2633*EXP(poly_from_str(100000000/$E2633,AU$4342))</f>
        <v>0</v>
      </c>
    </row>
    <row r="2634" spans="1:48" x14ac:dyDescent="0.25">
      <c r="A2634" t="s">
        <v>3341</v>
      </c>
      <c r="B2634" s="2" t="str">
        <f t="shared" si="1879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1880"/>
        <v>2850.002</v>
      </c>
      <c r="AB2634" s="3">
        <f t="shared" si="1881"/>
        <v>35077.39</v>
      </c>
      <c r="AC2634" s="3" cm="1">
        <f t="array" ref="AC2634">100000000/LvacE(AA2634)</f>
        <v>35077.386691506996</v>
      </c>
      <c r="AD2634" s="10">
        <f t="shared" si="1882"/>
        <v>1.1153923171195493E-2</v>
      </c>
      <c r="AE2634" s="10" t="b">
        <f t="shared" si="1883"/>
        <v>1</v>
      </c>
      <c r="AP2634"/>
      <c r="AQ2634"/>
      <c r="AU2634" s="16" cm="1">
        <f t="array" ref="AU2634">$C2634*EXP(poly_from_str(100000000/$E2634,AU$4342))</f>
        <v>0</v>
      </c>
    </row>
    <row r="2635" spans="1:48" x14ac:dyDescent="0.25">
      <c r="A2635" t="s">
        <v>3342</v>
      </c>
      <c r="B2635" s="2" t="str">
        <f t="shared" si="1879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1880"/>
        <v>2849.9769999999999</v>
      </c>
      <c r="AB2635" s="3">
        <f t="shared" si="1881"/>
        <v>35077.69</v>
      </c>
      <c r="AC2635" s="3" cm="1">
        <f t="array" ref="AC2635">100000000/LvacE(AA2635)</f>
        <v>35077.694375505111</v>
      </c>
      <c r="AD2635" s="10">
        <f t="shared" si="1882"/>
        <v>1.1154031133497763E-2</v>
      </c>
      <c r="AE2635" s="10" t="b">
        <f t="shared" si="1883"/>
        <v>1</v>
      </c>
      <c r="AJ2635" t="s">
        <v>4774</v>
      </c>
      <c r="AK2635" t="s">
        <v>4901</v>
      </c>
      <c r="AL2635">
        <v>33466.410000000003</v>
      </c>
      <c r="AM2635">
        <v>68544.19</v>
      </c>
      <c r="AN2635" s="10" cm="1">
        <f t="array" ref="AN2635">Lair(100000000/($AM2635-$AL2635))</f>
        <v>2849.9700391917067</v>
      </c>
      <c r="AO2635" s="10">
        <f>100000000/($AM2635-$AL2635)</f>
        <v>2850.807548254194</v>
      </c>
      <c r="AP2635" s="12">
        <v>88700000</v>
      </c>
      <c r="AQ2635" s="3">
        <v>0.502</v>
      </c>
      <c r="AR2635" s="3">
        <f>LN(AU2635*100000000/($AM2635-$AL2635)/AP2635)</f>
        <v>-8.4295208425890618</v>
      </c>
      <c r="AS2635" s="13">
        <f>EXP(AR$4341*$AM2635+AR$4342)*$AP2635/(100000000/($AM2635-$AL2635))</f>
        <v>16.048396976397214</v>
      </c>
      <c r="AT2635" s="3">
        <f>LN(AS2635/$C2635)</f>
        <v>1.1661710552939122</v>
      </c>
      <c r="AU2635" s="16" cm="1">
        <f t="array" ref="AU2635">$C2635*EXP(poly_from_str(100000000/$E2635,AU$4342))</f>
        <v>6.792995591958241</v>
      </c>
      <c r="AV2635" s="13">
        <f>LN(AS2635/AU2635)</f>
        <v>0.85971694642848828</v>
      </c>
    </row>
    <row r="2636" spans="1:48" x14ac:dyDescent="0.25">
      <c r="A2636" t="s">
        <v>3343</v>
      </c>
      <c r="B2636" s="2" t="str">
        <f t="shared" si="1879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1880"/>
        <v>2848.6179999999999</v>
      </c>
      <c r="AB2636" s="3">
        <f t="shared" si="1881"/>
        <v>35094.43</v>
      </c>
      <c r="AC2636" s="3" cm="1">
        <f t="array" ref="AC2636">100000000/LvacE(AA2636)</f>
        <v>35094.428203115094</v>
      </c>
      <c r="AD2636" s="10">
        <f t="shared" si="1882"/>
        <v>1.1159904241831494E-2</v>
      </c>
      <c r="AE2636" s="10" t="b">
        <f t="shared" si="1883"/>
        <v>1</v>
      </c>
      <c r="AP2636"/>
      <c r="AQ2636"/>
      <c r="AU2636" s="16" cm="1">
        <f t="array" ref="AU2636">$C2636*EXP(poly_from_str(100000000/$E2636,AU$4342))</f>
        <v>2.7042504364590223</v>
      </c>
    </row>
    <row r="2637" spans="1:48" x14ac:dyDescent="0.25">
      <c r="A2637" t="s">
        <v>3344</v>
      </c>
      <c r="B2637" s="2" t="str">
        <f t="shared" si="1879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1880"/>
        <v>2848.4760000000001</v>
      </c>
      <c r="AB2637" s="3">
        <f t="shared" si="1881"/>
        <v>35096.18</v>
      </c>
      <c r="AC2637" s="3" cm="1">
        <f t="array" ref="AC2637">100000000/LvacE(AA2637)</f>
        <v>35096.17761853004</v>
      </c>
      <c r="AD2637" s="10">
        <f t="shared" si="1882"/>
        <v>1.116051839975658E-2</v>
      </c>
      <c r="AE2637" s="10" t="b">
        <f t="shared" si="1883"/>
        <v>1</v>
      </c>
      <c r="AJ2637" t="s">
        <v>4708</v>
      </c>
      <c r="AK2637" t="s">
        <v>4928</v>
      </c>
      <c r="AL2637">
        <v>28720.71</v>
      </c>
      <c r="AM2637">
        <v>63816.91</v>
      </c>
      <c r="AN2637" s="10" cm="1">
        <f t="array" ref="AN2637">Lair(100000000/($AM2637-$AL2637))</f>
        <v>2848.4741796932481</v>
      </c>
      <c r="AO2637" s="10">
        <f>100000000/($AM2637-$AL2637)</f>
        <v>2849.3113214536043</v>
      </c>
      <c r="AP2637" s="12">
        <v>104000000</v>
      </c>
      <c r="AQ2637" s="3">
        <v>0.14099999999999999</v>
      </c>
      <c r="AR2637" s="3">
        <f>LN(AU2637*100000000/($AM2637-$AL2637)/AP2637)</f>
        <v>-8.257982312096626</v>
      </c>
      <c r="AS2637" s="13">
        <f>EXP(AR$4341*$AM2637+AR$4342)*$AP2637/(100000000/($AM2637-$AL2637))</f>
        <v>26.843722790022117</v>
      </c>
      <c r="AT2637" s="3">
        <f>LN(AS2637/$C2637)</f>
        <v>1.344121856485754</v>
      </c>
      <c r="AU2637" s="16" cm="1">
        <f t="array" ref="AU2637">$C2637*EXP(poly_from_str(100000000/$E2637,AU$4342))</f>
        <v>9.4601339496083057</v>
      </c>
      <c r="AV2637" s="13">
        <f>LN(AS2637/AU2637)</f>
        <v>1.0429454629994812</v>
      </c>
    </row>
    <row r="2638" spans="1:48" x14ac:dyDescent="0.25">
      <c r="A2638" t="s">
        <v>3345</v>
      </c>
      <c r="B2638" s="2" t="str">
        <f t="shared" si="1879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1880"/>
        <v>2848.049</v>
      </c>
      <c r="AB2638" s="3">
        <f t="shared" si="1881"/>
        <v>35101.440000000002</v>
      </c>
      <c r="AC2638" s="3" cm="1">
        <f t="array" ref="AC2638">100000000/LvacE(AA2638)</f>
        <v>35101.439235497506</v>
      </c>
      <c r="AD2638" s="10">
        <f t="shared" si="1882"/>
        <v>1.1162365752045964E-2</v>
      </c>
      <c r="AE2638" s="10" t="b">
        <f t="shared" si="1883"/>
        <v>1</v>
      </c>
      <c r="AP2638"/>
      <c r="AQ2638"/>
      <c r="AU2638" s="16" cm="1">
        <f t="array" ref="AU2638">$C2638*EXP(poly_from_str(100000000/$E2638,AU$4342))</f>
        <v>1.3494104873674202</v>
      </c>
    </row>
    <row r="2639" spans="1:48" x14ac:dyDescent="0.25">
      <c r="A2639" t="s">
        <v>3346</v>
      </c>
      <c r="B2639" s="2" t="str">
        <f t="shared" si="1879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1880"/>
        <v>2847.9659999999999</v>
      </c>
      <c r="AB2639" s="3">
        <f t="shared" si="1881"/>
        <v>35102.46</v>
      </c>
      <c r="AC2639" s="3" cm="1">
        <f t="array" ref="AC2639">100000000/LvacE(AA2639)</f>
        <v>35102.462168533079</v>
      </c>
      <c r="AD2639" s="10">
        <f t="shared" si="1882"/>
        <v>1.116272493571431E-2</v>
      </c>
      <c r="AE2639" s="10" t="b">
        <f t="shared" si="1883"/>
        <v>1</v>
      </c>
      <c r="AJ2639" t="s">
        <v>4838</v>
      </c>
      <c r="AK2639" t="s">
        <v>4836</v>
      </c>
      <c r="AL2639">
        <v>69686.259999999995</v>
      </c>
      <c r="AM2639">
        <v>104788.68</v>
      </c>
      <c r="AN2639" s="10" cm="1">
        <f t="array" ref="AN2639">Lair(100000000/($AM2639-$AL2639))</f>
        <v>2847.9694177359897</v>
      </c>
      <c r="AO2639" s="10">
        <f>100000000/($AM2639-$AL2639)</f>
        <v>2848.8064355676902</v>
      </c>
      <c r="AP2639" s="12">
        <v>20100000</v>
      </c>
      <c r="AQ2639" s="3">
        <v>0.443</v>
      </c>
      <c r="AR2639" s="3">
        <f>LN(AU2639*100000000/($AM2639-$AL2639)/AP2639)</f>
        <v>-8.5622000656685895</v>
      </c>
      <c r="AS2639" s="13">
        <f>EXP(AR$4341*$AM2639+AR$4342)*$AP2639/(100000000/($AM2639-$AL2639))</f>
        <v>0.23972557382195031</v>
      </c>
      <c r="AT2639" s="3">
        <f>LN(AS2639/$C2639)</f>
        <v>-1.42826045227772</v>
      </c>
      <c r="AU2639" s="16" cm="1">
        <f t="array" ref="AU2639">$C2639*EXP(poly_from_str(100000000/$E2639,AU$4342))</f>
        <v>1.3490152965717126</v>
      </c>
      <c r="AV2639" s="13">
        <f>LN(AS2639/AU2639)</f>
        <v>-1.7276353686323143</v>
      </c>
    </row>
    <row r="2640" spans="1:48" x14ac:dyDescent="0.25">
      <c r="A2640" t="s">
        <v>3347</v>
      </c>
      <c r="B2640" s="2" t="str">
        <f t="shared" si="1879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1880"/>
        <v>2844.0880000000002</v>
      </c>
      <c r="AB2640" s="3">
        <f t="shared" si="1881"/>
        <v>35150.32</v>
      </c>
      <c r="AC2640" s="3" cm="1">
        <f t="array" ref="AC2640">100000000/LvacE(AA2640)</f>
        <v>35150.323115944826</v>
      </c>
      <c r="AD2640" s="10">
        <f t="shared" si="1882"/>
        <v>1.1179542109095223E-2</v>
      </c>
      <c r="AE2640" s="10" t="b">
        <f t="shared" si="1883"/>
        <v>1</v>
      </c>
      <c r="AP2640"/>
      <c r="AQ2640"/>
      <c r="AU2640" s="16" cm="1">
        <f t="array" ref="AU2640">$C2640*EXP(poly_from_str(100000000/$E2640,AU$4342))</f>
        <v>2.6608467007546488</v>
      </c>
    </row>
    <row r="2641" spans="1:48" x14ac:dyDescent="0.25">
      <c r="A2641" t="s">
        <v>3348</v>
      </c>
      <c r="B2641" s="2" t="str">
        <f t="shared" si="1879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1880"/>
        <v>2843.4079999999999</v>
      </c>
      <c r="AB2641" s="3">
        <f t="shared" si="1881"/>
        <v>35158.730000000003</v>
      </c>
      <c r="AC2641" s="3" cm="1">
        <f t="array" ref="AC2641">100000000/LvacE(AA2641)</f>
        <v>35158.728894759064</v>
      </c>
      <c r="AD2641" s="10">
        <f t="shared" si="1882"/>
        <v>1.118249806126294E-2</v>
      </c>
      <c r="AE2641" s="10" t="b">
        <f t="shared" si="1883"/>
        <v>1</v>
      </c>
      <c r="AJ2641" t="s">
        <v>4736</v>
      </c>
      <c r="AK2641" t="s">
        <v>4822</v>
      </c>
      <c r="AL2641">
        <v>26446.97</v>
      </c>
      <c r="AM2641">
        <v>61605.66</v>
      </c>
      <c r="AN2641" s="10" cm="1">
        <f t="array" ref="AN2641">Lair(100000000/($AM2641-$AL2641))</f>
        <v>2843.4111420592885</v>
      </c>
      <c r="AO2641" s="10">
        <f>100000000/($AM2641-$AL2641)</f>
        <v>2844.2470410586966</v>
      </c>
      <c r="AP2641" s="12">
        <v>2450000</v>
      </c>
      <c r="AQ2641" s="3">
        <v>1.7000000000000001E-2</v>
      </c>
      <c r="AR2641" s="3"/>
      <c r="AS2641" s="13">
        <f>EXP(AR$4341*$AM2641+AR$4342)*$AP2641/(100000000/($AM2641-$AL2641))</f>
        <v>0.74785604713822129</v>
      </c>
      <c r="AT2641" s="3"/>
      <c r="AU2641" s="16" cm="1">
        <f t="array" ref="AU2641">$C2641*EXP(poly_from_str(100000000/$E2641,AU$4342))</f>
        <v>1.3271469560297193</v>
      </c>
    </row>
    <row r="2642" spans="1:48" x14ac:dyDescent="0.25">
      <c r="A2642" t="s">
        <v>3349</v>
      </c>
      <c r="B2642" s="2" t="str">
        <f t="shared" si="1879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1880"/>
        <v>2841.9749999999999</v>
      </c>
      <c r="AB2642" s="3">
        <f t="shared" si="1881"/>
        <v>35176.46</v>
      </c>
      <c r="AC2642" s="3" cm="1">
        <f t="array" ref="AC2642">100000000/LvacE(AA2642)</f>
        <v>35176.456006581808</v>
      </c>
      <c r="AD2642" s="10">
        <f t="shared" si="1882"/>
        <v>1.1188734244070023E-2</v>
      </c>
      <c r="AE2642" s="10" t="b">
        <f t="shared" si="1883"/>
        <v>1</v>
      </c>
      <c r="AP2642"/>
      <c r="AQ2642"/>
      <c r="AU2642" s="16" cm="1">
        <f t="array" ref="AU2642">$C2642*EXP(poly_from_str(100000000/$E2642,AU$4342))</f>
        <v>0</v>
      </c>
    </row>
    <row r="2643" spans="1:48" x14ac:dyDescent="0.25">
      <c r="A2643" t="s">
        <v>3350</v>
      </c>
      <c r="B2643" s="2" t="str">
        <f t="shared" si="1879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1884">$G2643&amp;""</f>
        <v>e</v>
      </c>
      <c r="N2643" t="str">
        <f t="shared" ref="N2643:N2644" si="1885">$H2643&amp;""</f>
        <v>7/2</v>
      </c>
      <c r="O2643">
        <v>63576.27</v>
      </c>
      <c r="P2643" t="str">
        <f t="shared" ref="P2643:P2644" si="1886">$J2643&amp;""</f>
        <v>o</v>
      </c>
      <c r="Q2643" t="str">
        <f t="shared" ref="Q2643:Q2644" si="1887">$K2643&amp;""</f>
        <v>5/2</v>
      </c>
      <c r="R2643">
        <v>26</v>
      </c>
      <c r="AA2643" s="10">
        <f t="shared" si="1880"/>
        <v>2841.9389999999999</v>
      </c>
      <c r="AB2643" s="3">
        <f t="shared" si="1881"/>
        <v>35176.9</v>
      </c>
      <c r="AC2643" s="3" cm="1">
        <f t="array" ref="AC2643">100000000/LvacE(AA2643)</f>
        <v>35176.901579415317</v>
      </c>
      <c r="AD2643" s="10">
        <f t="shared" si="1882"/>
        <v>1.1188891031689161E-2</v>
      </c>
      <c r="AE2643" s="10" t="b">
        <f t="shared" si="1883"/>
        <v>1</v>
      </c>
      <c r="AJ2643" t="s">
        <v>4975</v>
      </c>
      <c r="AK2643" t="s">
        <v>4843</v>
      </c>
      <c r="AL2643">
        <v>28399.43</v>
      </c>
      <c r="AM2643">
        <v>63576.27</v>
      </c>
      <c r="AN2643" s="10" cm="1">
        <f t="array" ref="AN2643">Lair(100000000/($AM2643-$AL2643))</f>
        <v>2841.9439716089705</v>
      </c>
      <c r="AO2643" s="10">
        <f t="shared" ref="AO2643:AO2644" si="1888">100000000/($AM2643-$AL2643)</f>
        <v>2842.779510609822</v>
      </c>
      <c r="AP2643" s="12">
        <v>373000000</v>
      </c>
      <c r="AQ2643" s="3">
        <v>0.58899999999999997</v>
      </c>
      <c r="AR2643" s="3">
        <f t="shared" ref="AR2643:AR2644" si="1889">LN(AU2643*100000000/($AM2643-$AL2643)/AP2643)</f>
        <v>-8.5111424893611325</v>
      </c>
      <c r="AS2643" s="13">
        <f t="shared" ref="AS2643:AS2644" si="1890">EXP(AR$4341*$AM2643+AR$4342)*$AP2643/(100000000/($AM2643-$AL2643))</f>
        <v>98.255755319639235</v>
      </c>
      <c r="AT2643" s="3">
        <f t="shared" ref="AT2643:AT2644" si="1891">LN(AS2643/$C2643)</f>
        <v>1.5918415537966759</v>
      </c>
      <c r="AU2643" s="16" cm="1">
        <f t="array" ref="AU2643">$C2643*EXP(poly_from_str(100000000/$E2643,AU$4342))</f>
        <v>26.401186037030634</v>
      </c>
      <c r="AV2643" s="13">
        <f t="shared" ref="AV2643:AV2644" si="1892">LN(AS2643/AU2643)</f>
        <v>1.3141648925624232</v>
      </c>
    </row>
    <row r="2644" spans="1:48" x14ac:dyDescent="0.25">
      <c r="A2644" t="s">
        <v>3351</v>
      </c>
      <c r="B2644" s="2" t="str">
        <f t="shared" si="1879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1884"/>
        <v>e</v>
      </c>
      <c r="N2644" t="str">
        <f t="shared" si="1885"/>
        <v>11/2</v>
      </c>
      <c r="O2644">
        <v>62558.67</v>
      </c>
      <c r="P2644" t="str">
        <f t="shared" si="1886"/>
        <v>o</v>
      </c>
      <c r="Q2644" t="str">
        <f t="shared" si="1887"/>
        <v>11/2</v>
      </c>
      <c r="R2644">
        <v>26</v>
      </c>
      <c r="AA2644" s="10">
        <f t="shared" si="1880"/>
        <v>2841.8220000000001</v>
      </c>
      <c r="AB2644" s="3">
        <f t="shared" si="1881"/>
        <v>35178.35</v>
      </c>
      <c r="AC2644" s="3" cm="1">
        <f t="array" ref="AC2644">100000000/LvacE(AA2644)</f>
        <v>35178.349769081869</v>
      </c>
      <c r="AD2644" s="10">
        <f t="shared" si="1882"/>
        <v>1.1189400632601525E-2</v>
      </c>
      <c r="AE2644" s="10" t="b">
        <f t="shared" si="1883"/>
        <v>1</v>
      </c>
      <c r="AJ2644" t="s">
        <v>4712</v>
      </c>
      <c r="AK2644" t="s">
        <v>4821</v>
      </c>
      <c r="AL2644">
        <v>27380.31</v>
      </c>
      <c r="AM2644">
        <v>62558.67</v>
      </c>
      <c r="AN2644" s="10" cm="1">
        <f t="array" ref="AN2644">Lair(100000000/($AM2644-$AL2644))</f>
        <v>2841.8211698364416</v>
      </c>
      <c r="AO2644" s="10">
        <f t="shared" si="1888"/>
        <v>2842.6566787081601</v>
      </c>
      <c r="AP2644" s="12">
        <v>29500000</v>
      </c>
      <c r="AQ2644" s="3">
        <v>0.16600000000000001</v>
      </c>
      <c r="AR2644" s="3">
        <f t="shared" si="1889"/>
        <v>-6.8907172252071405</v>
      </c>
      <c r="AS2644" s="13">
        <f t="shared" si="1890"/>
        <v>8.3879526094916805</v>
      </c>
      <c r="AT2644" s="3">
        <f t="shared" si="1891"/>
        <v>4.7354921545556067E-2</v>
      </c>
      <c r="AU2644" s="16" cm="1">
        <f t="array" ref="AU2644">$C2644*EXP(poly_from_str(100000000/$E2644,AU$4342))</f>
        <v>10.555945460647193</v>
      </c>
      <c r="AV2644" s="13">
        <f t="shared" si="1892"/>
        <v>-0.2298927887338269</v>
      </c>
    </row>
    <row r="2645" spans="1:48" x14ac:dyDescent="0.25">
      <c r="A2645" t="s">
        <v>3352</v>
      </c>
      <c r="B2645" s="2" t="str">
        <f t="shared" si="1879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1880"/>
        <v>2841.56</v>
      </c>
      <c r="AB2645" s="3">
        <f t="shared" si="1881"/>
        <v>35181.589999999997</v>
      </c>
      <c r="AC2645" s="3" cm="1">
        <f t="array" ref="AC2645">100000000/LvacE(AA2645)</f>
        <v>35181.593156219024</v>
      </c>
      <c r="AD2645" s="10">
        <f t="shared" si="1882"/>
        <v>1.1190542018507268E-2</v>
      </c>
      <c r="AE2645" s="10" t="b">
        <f t="shared" si="1883"/>
        <v>1</v>
      </c>
      <c r="AP2645"/>
      <c r="AQ2645"/>
      <c r="AU2645" s="16" cm="1">
        <f t="array" ref="AU2645">$C2645*EXP(poly_from_str(100000000/$E2645,AU$4342))</f>
        <v>1.3182279321773649</v>
      </c>
    </row>
    <row r="2646" spans="1:48" x14ac:dyDescent="0.25">
      <c r="A2646" t="s">
        <v>3353</v>
      </c>
      <c r="B2646" s="2" t="str">
        <f t="shared" si="1879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1880"/>
        <v>2840.9769999999999</v>
      </c>
      <c r="AB2646" s="3">
        <f t="shared" si="1881"/>
        <v>35188.81</v>
      </c>
      <c r="AC2646" s="3" cm="1">
        <f t="array" ref="AC2646">100000000/LvacE(AA2646)</f>
        <v>35188.812457998123</v>
      </c>
      <c r="AD2646" s="10">
        <f t="shared" si="1882"/>
        <v>1.1193082953152758E-2</v>
      </c>
      <c r="AE2646" s="10" t="b">
        <f t="shared" si="1883"/>
        <v>1</v>
      </c>
      <c r="AJ2646" t="s">
        <v>4828</v>
      </c>
      <c r="AK2646" t="s">
        <v>4833</v>
      </c>
      <c r="AL2646">
        <v>30733.53</v>
      </c>
      <c r="AM2646">
        <v>65922.42</v>
      </c>
      <c r="AN2646" s="10" cm="1">
        <f t="array" ref="AN2646">Lair(100000000/($AM2646-$AL2646))</f>
        <v>2840.9707357082789</v>
      </c>
      <c r="AO2646" s="10">
        <f>100000000/($AM2646-$AL2646)</f>
        <v>2841.8060359391843</v>
      </c>
      <c r="AP2646" s="12">
        <v>118000000</v>
      </c>
      <c r="AQ2646" s="3">
        <v>0.06</v>
      </c>
      <c r="AR2646" s="3">
        <f>LN(AU2646*100000000/($AM2646-$AL2646)/AP2646)</f>
        <v>-8.2804123493476407</v>
      </c>
      <c r="AS2646" s="13">
        <f>EXP(AR$4341*$AM2646+AR$4342)*$AP2646/(100000000/($AM2646-$AL2646))</f>
        <v>26.074336969596306</v>
      </c>
      <c r="AT2646" s="3">
        <f>LN(AS2646/$C2646)</f>
        <v>1.1815100310638154</v>
      </c>
      <c r="AU2646" s="16" cm="1">
        <f t="array" ref="AU2646">$C2646*EXP(poly_from_str(100000000/$E2646,AU$4342))</f>
        <v>10.523257165662098</v>
      </c>
      <c r="AV2646" s="13">
        <f>LN(AS2646/AU2646)</f>
        <v>0.90736379684758328</v>
      </c>
    </row>
    <row r="2647" spans="1:48" x14ac:dyDescent="0.25">
      <c r="A2647" t="s">
        <v>3354</v>
      </c>
      <c r="B2647" s="2" t="str">
        <f t="shared" si="1879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1880"/>
        <v>2840.94</v>
      </c>
      <c r="AB2647" s="3">
        <f t="shared" si="1881"/>
        <v>35189.269999999997</v>
      </c>
      <c r="AC2647" s="3" cm="1">
        <f t="array" ref="AC2647">100000000/LvacE(AA2647)</f>
        <v>35189.27072979074</v>
      </c>
      <c r="AD2647" s="10">
        <f t="shared" si="1882"/>
        <v>1.1193244265945555E-2</v>
      </c>
      <c r="AE2647" s="10" t="b">
        <f t="shared" si="1883"/>
        <v>1</v>
      </c>
      <c r="AP2647"/>
      <c r="AQ2647"/>
      <c r="AU2647" s="16" cm="1">
        <f t="array" ref="AU2647">$C2647*EXP(poly_from_str(100000000/$E2647,AU$4342))</f>
        <v>0</v>
      </c>
    </row>
    <row r="2648" spans="1:48" x14ac:dyDescent="0.25">
      <c r="A2648" t="s">
        <v>3355</v>
      </c>
      <c r="B2648" s="2" t="str">
        <f t="shared" si="1879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1880"/>
        <v>2840.9079999999999</v>
      </c>
      <c r="AB2648" s="3">
        <f t="shared" si="1881"/>
        <v>35189.67</v>
      </c>
      <c r="AC2648" s="3" cm="1">
        <f t="array" ref="AC2648">100000000/LvacE(AA2648)</f>
        <v>35189.667082588276</v>
      </c>
      <c r="AD2648" s="10">
        <f t="shared" si="1882"/>
        <v>1.1193383784794911E-2</v>
      </c>
      <c r="AE2648" s="10" t="b">
        <f t="shared" si="1883"/>
        <v>1</v>
      </c>
      <c r="AP2648"/>
      <c r="AQ2648"/>
      <c r="AU2648" s="16" cm="1">
        <f t="array" ref="AU2648">$C2648*EXP(poly_from_str(100000000/$E2648,AU$4342))</f>
        <v>0</v>
      </c>
    </row>
    <row r="2649" spans="1:48" x14ac:dyDescent="0.25">
      <c r="A2649" t="s">
        <v>3356</v>
      </c>
      <c r="B2649" s="2" t="str">
        <f t="shared" si="1879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1880"/>
        <v>2840.88</v>
      </c>
      <c r="AB2649" s="3">
        <f t="shared" si="1881"/>
        <v>35190.01</v>
      </c>
      <c r="AC2649" s="3" cm="1">
        <f t="array" ref="AC2649">100000000/LvacE(AA2649)</f>
        <v>35190.013898610159</v>
      </c>
      <c r="AD2649" s="10">
        <f t="shared" si="1882"/>
        <v>1.1193505867655473E-2</v>
      </c>
      <c r="AE2649" s="10" t="b">
        <f t="shared" si="1883"/>
        <v>1</v>
      </c>
      <c r="AP2649"/>
      <c r="AQ2649"/>
      <c r="AU2649" s="16" cm="1">
        <f t="array" ref="AU2649">$C2649*EXP(poly_from_str(100000000/$E2649,AU$4342))</f>
        <v>0</v>
      </c>
    </row>
    <row r="2650" spans="1:48" x14ac:dyDescent="0.25">
      <c r="A2650" t="s">
        <v>3357</v>
      </c>
      <c r="B2650" s="2" t="str">
        <f t="shared" si="1879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1880"/>
        <v>2840.5859999999998</v>
      </c>
      <c r="AB2650" s="3">
        <f t="shared" si="1881"/>
        <v>35193.660000000003</v>
      </c>
      <c r="AC2650" s="3" cm="1">
        <f t="array" ref="AC2650">100000000/LvacE(AA2650)</f>
        <v>35193.655879600708</v>
      </c>
      <c r="AD2650" s="10">
        <f t="shared" si="1882"/>
        <v>1.1194787955654347E-2</v>
      </c>
      <c r="AE2650" s="10" t="b">
        <f t="shared" si="1883"/>
        <v>1</v>
      </c>
      <c r="AP2650"/>
      <c r="AQ2650"/>
      <c r="AU2650" s="16" cm="1">
        <f t="array" ref="AU2650">$C2650*EXP(poly_from_str(100000000/$E2650,AU$4342))</f>
        <v>2.6270225961754616</v>
      </c>
    </row>
    <row r="2651" spans="1:48" x14ac:dyDescent="0.25">
      <c r="A2651" t="s">
        <v>3358</v>
      </c>
      <c r="B2651" s="2" t="str">
        <f t="shared" si="1879"/>
        <v/>
      </c>
      <c r="C2651">
        <v>5</v>
      </c>
      <c r="D2651" t="s">
        <v>1156</v>
      </c>
      <c r="E2651">
        <v>35206.620000000003</v>
      </c>
      <c r="R2651">
        <v>26</v>
      </c>
      <c r="S2651" t="s">
        <v>22</v>
      </c>
      <c r="AA2651" s="10">
        <f t="shared" si="1880"/>
        <v>2839.54</v>
      </c>
      <c r="AB2651" s="3">
        <f t="shared" si="1881"/>
        <v>35206.620000000003</v>
      </c>
      <c r="AC2651" s="3" cm="1">
        <f t="array" ref="AC2651">100000000/LvacE(AA2651)</f>
        <v>35206.619518022329</v>
      </c>
      <c r="AD2651" s="10">
        <f t="shared" si="1882"/>
        <v>1.1199352627190025E-2</v>
      </c>
      <c r="AE2651" s="10" t="b">
        <f t="shared" si="1883"/>
        <v>1</v>
      </c>
      <c r="AP2651"/>
      <c r="AQ2651"/>
      <c r="AU2651" s="16" cm="1">
        <f t="array" ref="AU2651">$C2651*EXP(poly_from_str(100000000/$E2651,AU$4342))</f>
        <v>6.5422072571372532</v>
      </c>
    </row>
    <row r="2652" spans="1:48" x14ac:dyDescent="0.25">
      <c r="A2652" t="s">
        <v>3359</v>
      </c>
      <c r="B2652" s="2" t="str">
        <f t="shared" si="1879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1880"/>
        <v>2838.4609999999998</v>
      </c>
      <c r="AB2652" s="3">
        <f t="shared" si="1881"/>
        <v>35220</v>
      </c>
      <c r="AC2652" s="3" cm="1">
        <f t="array" ref="AC2652">100000000/LvacE(AA2652)</f>
        <v>35220.002153598951</v>
      </c>
      <c r="AD2652" s="10">
        <f t="shared" si="1882"/>
        <v>1.1204066596933859E-2</v>
      </c>
      <c r="AE2652" s="10" t="b">
        <f t="shared" si="1883"/>
        <v>1</v>
      </c>
      <c r="AJ2652" t="s">
        <v>4810</v>
      </c>
      <c r="AK2652" t="s">
        <v>4922</v>
      </c>
      <c r="AL2652">
        <v>35801.120000000003</v>
      </c>
      <c r="AM2652">
        <v>71021.100000000006</v>
      </c>
      <c r="AN2652" s="10" cm="1">
        <f t="array" ref="AN2652">Lair(100000000/($AM2652-$AL2652))</f>
        <v>2838.4627818911276</v>
      </c>
      <c r="AO2652" s="10">
        <f>100000000/($AM2652-$AL2652)</f>
        <v>2839.2974669491578</v>
      </c>
      <c r="AP2652" s="12">
        <v>92000000</v>
      </c>
      <c r="AQ2652" s="3">
        <v>0.34399999999999997</v>
      </c>
      <c r="AR2652" s="3">
        <f>LN(AU2652*100000000/($AM2652-$AL2652)/AP2652)</f>
        <v>-8.1752530052149552</v>
      </c>
      <c r="AS2652" s="13">
        <f>EXP(AR$4341*$AM2652+AR$4342)*$AP2652/(100000000/($AM2652-$AL2652))</f>
        <v>13.87792209731648</v>
      </c>
      <c r="AT2652" s="3">
        <f>LN(AS2652/$C2652)</f>
        <v>0.68438909001217429</v>
      </c>
      <c r="AU2652" s="16" cm="1">
        <f t="array" ref="AU2652">$C2652*EXP(poly_from_str(100000000/$E2652,AU$4342))</f>
        <v>9.1224116098655337</v>
      </c>
      <c r="AV2652" s="13">
        <f>LN(AS2652/AU2652)</f>
        <v>0.41956503903062897</v>
      </c>
    </row>
    <row r="2653" spans="1:48" x14ac:dyDescent="0.25">
      <c r="A2653" t="s">
        <v>3360</v>
      </c>
      <c r="B2653" s="2" t="str">
        <f t="shared" si="1879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1880"/>
        <v>2838.0120000000002</v>
      </c>
      <c r="AB2653" s="3">
        <f t="shared" si="1881"/>
        <v>35225.57</v>
      </c>
      <c r="AC2653" s="3" cm="1">
        <f t="array" ref="AC2653">100000000/LvacE(AA2653)</f>
        <v>35225.57401482288</v>
      </c>
      <c r="AD2653" s="10">
        <f t="shared" si="1882"/>
        <v>1.1206029786840731E-2</v>
      </c>
      <c r="AE2653" s="10" t="b">
        <f t="shared" si="1883"/>
        <v>1</v>
      </c>
      <c r="AP2653"/>
      <c r="AQ2653"/>
      <c r="AU2653" s="16" cm="1">
        <f t="array" ref="AU2653">$C2653*EXP(poly_from_str(100000000/$E2653,AU$4342))</f>
        <v>0</v>
      </c>
    </row>
    <row r="2654" spans="1:48" x14ac:dyDescent="0.25">
      <c r="A2654" t="s">
        <v>3361</v>
      </c>
      <c r="B2654" s="2" t="str">
        <f t="shared" si="1879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1880"/>
        <v>2837.982</v>
      </c>
      <c r="AB2654" s="3">
        <f t="shared" si="1881"/>
        <v>35225.949999999997</v>
      </c>
      <c r="AC2654" s="3" cm="1">
        <f t="array" ref="AC2654">100000000/LvacE(AA2654)</f>
        <v>35225.946362366594</v>
      </c>
      <c r="AD2654" s="10">
        <f t="shared" si="1882"/>
        <v>1.1206160990867207E-2</v>
      </c>
      <c r="AE2654" s="10" t="b">
        <f t="shared" si="1883"/>
        <v>1</v>
      </c>
      <c r="AP2654"/>
      <c r="AQ2654"/>
      <c r="AU2654" s="16" cm="1">
        <f t="array" ref="AU2654">$C2654*EXP(poly_from_str(100000000/$E2654,AU$4342))</f>
        <v>0</v>
      </c>
    </row>
    <row r="2655" spans="1:48" x14ac:dyDescent="0.25">
      <c r="A2655" t="s">
        <v>3362</v>
      </c>
      <c r="B2655" s="2" t="str">
        <f t="shared" si="1879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1880"/>
        <v>2837.9490000000001</v>
      </c>
      <c r="AB2655" s="3">
        <f t="shared" si="1881"/>
        <v>35226.36</v>
      </c>
      <c r="AC2655" s="3" cm="1">
        <f t="array" ref="AC2655">100000000/LvacE(AA2655)</f>
        <v>35226.355953756247</v>
      </c>
      <c r="AD2655" s="10">
        <f t="shared" si="1882"/>
        <v>1.120630532010199E-2</v>
      </c>
      <c r="AE2655" s="10" t="b">
        <f t="shared" si="1883"/>
        <v>1</v>
      </c>
      <c r="AP2655"/>
      <c r="AQ2655"/>
      <c r="AU2655" s="16" cm="1">
        <f t="array" ref="AU2655">$C2655*EXP(poly_from_str(100000000/$E2655,AU$4342))</f>
        <v>2.6014181167368036</v>
      </c>
    </row>
    <row r="2656" spans="1:48" x14ac:dyDescent="0.25">
      <c r="A2656" t="s">
        <v>3363</v>
      </c>
      <c r="B2656" s="2" t="str">
        <f t="shared" si="1879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1880"/>
        <v>2837.3679999999999</v>
      </c>
      <c r="AB2656" s="3">
        <f t="shared" si="1881"/>
        <v>35233.57</v>
      </c>
      <c r="AC2656" s="3" cm="1">
        <f t="array" ref="AC2656">100000000/LvacE(AA2656)</f>
        <v>35233.568804956405</v>
      </c>
      <c r="AD2656" s="10">
        <f t="shared" si="1882"/>
        <v>1.1208847214206336E-2</v>
      </c>
      <c r="AE2656" s="10" t="b">
        <f t="shared" si="1883"/>
        <v>1</v>
      </c>
      <c r="AJ2656" t="s">
        <v>4828</v>
      </c>
      <c r="AK2656" t="s">
        <v>4935</v>
      </c>
      <c r="AL2656">
        <v>30733.53</v>
      </c>
      <c r="AM2656">
        <v>65967.149999999994</v>
      </c>
      <c r="AN2656" s="10" cm="1">
        <f t="array" ref="AN2656">Lair(100000000/($AM2656-$AL2656))</f>
        <v>2837.3638734583051</v>
      </c>
      <c r="AO2656" s="10">
        <f>100000000/($AM2656-$AL2656)</f>
        <v>2838.1982890205436</v>
      </c>
      <c r="AP2656" s="12">
        <v>67900000</v>
      </c>
      <c r="AQ2656" s="3">
        <v>0.2</v>
      </c>
      <c r="AR2656" s="3">
        <f>LN(AU2656*100000000/($AM2656-$AL2656)/AP2656)</f>
        <v>-7.6246636883505952</v>
      </c>
      <c r="AS2656" s="13">
        <f>EXP(AR$4341*$AM2656+AR$4342)*$AP2656/(100000000/($AM2656-$AL2656))</f>
        <v>14.972519295704535</v>
      </c>
      <c r="AT2656" s="3">
        <f>LN(AS2656/$C2656)</f>
        <v>0.50899189656242838</v>
      </c>
      <c r="AU2656" s="16" cm="1">
        <f t="array" ref="AU2656">$C2656*EXP(poly_from_str(100000000/$E2656,AU$4342))</f>
        <v>11.680936799468101</v>
      </c>
      <c r="AV2656" s="13">
        <f>LN(AS2656/AU2656)</f>
        <v>0.24825829428093776</v>
      </c>
    </row>
    <row r="2657" spans="1:48" x14ac:dyDescent="0.25">
      <c r="A2657" t="s">
        <v>3364</v>
      </c>
      <c r="B2657" s="2" t="str">
        <f t="shared" si="1879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1880"/>
        <v>2837.3330000000001</v>
      </c>
      <c r="AB2657" s="3">
        <f t="shared" si="1881"/>
        <v>35234</v>
      </c>
      <c r="AC2657" s="3" cm="1">
        <f t="array" ref="AC2657">100000000/LvacE(AA2657)</f>
        <v>35234.003408390803</v>
      </c>
      <c r="AD2657" s="10">
        <f t="shared" si="1882"/>
        <v>1.1209000390223989E-2</v>
      </c>
      <c r="AE2657" s="10" t="b">
        <f t="shared" si="1883"/>
        <v>1</v>
      </c>
      <c r="AP2657"/>
      <c r="AQ2657"/>
      <c r="AU2657" s="16" cm="1">
        <f t="array" ref="AU2657">$C2657*EXP(poly_from_str(100000000/$E2657,AU$4342))</f>
        <v>0</v>
      </c>
    </row>
    <row r="2658" spans="1:48" x14ac:dyDescent="0.25">
      <c r="A2658" t="s">
        <v>3365</v>
      </c>
      <c r="B2658" s="2" t="str">
        <f t="shared" si="1879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1880"/>
        <v>2837.3009999999999</v>
      </c>
      <c r="AB2658" s="3">
        <f t="shared" si="1881"/>
        <v>35234.400000000001</v>
      </c>
      <c r="AC2658" s="3" cm="1">
        <f t="array" ref="AC2658">100000000/LvacE(AA2658)</f>
        <v>35234.400769484484</v>
      </c>
      <c r="AD2658" s="10">
        <f t="shared" si="1882"/>
        <v>1.1209140441829135E-2</v>
      </c>
      <c r="AE2658" s="10" t="b">
        <f t="shared" si="1883"/>
        <v>1</v>
      </c>
      <c r="AP2658"/>
      <c r="AQ2658"/>
      <c r="AU2658" s="16" cm="1">
        <f t="array" ref="AU2658">$C2658*EXP(poly_from_str(100000000/$E2658,AU$4342))</f>
        <v>0</v>
      </c>
    </row>
    <row r="2659" spans="1:48" x14ac:dyDescent="0.25">
      <c r="A2659" t="s">
        <v>3366</v>
      </c>
      <c r="B2659" s="2" t="str">
        <f t="shared" si="1879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1880"/>
        <v>2837.2759999999998</v>
      </c>
      <c r="AB2659" s="3">
        <f t="shared" si="1881"/>
        <v>35234.71</v>
      </c>
      <c r="AC2659" s="3" cm="1">
        <f t="array" ref="AC2659">100000000/LvacE(AA2659)</f>
        <v>35234.711214074989</v>
      </c>
      <c r="AD2659" s="10">
        <f t="shared" si="1882"/>
        <v>1.1209249860442725E-2</v>
      </c>
      <c r="AE2659" s="10" t="b">
        <f t="shared" si="1883"/>
        <v>1</v>
      </c>
      <c r="AP2659"/>
      <c r="AQ2659"/>
      <c r="AU2659" s="16" cm="1">
        <f t="array" ref="AU2659">$C2659*EXP(poly_from_str(100000000/$E2659,AU$4342))</f>
        <v>0</v>
      </c>
    </row>
    <row r="2660" spans="1:48" x14ac:dyDescent="0.25">
      <c r="A2660" t="s">
        <v>3367</v>
      </c>
      <c r="B2660" s="2" t="str">
        <f t="shared" si="1879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1880"/>
        <v>2835.9949999999999</v>
      </c>
      <c r="AB2660" s="3">
        <f t="shared" si="1881"/>
        <v>35250.629999999997</v>
      </c>
      <c r="AC2660" s="3" cm="1">
        <f t="array" ref="AC2660">100000000/LvacE(AA2660)</f>
        <v>35250.625719642623</v>
      </c>
      <c r="AD2660" s="10">
        <f t="shared" si="1882"/>
        <v>1.1214860343484848E-2</v>
      </c>
      <c r="AE2660" s="10" t="b">
        <f t="shared" si="1883"/>
        <v>1</v>
      </c>
      <c r="AJ2660" t="s">
        <v>4876</v>
      </c>
      <c r="AK2660" t="s">
        <v>4887</v>
      </c>
      <c r="AL2660">
        <v>70381.48</v>
      </c>
      <c r="AM2660">
        <v>105632.16</v>
      </c>
      <c r="AN2660" s="10" cm="1">
        <f t="array" ref="AN2660">Lair(100000000/($AM2660-$AL2660))</f>
        <v>2835.9906292274486</v>
      </c>
      <c r="AO2660" s="10">
        <f>100000000/($AM2660-$AL2660)</f>
        <v>2836.8247080623687</v>
      </c>
      <c r="AP2660" s="12">
        <v>99800000</v>
      </c>
      <c r="AQ2660" s="3">
        <v>0.433</v>
      </c>
      <c r="AR2660" s="3">
        <f>LN(AU2660*100000000/($AM2660-$AL2660)/AP2660)</f>
        <v>-10.212676664180368</v>
      </c>
      <c r="AS2660" s="13">
        <f>EXP(AR$4341*$AM2660+AR$4342)*$AP2660/(100000000/($AM2660-$AL2660))</f>
        <v>1.1219881222742498</v>
      </c>
      <c r="AT2660" s="3">
        <f>LN(AS2660/$C2660)</f>
        <v>0.11510222083613678</v>
      </c>
      <c r="AU2660" s="16" cm="1">
        <f t="array" ref="AU2660">$C2660*EXP(poly_from_str(100000000/$E2660,AU$4342))</f>
        <v>1.291186330718872</v>
      </c>
      <c r="AV2660" s="13">
        <f>LN(AS2660/AU2660)</f>
        <v>-0.14045921114731494</v>
      </c>
    </row>
    <row r="2661" spans="1:48" x14ac:dyDescent="0.25">
      <c r="A2661" t="s">
        <v>3368</v>
      </c>
      <c r="B2661" s="2" t="str">
        <f t="shared" si="1879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1880"/>
        <v>2835.1849999999999</v>
      </c>
      <c r="AB2661" s="3">
        <f t="shared" si="1881"/>
        <v>35260.699999999997</v>
      </c>
      <c r="AC2661" s="3" cm="1">
        <f t="array" ref="AC2661">100000000/LvacE(AA2661)</f>
        <v>35260.69617696861</v>
      </c>
      <c r="AD2661" s="10">
        <f t="shared" si="1882"/>
        <v>1.1218411880877018E-2</v>
      </c>
      <c r="AE2661" s="10" t="b">
        <f t="shared" si="1883"/>
        <v>1</v>
      </c>
      <c r="AP2661"/>
      <c r="AQ2661"/>
      <c r="AU2661" s="16" cm="1">
        <f t="array" ref="AU2661">$C2661*EXP(poly_from_str(100000000/$E2661,AU$4342))</f>
        <v>6.4361520031309505</v>
      </c>
    </row>
    <row r="2662" spans="1:48" x14ac:dyDescent="0.25">
      <c r="A2662" t="s">
        <v>3369</v>
      </c>
      <c r="B2662" s="2" t="str">
        <f t="shared" si="1879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1880"/>
        <v>2835.096</v>
      </c>
      <c r="AB2662" s="3">
        <f t="shared" si="1881"/>
        <v>35261.800000000003</v>
      </c>
      <c r="AC2662" s="3" cm="1">
        <f t="array" ref="AC2662">100000000/LvacE(AA2662)</f>
        <v>35261.803034847188</v>
      </c>
      <c r="AD2662" s="10">
        <f t="shared" si="1882"/>
        <v>1.121880229714394E-2</v>
      </c>
      <c r="AE2662" s="10" t="b">
        <f t="shared" si="1883"/>
        <v>1</v>
      </c>
      <c r="AJ2662" t="s">
        <v>4738</v>
      </c>
      <c r="AK2662" t="s">
        <v>4903</v>
      </c>
      <c r="AL2662">
        <v>26095.23</v>
      </c>
      <c r="AM2662">
        <v>61357.04</v>
      </c>
      <c r="AN2662" s="10" cm="1">
        <f t="array" ref="AN2662">Lair(100000000/($AM2662-$AL2662))</f>
        <v>2835.0954363888004</v>
      </c>
      <c r="AO2662" s="10">
        <f>100000000/($AM2662-$AL2662)</f>
        <v>2835.9292957451703</v>
      </c>
      <c r="AP2662" s="12">
        <v>5690000</v>
      </c>
      <c r="AQ2662" s="3">
        <v>2.8000000000000001E-2</v>
      </c>
      <c r="AR2662" s="3"/>
      <c r="AS2662" s="13">
        <f>EXP(AR$4341*$AM2662+AR$4342)*$AP2662/(100000000/($AM2662-$AL2662))</f>
        <v>1.7747583518876224</v>
      </c>
      <c r="AT2662" s="3"/>
      <c r="AU2662" s="16" cm="1">
        <f t="array" ref="AU2662">$C2662*EXP(poly_from_str(100000000/$E2662,AU$4342))</f>
        <v>3.8603943312568614</v>
      </c>
    </row>
    <row r="2663" spans="1:48" x14ac:dyDescent="0.25">
      <c r="A2663" t="s">
        <v>3370</v>
      </c>
      <c r="B2663" s="2" t="str">
        <f t="shared" si="1879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1880"/>
        <v>2834.721</v>
      </c>
      <c r="AB2663" s="3">
        <f t="shared" si="1881"/>
        <v>35266.47</v>
      </c>
      <c r="AC2663" s="3" cm="1">
        <f t="array" ref="AC2663">100000000/LvacE(AA2663)</f>
        <v>35266.467525176551</v>
      </c>
      <c r="AD2663" s="10">
        <f t="shared" si="1882"/>
        <v>1.122044771340399E-2</v>
      </c>
      <c r="AE2663" s="10" t="b">
        <f t="shared" si="1883"/>
        <v>1</v>
      </c>
      <c r="AP2663"/>
      <c r="AQ2663"/>
      <c r="AU2663" s="16" cm="1">
        <f t="array" ref="AU2663">$C2663*EXP(poly_from_str(100000000/$E2663,AU$4342))</f>
        <v>2.5699249853276638</v>
      </c>
    </row>
    <row r="2664" spans="1:48" x14ac:dyDescent="0.25">
      <c r="A2664" t="s">
        <v>3371</v>
      </c>
      <c r="B2664" s="2" t="str">
        <f t="shared" si="1879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1893">$G2664&amp;""</f>
        <v>e</v>
      </c>
      <c r="N2664" t="str">
        <f t="shared" ref="N2664:N2667" si="1894">$H2664&amp;""</f>
        <v>5/2</v>
      </c>
      <c r="O2664">
        <v>75409.58</v>
      </c>
      <c r="P2664" t="str">
        <f t="shared" ref="P2664:P2667" si="1895">$J2664&amp;""</f>
        <v>o</v>
      </c>
      <c r="Q2664" t="str">
        <f t="shared" ref="Q2664:Q2667" si="1896">$K2664&amp;""</f>
        <v>3/2</v>
      </c>
      <c r="R2664">
        <v>26</v>
      </c>
      <c r="AA2664" s="10">
        <f t="shared" si="1880"/>
        <v>2831.1480000000001</v>
      </c>
      <c r="AB2664" s="3">
        <f t="shared" si="1881"/>
        <v>35310.97</v>
      </c>
      <c r="AC2664" s="3" cm="1">
        <f t="array" ref="AC2664">100000000/LvacE(AA2664)</f>
        <v>35310.97275914115</v>
      </c>
      <c r="AD2664" s="10">
        <f t="shared" si="1882"/>
        <v>1.123615804598367E-2</v>
      </c>
      <c r="AE2664" s="10" t="b">
        <f t="shared" si="1883"/>
        <v>1</v>
      </c>
      <c r="AJ2664" t="s">
        <v>4737</v>
      </c>
      <c r="AK2664" t="s">
        <v>4905</v>
      </c>
      <c r="AL2664">
        <v>40098.660000000003</v>
      </c>
      <c r="AM2664">
        <v>75409.58</v>
      </c>
      <c r="AN2664" s="10" cm="1">
        <f t="array" ref="AN2664">Lair(100000000/($AM2664-$AL2664))</f>
        <v>2831.1522267734244</v>
      </c>
      <c r="AO2664" s="10">
        <f t="shared" ref="AO2664:AO2667" si="1897">100000000/($AM2664-$AL2664)</f>
        <v>2831.9851196173877</v>
      </c>
      <c r="AP2664" s="12">
        <v>3320000</v>
      </c>
      <c r="AQ2664" s="3">
        <v>1.9E-2</v>
      </c>
      <c r="AR2664" s="3"/>
      <c r="AS2664" s="13">
        <f t="shared" ref="AS2664:AS2667" si="1898">EXP(AR$4341*$AM2664+AR$4342)*$AP2664/(100000000/($AM2664-$AL2664))</f>
        <v>0.36121315763788769</v>
      </c>
      <c r="AT2664" s="3"/>
      <c r="AU2664" s="16" cm="1">
        <f t="array" ref="AU2664">$C2664*EXP(poly_from_str(100000000/$E2664,AU$4342))</f>
        <v>2.5348893233899412</v>
      </c>
    </row>
    <row r="2665" spans="1:48" x14ac:dyDescent="0.25">
      <c r="A2665" t="s">
        <v>3372</v>
      </c>
      <c r="B2665" s="2" t="str">
        <f t="shared" si="1879"/>
        <v/>
      </c>
      <c r="C2665">
        <v>2</v>
      </c>
      <c r="D2665" t="s">
        <v>1156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1893"/>
        <v>e</v>
      </c>
      <c r="N2665" t="str">
        <f t="shared" si="1894"/>
        <v>5/2</v>
      </c>
      <c r="O2665">
        <v>68987.070000000007</v>
      </c>
      <c r="P2665" t="str">
        <f t="shared" si="1895"/>
        <v>o</v>
      </c>
      <c r="Q2665" t="str">
        <f t="shared" si="1896"/>
        <v>7/2</v>
      </c>
      <c r="R2665">
        <v>26</v>
      </c>
      <c r="AA2665" s="10">
        <f t="shared" si="1880"/>
        <v>2829.8020000000001</v>
      </c>
      <c r="AB2665" s="3">
        <f t="shared" si="1881"/>
        <v>35327.769999999997</v>
      </c>
      <c r="AC2665" s="3" cm="1">
        <f t="array" ref="AC2665">100000000/LvacE(AA2665)</f>
        <v>35327.76765585992</v>
      </c>
      <c r="AD2665" s="10">
        <f t="shared" si="1882"/>
        <v>1.1242091788729374E-2</v>
      </c>
      <c r="AE2665" s="10" t="b">
        <f t="shared" si="1883"/>
        <v>1</v>
      </c>
      <c r="AJ2665" t="s">
        <v>4895</v>
      </c>
      <c r="AK2665" t="s">
        <v>4920</v>
      </c>
      <c r="AL2665">
        <v>33659.99</v>
      </c>
      <c r="AM2665">
        <v>68987.070000000007</v>
      </c>
      <c r="AN2665" s="10" cm="1">
        <f t="array" ref="AN2665">Lair(100000000/($AM2665-$AL2665))</f>
        <v>2829.8570824181911</v>
      </c>
      <c r="AO2665" s="10">
        <f t="shared" si="1897"/>
        <v>2830.6896579054928</v>
      </c>
      <c r="AP2665" s="12">
        <v>17500000</v>
      </c>
      <c r="AQ2665" s="3">
        <v>0.08</v>
      </c>
      <c r="AR2665" s="3">
        <f t="shared" ref="AR2665:AR2666" si="1899">LN(AU2665*100000000/($AM2665-$AL2665)/AP2665)</f>
        <v>-7.8045263206485291</v>
      </c>
      <c r="AS2665" s="13">
        <f t="shared" si="1898"/>
        <v>3.0845172970822001</v>
      </c>
      <c r="AT2665" s="3">
        <f t="shared" ref="AT2665:AT2666" si="1900">LN(AS2665/$C2665)</f>
        <v>0.43324799683453641</v>
      </c>
      <c r="AU2665" s="16" cm="1">
        <f t="array" ref="AU2665">$C2665*EXP(poly_from_str(100000000/$E2665,AU$4342))</f>
        <v>2.5216399455933187</v>
      </c>
      <c r="AV2665" s="13">
        <f t="shared" ref="AV2665:AV2666" si="1901">LN(AS2665/AU2665)</f>
        <v>0.20148571547062316</v>
      </c>
    </row>
    <row r="2666" spans="1:48" x14ac:dyDescent="0.25">
      <c r="A2666" t="s">
        <v>3373</v>
      </c>
      <c r="B2666" s="2" t="str">
        <f t="shared" si="1879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1893"/>
        <v>e</v>
      </c>
      <c r="N2666" t="str">
        <f t="shared" si="1894"/>
        <v>7/2</v>
      </c>
      <c r="O2666">
        <v>71978.52</v>
      </c>
      <c r="P2666" t="str">
        <f t="shared" si="1895"/>
        <v>o</v>
      </c>
      <c r="Q2666" t="str">
        <f t="shared" si="1896"/>
        <v>7/2</v>
      </c>
      <c r="R2666">
        <v>26</v>
      </c>
      <c r="AA2666" s="10">
        <f t="shared" si="1880"/>
        <v>2828.9740000000002</v>
      </c>
      <c r="AB2666" s="3">
        <f t="shared" si="1881"/>
        <v>35338.11</v>
      </c>
      <c r="AC2666" s="3" cm="1">
        <f t="array" ref="AC2666">100000000/LvacE(AA2666)</f>
        <v>35338.107076444045</v>
      </c>
      <c r="AD2666" s="10">
        <f t="shared" si="1882"/>
        <v>1.1245746174486589E-2</v>
      </c>
      <c r="AE2666" s="10" t="b">
        <f t="shared" si="1883"/>
        <v>1</v>
      </c>
      <c r="AJ2666" t="s">
        <v>4805</v>
      </c>
      <c r="AK2666" t="s">
        <v>4716</v>
      </c>
      <c r="AL2666">
        <v>36640.379999999997</v>
      </c>
      <c r="AM2666">
        <v>71978.52</v>
      </c>
      <c r="AN2666" s="10" cm="1">
        <f t="array" ref="AN2666">Lair(100000000/($AM2666-$AL2666))</f>
        <v>2828.9713606738655</v>
      </c>
      <c r="AO2666" s="10">
        <f t="shared" si="1897"/>
        <v>2829.8037191544313</v>
      </c>
      <c r="AP2666" s="12">
        <v>22900000</v>
      </c>
      <c r="AQ2666" s="3">
        <v>7.2999999999999995E-2</v>
      </c>
      <c r="AR2666" s="3">
        <f t="shared" si="1899"/>
        <v>-7.6715515349007752</v>
      </c>
      <c r="AS2666" s="13">
        <f t="shared" si="1898"/>
        <v>3.2256858762746252</v>
      </c>
      <c r="AT2666" s="3">
        <f t="shared" si="1900"/>
        <v>7.2533313781381129E-2</v>
      </c>
      <c r="AU2666" s="16" cm="1">
        <f t="array" ref="AU2666">$C2666*EXP(poly_from_str(100000000/$E2666,AU$4342))</f>
        <v>3.7702198016336679</v>
      </c>
      <c r="AV2666" s="13">
        <f t="shared" si="1901"/>
        <v>-0.15598770013148677</v>
      </c>
    </row>
    <row r="2667" spans="1:48" x14ac:dyDescent="0.25">
      <c r="A2667" t="s">
        <v>3374</v>
      </c>
      <c r="B2667" s="2" t="str">
        <f t="shared" si="1879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1893"/>
        <v>e</v>
      </c>
      <c r="N2667" t="str">
        <f t="shared" si="1894"/>
        <v>9/2</v>
      </c>
      <c r="O2667">
        <v>64235.61</v>
      </c>
      <c r="P2667" t="str">
        <f t="shared" si="1895"/>
        <v>o</v>
      </c>
      <c r="Q2667" t="str">
        <f t="shared" si="1896"/>
        <v>9/2</v>
      </c>
      <c r="R2667">
        <v>26</v>
      </c>
      <c r="AA2667" s="10">
        <f t="shared" si="1880"/>
        <v>2827.9850000000001</v>
      </c>
      <c r="AB2667" s="3">
        <f t="shared" si="1881"/>
        <v>35350.46</v>
      </c>
      <c r="AC2667" s="3" cm="1">
        <f t="array" ref="AC2667">100000000/LvacE(AA2667)</f>
        <v>35350.464874090096</v>
      </c>
      <c r="AD2667" s="10">
        <f t="shared" si="1882"/>
        <v>1.1250115342565484E-2</v>
      </c>
      <c r="AE2667" s="10" t="b">
        <f t="shared" si="1883"/>
        <v>1</v>
      </c>
      <c r="AJ2667" t="s">
        <v>4742</v>
      </c>
      <c r="AK2667" t="s">
        <v>4842</v>
      </c>
      <c r="AL2667">
        <v>28885.14</v>
      </c>
      <c r="AM2667">
        <v>64235.61</v>
      </c>
      <c r="AN2667" s="10" cm="1">
        <f t="array" ref="AN2667">Lair(100000000/($AM2667-$AL2667))</f>
        <v>2827.9845864032236</v>
      </c>
      <c r="AO2667" s="10">
        <f t="shared" si="1897"/>
        <v>2828.8167031442581</v>
      </c>
      <c r="AP2667" s="12">
        <v>31000000</v>
      </c>
      <c r="AQ2667" s="3">
        <v>3.3000000000000002E-2</v>
      </c>
      <c r="AR2667" s="3"/>
      <c r="AS2667" s="13">
        <f t="shared" si="1898"/>
        <v>7.8101569360024481</v>
      </c>
      <c r="AT2667" s="3"/>
      <c r="AU2667" s="16" cm="1">
        <f t="array" ref="AU2667">$C2667*EXP(poly_from_str(100000000/$E2667,AU$4342))</f>
        <v>11.266778438194411</v>
      </c>
    </row>
    <row r="2668" spans="1:48" x14ac:dyDescent="0.25">
      <c r="A2668" t="s">
        <v>3375</v>
      </c>
      <c r="B2668" s="2" t="str">
        <f t="shared" si="1879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1880"/>
        <v>2827.9540000000002</v>
      </c>
      <c r="AB2668" s="3">
        <f t="shared" si="1881"/>
        <v>35350.85</v>
      </c>
      <c r="AC2668" s="3" cm="1">
        <f t="array" ref="AC2668">100000000/LvacE(AA2668)</f>
        <v>35350.852366395608</v>
      </c>
      <c r="AD2668" s="10">
        <f t="shared" si="1882"/>
        <v>1.1250252367329103E-2</v>
      </c>
      <c r="AE2668" s="10" t="b">
        <f t="shared" si="1883"/>
        <v>1</v>
      </c>
      <c r="AP2668"/>
      <c r="AQ2668"/>
      <c r="AU2668" s="16" cm="1">
        <f t="array" ref="AU2668">$C2668*EXP(poly_from_str(100000000/$E2668,AU$4342))</f>
        <v>0</v>
      </c>
    </row>
    <row r="2669" spans="1:48" x14ac:dyDescent="0.25">
      <c r="A2669" t="s">
        <v>3376</v>
      </c>
      <c r="B2669" s="2" t="str">
        <f t="shared" si="1879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1880"/>
        <v>2827.9270000000001</v>
      </c>
      <c r="AB2669" s="3">
        <f t="shared" si="1881"/>
        <v>35351.19</v>
      </c>
      <c r="AC2669" s="3" cm="1">
        <f t="array" ref="AC2669">100000000/LvacE(AA2669)</f>
        <v>35351.189866615241</v>
      </c>
      <c r="AD2669" s="10">
        <f t="shared" si="1882"/>
        <v>1.1250371715149515E-2</v>
      </c>
      <c r="AE2669" s="10" t="b">
        <f t="shared" si="1883"/>
        <v>1</v>
      </c>
      <c r="AP2669"/>
      <c r="AQ2669"/>
      <c r="AU2669" s="16" cm="1">
        <f t="array" ref="AU2669">$C2669*EXP(poly_from_str(100000000/$E2669,AU$4342))</f>
        <v>0</v>
      </c>
    </row>
    <row r="2670" spans="1:48" x14ac:dyDescent="0.25">
      <c r="A2670" t="s">
        <v>3377</v>
      </c>
      <c r="B2670" s="2" t="str">
        <f t="shared" si="1879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1880"/>
        <v>2827.6680000000001</v>
      </c>
      <c r="AB2670" s="3">
        <f t="shared" si="1881"/>
        <v>35354.43</v>
      </c>
      <c r="AC2670" s="3" cm="1">
        <f t="array" ref="AC2670">100000000/LvacE(AA2670)</f>
        <v>35354.427696145045</v>
      </c>
      <c r="AD2670" s="10">
        <f t="shared" si="1882"/>
        <v>1.1251516743858374E-2</v>
      </c>
      <c r="AE2670" s="10" t="b">
        <f t="shared" si="1883"/>
        <v>1</v>
      </c>
      <c r="AJ2670" t="s">
        <v>4805</v>
      </c>
      <c r="AK2670" t="s">
        <v>4900</v>
      </c>
      <c r="AL2670">
        <v>36640.379999999997</v>
      </c>
      <c r="AM2670">
        <v>71994.81</v>
      </c>
      <c r="AN2670" s="10" cm="1">
        <f t="array" ref="AN2670">Lair(100000000/($AM2670-$AL2670))</f>
        <v>2827.6678122187645</v>
      </c>
      <c r="AO2670" s="10">
        <f>100000000/($AM2670-$AL2670)</f>
        <v>2828.4998513623327</v>
      </c>
      <c r="AP2670" s="12">
        <v>8160000</v>
      </c>
      <c r="AQ2670" s="3">
        <v>3.5999999999999997E-2</v>
      </c>
      <c r="AR2670" s="3"/>
      <c r="AS2670" s="13">
        <f>EXP(AR$4341*$AM2670+AR$4342)*$AP2670/(100000000/($AM2670-$AL2670))</f>
        <v>1.1485395950009853</v>
      </c>
      <c r="AT2670" s="3"/>
      <c r="AU2670" s="16" cm="1">
        <f t="array" ref="AU2670">$C2670*EXP(poly_from_str(100000000/$E2670,AU$4342))</f>
        <v>3.7508892125477478</v>
      </c>
    </row>
    <row r="2671" spans="1:48" x14ac:dyDescent="0.25">
      <c r="A2671" t="s">
        <v>3378</v>
      </c>
      <c r="B2671" s="2" t="str">
        <f t="shared" si="1879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1880"/>
        <v>2827.5430000000001</v>
      </c>
      <c r="AB2671" s="3">
        <f t="shared" si="1881"/>
        <v>35355.99</v>
      </c>
      <c r="AC2671" s="3" cm="1">
        <f t="array" ref="AC2671">100000000/LvacE(AA2671)</f>
        <v>35355.990567385692</v>
      </c>
      <c r="AD2671" s="10">
        <f t="shared" si="1882"/>
        <v>1.1252069476465202E-2</v>
      </c>
      <c r="AE2671" s="10" t="b">
        <f t="shared" si="1883"/>
        <v>1</v>
      </c>
      <c r="AP2671"/>
      <c r="AQ2671"/>
      <c r="AU2671" s="16" cm="1">
        <f t="array" ref="AU2671">$C2671*EXP(poly_from_str(100000000/$E2671,AU$4342))</f>
        <v>3.7490407355213589</v>
      </c>
    </row>
    <row r="2672" spans="1:48" x14ac:dyDescent="0.25">
      <c r="A2672" t="s">
        <v>3379</v>
      </c>
      <c r="B2672" s="2" t="str">
        <f t="shared" si="1879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1880"/>
        <v>2827.078</v>
      </c>
      <c r="AB2672" s="3">
        <f t="shared" si="1881"/>
        <v>35361.81</v>
      </c>
      <c r="AC2672" s="3" cm="1">
        <f t="array" ref="AC2672">100000000/LvacE(AA2672)</f>
        <v>35361.805661627273</v>
      </c>
      <c r="AD2672" s="10">
        <f t="shared" si="1882"/>
        <v>1.1254126285448664E-2</v>
      </c>
      <c r="AE2672" s="10" t="b">
        <f t="shared" si="1883"/>
        <v>1</v>
      </c>
      <c r="AP2672"/>
      <c r="AQ2672"/>
      <c r="AU2672" s="16" cm="1">
        <f t="array" ref="AU2672">$C2672*EXP(poly_from_str(100000000/$E2672,AU$4342))</f>
        <v>2.4947623129659404</v>
      </c>
    </row>
    <row r="2673" spans="1:48" x14ac:dyDescent="0.25">
      <c r="A2673" t="s">
        <v>3380</v>
      </c>
      <c r="B2673" s="2" t="str">
        <f t="shared" si="1879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1880"/>
        <v>2825.7719999999999</v>
      </c>
      <c r="AB2673" s="3">
        <f t="shared" si="1881"/>
        <v>35378.15</v>
      </c>
      <c r="AC2673" s="3" cm="1">
        <f t="array" ref="AC2673">100000000/LvacE(AA2673)</f>
        <v>35378.14818286783</v>
      </c>
      <c r="AD2673" s="10">
        <f t="shared" si="1882"/>
        <v>1.1259908475076515E-2</v>
      </c>
      <c r="AE2673" s="10" t="b">
        <f t="shared" si="1883"/>
        <v>1</v>
      </c>
      <c r="AJ2673" t="s">
        <v>4705</v>
      </c>
      <c r="AK2673" t="s">
        <v>4726</v>
      </c>
      <c r="AL2673">
        <v>24788.02</v>
      </c>
      <c r="AM2673">
        <v>60166.2</v>
      </c>
      <c r="AN2673" s="10" cm="1">
        <f t="array" ref="AN2673">Lair(100000000/($AM2673-$AL2673))</f>
        <v>2825.7694550442311</v>
      </c>
      <c r="AO2673" s="10">
        <f>100000000/($AM2673-$AL2673)</f>
        <v>2826.6010292219671</v>
      </c>
      <c r="AP2673" s="12">
        <v>13300000</v>
      </c>
      <c r="AQ2673" s="3">
        <v>3.7999999999999999E-2</v>
      </c>
      <c r="AR2673" s="3"/>
      <c r="AS2673" s="13">
        <f>EXP(AR$4341*$AM2673+AR$4342)*$AP2673/(100000000/($AM2673-$AL2673))</f>
        <v>4.5511569793561808</v>
      </c>
      <c r="AT2673" s="3"/>
      <c r="AU2673" s="16" cm="1">
        <f t="array" ref="AU2673">$C2673*EXP(poly_from_str(100000000/$E2673,AU$4342))</f>
        <v>8.686465172174179</v>
      </c>
    </row>
    <row r="2674" spans="1:48" x14ac:dyDescent="0.25">
      <c r="A2674" t="s">
        <v>3381</v>
      </c>
      <c r="B2674" s="2" t="str">
        <f t="shared" si="1879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1880"/>
        <v>2824.4679999999998</v>
      </c>
      <c r="AB2674" s="3">
        <f t="shared" si="1881"/>
        <v>35394.480000000003</v>
      </c>
      <c r="AC2674" s="3" cm="1">
        <f t="array" ref="AC2674">100000000/LvacE(AA2674)</f>
        <v>35394.480754408396</v>
      </c>
      <c r="AD2674" s="10">
        <f t="shared" si="1882"/>
        <v>1.1265689813870858E-2</v>
      </c>
      <c r="AE2674" s="10" t="b">
        <f t="shared" si="1883"/>
        <v>1</v>
      </c>
      <c r="AP2674"/>
      <c r="AQ2674"/>
      <c r="AU2674" s="16" cm="1">
        <f t="array" ref="AU2674">$C2674*EXP(poly_from_str(100000000/$E2674,AU$4342))</f>
        <v>1.2344663197855581</v>
      </c>
    </row>
    <row r="2675" spans="1:48" x14ac:dyDescent="0.25">
      <c r="A2675" t="s">
        <v>3382</v>
      </c>
      <c r="B2675" s="2" t="str">
        <f t="shared" si="1879"/>
        <v/>
      </c>
      <c r="C2675">
        <v>3</v>
      </c>
      <c r="D2675" t="s">
        <v>1156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1902">$G2675&amp;""</f>
        <v>e</v>
      </c>
      <c r="N2675" t="str">
        <f t="shared" ref="N2675:N2676" si="1903">$H2675&amp;""</f>
        <v>5/2</v>
      </c>
      <c r="O2675">
        <v>74105.2</v>
      </c>
      <c r="P2675" t="str">
        <f t="shared" ref="P2675:P2676" si="1904">$J2675&amp;""</f>
        <v>o</v>
      </c>
      <c r="Q2675" t="str">
        <f t="shared" ref="Q2675:Q2676" si="1905">$K2675&amp;""</f>
        <v>5/2</v>
      </c>
      <c r="R2675">
        <v>26</v>
      </c>
      <c r="AA2675" s="10">
        <f t="shared" si="1880"/>
        <v>2823.18</v>
      </c>
      <c r="AB2675" s="3">
        <f t="shared" si="1881"/>
        <v>35410.629999999997</v>
      </c>
      <c r="AC2675" s="3" cm="1">
        <f t="array" ref="AC2675">100000000/LvacE(AA2675)</f>
        <v>35410.627736147086</v>
      </c>
      <c r="AD2675" s="10">
        <f t="shared" si="1882"/>
        <v>1.1271408081692823E-2</v>
      </c>
      <c r="AE2675" s="10" t="b">
        <f t="shared" si="1883"/>
        <v>1</v>
      </c>
      <c r="AJ2675" t="s">
        <v>4794</v>
      </c>
      <c r="AK2675" t="s">
        <v>4940</v>
      </c>
      <c r="AL2675">
        <v>38694.51</v>
      </c>
      <c r="AM2675">
        <v>74105.2</v>
      </c>
      <c r="AN2675" s="10" cm="1">
        <f t="array" ref="AN2675">Lair(100000000/($AM2675-$AL2675))</f>
        <v>2823.1750321915156</v>
      </c>
      <c r="AO2675" s="10">
        <f t="shared" ref="AO2675:AO2676" si="1906">100000000/($AM2675-$AL2675)</f>
        <v>2824.0059710782257</v>
      </c>
      <c r="AP2675" s="12">
        <v>551000</v>
      </c>
      <c r="AQ2675" s="3">
        <v>6.0000000000000001E-3</v>
      </c>
      <c r="AR2675" s="3"/>
      <c r="AS2675" s="13">
        <f t="shared" ref="AS2675:AS2676" si="1907">EXP(AR$4341*$AM2675+AR$4342)*$AP2675/(100000000/($AM2675-$AL2675))</f>
        <v>6.6300270409615766E-2</v>
      </c>
      <c r="AT2675" s="3"/>
      <c r="AU2675" s="16" cm="1">
        <f t="array" ref="AU2675">$C2675*EXP(poly_from_str(100000000/$E2675,AU$4342))</f>
        <v>3.6842311646309476</v>
      </c>
    </row>
    <row r="2676" spans="1:48" x14ac:dyDescent="0.25">
      <c r="A2676" t="s">
        <v>3383</v>
      </c>
      <c r="B2676" s="2" t="str">
        <f t="shared" si="1879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1902"/>
        <v>e</v>
      </c>
      <c r="N2676" t="str">
        <f t="shared" si="1903"/>
        <v>11/2</v>
      </c>
      <c r="O2676">
        <v>66148.399999999994</v>
      </c>
      <c r="P2676" t="str">
        <f t="shared" si="1904"/>
        <v>o</v>
      </c>
      <c r="Q2676" t="str">
        <f t="shared" si="1905"/>
        <v>13/2</v>
      </c>
      <c r="R2676">
        <v>26</v>
      </c>
      <c r="AA2676" s="10">
        <f t="shared" si="1880"/>
        <v>2822.8470000000002</v>
      </c>
      <c r="AB2676" s="3">
        <f t="shared" si="1881"/>
        <v>35414.800000000003</v>
      </c>
      <c r="AC2676" s="3" cm="1">
        <f t="array" ref="AC2676">100000000/LvacE(AA2676)</f>
        <v>35414.804779871287</v>
      </c>
      <c r="AD2676" s="10">
        <f t="shared" si="1882"/>
        <v>1.1272887758328964E-2</v>
      </c>
      <c r="AE2676" s="10" t="b">
        <f t="shared" si="1883"/>
        <v>1</v>
      </c>
      <c r="AJ2676" t="s">
        <v>4828</v>
      </c>
      <c r="AK2676" t="s">
        <v>4694</v>
      </c>
      <c r="AL2676">
        <v>30733.53</v>
      </c>
      <c r="AM2676">
        <v>66148.399999999994</v>
      </c>
      <c r="AN2676" s="10" cm="1">
        <f t="array" ref="AN2676">Lair(100000000/($AM2676-$AL2676))</f>
        <v>2822.8417977156</v>
      </c>
      <c r="AO2676" s="10">
        <f t="shared" si="1906"/>
        <v>2823.6726550175113</v>
      </c>
      <c r="AP2676" s="12">
        <v>136000000</v>
      </c>
      <c r="AQ2676" s="3">
        <v>0.16300000000000001</v>
      </c>
      <c r="AR2676" s="3">
        <f>LN(AU2676*100000000/($AM2676-$AL2676)/AP2676)</f>
        <v>-8.3810422392084458</v>
      </c>
      <c r="AS2676" s="13">
        <f t="shared" si="1907"/>
        <v>29.736169937991459</v>
      </c>
      <c r="AT2676" s="3">
        <f t="shared" ref="AT2676" si="1908">LN(AS2676/$C2676)</f>
        <v>1.1951395705331556</v>
      </c>
      <c r="AU2676" s="16" cm="1">
        <f t="array" ref="AU2676">$C2676*EXP(poly_from_str(100000000/$E2676,AU$4342))</f>
        <v>11.037841748690585</v>
      </c>
      <c r="AV2676" s="13">
        <f>LN(AS2676/AU2676)</f>
        <v>0.99103461990985198</v>
      </c>
    </row>
    <row r="2677" spans="1:48" x14ac:dyDescent="0.25">
      <c r="A2677" t="s">
        <v>3384</v>
      </c>
      <c r="B2677" s="2" t="str">
        <f t="shared" si="1879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1880"/>
        <v>2822.8150000000001</v>
      </c>
      <c r="AB2677" s="3">
        <f t="shared" si="1881"/>
        <v>35415.21</v>
      </c>
      <c r="AC2677" s="3" cm="1">
        <f t="array" ref="AC2677">100000000/LvacE(AA2677)</f>
        <v>35415.206229363925</v>
      </c>
      <c r="AD2677" s="10">
        <f t="shared" si="1882"/>
        <v>1.1273029977055515E-2</v>
      </c>
      <c r="AE2677" s="10" t="b">
        <f t="shared" si="1883"/>
        <v>1</v>
      </c>
      <c r="AP2677"/>
      <c r="AQ2677"/>
      <c r="AU2677" s="16" cm="1">
        <f t="array" ref="AU2677">$C2677*EXP(poly_from_str(100000000/$E2677,AU$4342))</f>
        <v>0</v>
      </c>
    </row>
    <row r="2678" spans="1:48" x14ac:dyDescent="0.25">
      <c r="A2678" t="s">
        <v>3385</v>
      </c>
      <c r="B2678" s="2" t="str">
        <f t="shared" si="1879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1880"/>
        <v>2822.7829999999999</v>
      </c>
      <c r="AB2678" s="3">
        <f t="shared" si="1881"/>
        <v>35415.61</v>
      </c>
      <c r="AC2678" s="3" cm="1">
        <f t="array" ref="AC2678">100000000/LvacE(AA2678)</f>
        <v>35415.607687957665</v>
      </c>
      <c r="AD2678" s="10">
        <f t="shared" si="1882"/>
        <v>1.127317220061862E-2</v>
      </c>
      <c r="AE2678" s="10" t="b">
        <f t="shared" si="1883"/>
        <v>1</v>
      </c>
      <c r="AP2678"/>
      <c r="AQ2678"/>
      <c r="AU2678" s="16" cm="1">
        <f t="array" ref="AU2678">$C2678*EXP(poly_from_str(100000000/$E2678,AU$4342))</f>
        <v>0</v>
      </c>
    </row>
    <row r="2679" spans="1:48" x14ac:dyDescent="0.25">
      <c r="A2679" t="s">
        <v>3386</v>
      </c>
      <c r="B2679" s="2" t="str">
        <f t="shared" si="1879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1880"/>
        <v>2822.7579999999998</v>
      </c>
      <c r="AB2679" s="3">
        <f t="shared" si="1881"/>
        <v>35415.919999999998</v>
      </c>
      <c r="AC2679" s="3" cm="1">
        <f t="array" ref="AC2679">100000000/LvacE(AA2679)</f>
        <v>35415.921333816797</v>
      </c>
      <c r="AD2679" s="10">
        <f t="shared" si="1882"/>
        <v>1.1273283316142723E-2</v>
      </c>
      <c r="AE2679" s="10" t="b">
        <f t="shared" si="1883"/>
        <v>1</v>
      </c>
      <c r="AP2679"/>
      <c r="AQ2679"/>
      <c r="AU2679" s="16" cm="1">
        <f t="array" ref="AU2679">$C2679*EXP(poly_from_str(100000000/$E2679,AU$4342))</f>
        <v>0</v>
      </c>
    </row>
    <row r="2680" spans="1:48" x14ac:dyDescent="0.25">
      <c r="A2680" t="s">
        <v>3387</v>
      </c>
      <c r="B2680" s="2" t="str">
        <f t="shared" si="1879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1880"/>
        <v>2821.1329999999998</v>
      </c>
      <c r="AB2680" s="3">
        <f t="shared" si="1881"/>
        <v>35436.32</v>
      </c>
      <c r="AC2680" s="3" cm="1">
        <f t="array" ref="AC2680">100000000/LvacE(AA2680)</f>
        <v>35436.320237358748</v>
      </c>
      <c r="AD2680" s="10">
        <f t="shared" si="1882"/>
        <v>1.1280512162552908E-2</v>
      </c>
      <c r="AE2680" s="10" t="b">
        <f t="shared" si="1883"/>
        <v>1</v>
      </c>
      <c r="AP2680"/>
      <c r="AQ2680"/>
      <c r="AU2680" s="16" cm="1">
        <f t="array" ref="AU2680">$C2680*EXP(poly_from_str(100000000/$E2680,AU$4342))</f>
        <v>1.2179081584502662</v>
      </c>
    </row>
    <row r="2681" spans="1:48" x14ac:dyDescent="0.25">
      <c r="A2681" t="s">
        <v>3388</v>
      </c>
      <c r="B2681" s="2" t="str">
        <f t="shared" si="1879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1909">$G2681&amp;""</f>
        <v>e</v>
      </c>
      <c r="N2681" t="str">
        <f t="shared" ref="N2681:N2682" si="1910">$H2681&amp;""</f>
        <v>7/2</v>
      </c>
      <c r="O2681">
        <v>73378.42</v>
      </c>
      <c r="P2681" t="str">
        <f t="shared" ref="P2681:P2682" si="1911">$J2681&amp;""</f>
        <v>o</v>
      </c>
      <c r="Q2681" t="str">
        <f t="shared" ref="Q2681:Q2682" si="1912">$K2681&amp;""</f>
        <v>7/2</v>
      </c>
      <c r="R2681">
        <v>26</v>
      </c>
      <c r="AA2681" s="10">
        <f t="shared" si="1880"/>
        <v>2819.3420000000001</v>
      </c>
      <c r="AB2681" s="3">
        <f t="shared" si="1881"/>
        <v>35458.83</v>
      </c>
      <c r="AC2681" s="3" cm="1">
        <f t="array" ref="AC2681">100000000/LvacE(AA2681)</f>
        <v>35458.830205677208</v>
      </c>
      <c r="AD2681" s="10">
        <f t="shared" si="1882"/>
        <v>1.128849394746668E-2</v>
      </c>
      <c r="AE2681" s="10" t="b">
        <f t="shared" si="1883"/>
        <v>1</v>
      </c>
      <c r="AJ2681" t="s">
        <v>4764</v>
      </c>
      <c r="AK2681" t="s">
        <v>4919</v>
      </c>
      <c r="AL2681">
        <v>37919.58</v>
      </c>
      <c r="AM2681">
        <v>73378.42</v>
      </c>
      <c r="AN2681" s="10" cm="1">
        <f t="array" ref="AN2681">Lair(100000000/($AM2681-$AL2681))</f>
        <v>2819.3412177811952</v>
      </c>
      <c r="AO2681" s="10">
        <f t="shared" ref="AO2681:AO2682" si="1913">100000000/($AM2681-$AL2681)</f>
        <v>2820.1712182350016</v>
      </c>
      <c r="AP2681" s="12">
        <v>17400000</v>
      </c>
      <c r="AQ2681" s="3">
        <v>0.123</v>
      </c>
      <c r="AR2681" s="3">
        <f t="shared" ref="AR2681:AR2682" si="1914">LN(AU2681*100000000/($AM2681-$AL2681)/AP2681)</f>
        <v>-7.8444923257919124</v>
      </c>
      <c r="AS2681" s="13">
        <f t="shared" ref="AS2681:AS2682" si="1915">EXP(AR$4341*$AM2681+AR$4342)*$AP2681/(100000000/($AM2681-$AL2681))</f>
        <v>2.2140661064428748</v>
      </c>
      <c r="AT2681" s="3">
        <f t="shared" ref="AT2681:AT2682" si="1916">LN(AS2681/$C2681)</f>
        <v>0.10168351165602962</v>
      </c>
      <c r="AU2681" s="16" cm="1">
        <f t="array" ref="AU2681">$C2681*EXP(poly_from_str(100000000/$E2681,AU$4342))</f>
        <v>2.4179874468043234</v>
      </c>
      <c r="AV2681" s="13">
        <f t="shared" ref="AV2681:AV2682" si="1917">LN(AS2681/AU2681)</f>
        <v>-8.8104868401662387E-2</v>
      </c>
    </row>
    <row r="2682" spans="1:48" x14ac:dyDescent="0.25">
      <c r="A2682" t="s">
        <v>3389</v>
      </c>
      <c r="B2682" s="2" t="str">
        <f t="shared" si="1879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1909"/>
        <v>e</v>
      </c>
      <c r="N2682" t="str">
        <f t="shared" si="1910"/>
        <v>5/2</v>
      </c>
      <c r="O2682">
        <v>75560.75</v>
      </c>
      <c r="P2682" t="str">
        <f t="shared" si="1911"/>
        <v>o</v>
      </c>
      <c r="Q2682" t="str">
        <f t="shared" si="1912"/>
        <v>5/2</v>
      </c>
      <c r="R2682">
        <v>26</v>
      </c>
      <c r="AA2682" s="10">
        <f t="shared" si="1880"/>
        <v>2819.0839999999998</v>
      </c>
      <c r="AB2682" s="3">
        <f t="shared" si="1881"/>
        <v>35462.07</v>
      </c>
      <c r="AC2682" s="3" cm="1">
        <f t="array" ref="AC2682">100000000/LvacE(AA2682)</f>
        <v>35462.075204324268</v>
      </c>
      <c r="AD2682" s="10">
        <f t="shared" si="1882"/>
        <v>1.1289645006023991E-2</v>
      </c>
      <c r="AE2682" s="10" t="b">
        <f t="shared" si="1883"/>
        <v>1</v>
      </c>
      <c r="AJ2682" t="s">
        <v>4737</v>
      </c>
      <c r="AK2682" t="s">
        <v>4943</v>
      </c>
      <c r="AL2682">
        <v>40098.660000000003</v>
      </c>
      <c r="AM2682">
        <v>75560.75</v>
      </c>
      <c r="AN2682" s="10" cm="1">
        <f t="array" ref="AN2682">Lair(100000000/($AM2682-$AL2682))</f>
        <v>2819.0828203204051</v>
      </c>
      <c r="AO2682" s="10">
        <f t="shared" si="1913"/>
        <v>2819.9127575391076</v>
      </c>
      <c r="AP2682" s="12">
        <v>13200000</v>
      </c>
      <c r="AQ2682" s="3">
        <v>7.3999999999999996E-2</v>
      </c>
      <c r="AR2682" s="3">
        <f t="shared" si="1914"/>
        <v>-7.5693926794921733</v>
      </c>
      <c r="AS2682" s="13">
        <f t="shared" si="1915"/>
        <v>1.4260268795875763</v>
      </c>
      <c r="AT2682" s="3">
        <f t="shared" si="1916"/>
        <v>-0.33825500910483675</v>
      </c>
      <c r="AU2682" s="16" cm="1">
        <f t="array" ref="AU2682">$C2682*EXP(poly_from_str(100000000/$E2682,AU$4342))</f>
        <v>2.4154207164784185</v>
      </c>
      <c r="AV2682" s="13">
        <f t="shared" si="1917"/>
        <v>-0.5269813101985884</v>
      </c>
    </row>
    <row r="2683" spans="1:48" x14ac:dyDescent="0.25">
      <c r="A2683" t="s">
        <v>3390</v>
      </c>
      <c r="B2683" s="2" t="str">
        <f t="shared" si="1879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1880"/>
        <v>2817.018</v>
      </c>
      <c r="AB2683" s="3">
        <f t="shared" si="1881"/>
        <v>35488.080000000002</v>
      </c>
      <c r="AC2683" s="3" cm="1">
        <f t="array" ref="AC2683">100000000/LvacE(AA2683)</f>
        <v>35488.081783985486</v>
      </c>
      <c r="AD2683" s="10">
        <f t="shared" si="1882"/>
        <v>1.1298873806270582E-2</v>
      </c>
      <c r="AE2683" s="10" t="b">
        <f t="shared" si="1883"/>
        <v>1</v>
      </c>
      <c r="AP2683"/>
      <c r="AQ2683"/>
      <c r="AU2683" s="16" cm="1">
        <f t="array" ref="AU2683">$C2683*EXP(poly_from_str(100000000/$E2683,AU$4342))</f>
        <v>1.1974061054998015</v>
      </c>
    </row>
    <row r="2684" spans="1:48" x14ac:dyDescent="0.25">
      <c r="A2684" t="s">
        <v>3391</v>
      </c>
      <c r="B2684" s="2" t="str">
        <f t="shared" si="1879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1880"/>
        <v>2814.884</v>
      </c>
      <c r="AB2684" s="3">
        <f t="shared" si="1881"/>
        <v>35514.980000000003</v>
      </c>
      <c r="AC2684" s="3" cm="1">
        <f t="array" ref="AC2684">100000000/LvacE(AA2684)</f>
        <v>35514.984417311214</v>
      </c>
      <c r="AD2684" s="10">
        <f t="shared" si="1882"/>
        <v>1.1308427703825667E-2</v>
      </c>
      <c r="AE2684" s="10" t="b">
        <f t="shared" si="1883"/>
        <v>1</v>
      </c>
      <c r="AJ2684" t="s">
        <v>4708</v>
      </c>
      <c r="AK2684" t="s">
        <v>4842</v>
      </c>
      <c r="AL2684">
        <v>28720.71</v>
      </c>
      <c r="AM2684">
        <v>64235.61</v>
      </c>
      <c r="AN2684" s="10" cm="1">
        <f t="array" ref="AN2684">Lair(100000000/($AM2684-$AL2684))</f>
        <v>2814.8906877969785</v>
      </c>
      <c r="AO2684" s="10">
        <f>100000000/($AM2684-$AL2684)</f>
        <v>2815.7195993794153</v>
      </c>
      <c r="AP2684" s="12">
        <v>73200000</v>
      </c>
      <c r="AQ2684" s="3">
        <v>0.09</v>
      </c>
      <c r="AR2684" s="3">
        <f>LN(AU2684*100000000/($AM2684-$AL2684)/AP2684)</f>
        <v>-8.2027570454360248</v>
      </c>
      <c r="AS2684" s="13">
        <f>EXP(AR$4341*$AM2684+AR$4342)*$AP2684/(100000000/($AM2684-$AL2684))</f>
        <v>18.527829762634742</v>
      </c>
      <c r="AT2684" s="3">
        <f>LN(AS2684/$C2684)</f>
        <v>1.1275144440069089</v>
      </c>
      <c r="AU2684" s="16" cm="1">
        <f t="array" ref="AU2684">$C2684*EXP(poly_from_str(100000000/$E2684,AU$4342))</f>
        <v>7.1204846737246932</v>
      </c>
      <c r="AV2684" s="13">
        <f>LN(AS2684/AU2684)</f>
        <v>0.95629811797553876</v>
      </c>
    </row>
    <row r="2685" spans="1:48" x14ac:dyDescent="0.25">
      <c r="A2685" t="s">
        <v>3392</v>
      </c>
      <c r="B2685" s="2" t="str">
        <f t="shared" si="1879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1880"/>
        <v>2814.2440000000001</v>
      </c>
      <c r="AB2685" s="3">
        <f t="shared" si="1881"/>
        <v>35523.06</v>
      </c>
      <c r="AC2685" s="3" cm="1">
        <f t="array" ref="AC2685">100000000/LvacE(AA2685)</f>
        <v>35523.060638151925</v>
      </c>
      <c r="AD2685" s="10">
        <f t="shared" si="1882"/>
        <v>1.1311297214838501E-2</v>
      </c>
      <c r="AE2685" s="10" t="b">
        <f t="shared" si="1883"/>
        <v>1</v>
      </c>
      <c r="AP2685"/>
      <c r="AQ2685"/>
      <c r="AU2685" s="16" cm="1">
        <f t="array" ref="AU2685">$C2685*EXP(poly_from_str(100000000/$E2685,AU$4342))</f>
        <v>1.1835458082206982</v>
      </c>
    </row>
    <row r="2686" spans="1:48" x14ac:dyDescent="0.25">
      <c r="A2686" t="s">
        <v>3393</v>
      </c>
      <c r="B2686" s="2" t="str">
        <f t="shared" si="1879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1918">$G2686&amp;""</f>
        <v>o</v>
      </c>
      <c r="N2686" t="str">
        <f t="shared" ref="N2686:N2687" si="1919">$H2686&amp;""</f>
        <v>9/2</v>
      </c>
      <c r="O2686">
        <v>108559.4</v>
      </c>
      <c r="P2686" t="str">
        <f t="shared" ref="P2686:P2687" si="1920">$J2686&amp;""</f>
        <v>e</v>
      </c>
      <c r="Q2686" t="str">
        <f t="shared" ref="Q2686:Q2687" si="1921">$K2686&amp;""</f>
        <v>11/2</v>
      </c>
      <c r="R2686">
        <v>26</v>
      </c>
      <c r="AA2686" s="10">
        <f t="shared" si="1880"/>
        <v>2813.739</v>
      </c>
      <c r="AB2686" s="3">
        <f t="shared" si="1881"/>
        <v>35529.440000000002</v>
      </c>
      <c r="AC2686" s="3" cm="1">
        <f t="array" ref="AC2686">100000000/LvacE(AA2686)</f>
        <v>35529.435874157178</v>
      </c>
      <c r="AD2686" s="10">
        <f t="shared" si="1882"/>
        <v>1.1313562820531182E-2</v>
      </c>
      <c r="AE2686" s="10" t="b">
        <f t="shared" si="1883"/>
        <v>1</v>
      </c>
      <c r="AJ2686" t="s">
        <v>4954</v>
      </c>
      <c r="AK2686" t="s">
        <v>4914</v>
      </c>
      <c r="AL2686">
        <v>73029.899999999994</v>
      </c>
      <c r="AM2686">
        <v>108559.4</v>
      </c>
      <c r="AN2686" s="10" cm="1">
        <f t="array" ref="AN2686">Lair(100000000/($AM2686-$AL2686))</f>
        <v>2813.7339179583514</v>
      </c>
      <c r="AO2686" s="10">
        <f t="shared" ref="AO2686:AO2687" si="1922">100000000/($AM2686-$AL2686)</f>
        <v>2814.5625466161923</v>
      </c>
      <c r="AU2686" s="16" cm="1">
        <f t="array" ref="AU2686">$C2686*EXP(poly_from_str(100000000/$E2686,AU$4342))</f>
        <v>1.1810178199764392</v>
      </c>
    </row>
    <row r="2687" spans="1:48" x14ac:dyDescent="0.25">
      <c r="A2687" t="s">
        <v>3394</v>
      </c>
      <c r="B2687" s="2" t="str">
        <f t="shared" si="1879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1918"/>
        <v>e</v>
      </c>
      <c r="N2687" t="str">
        <f t="shared" si="1919"/>
        <v>13/2</v>
      </c>
      <c r="O2687">
        <v>68305.100000000006</v>
      </c>
      <c r="P2687" t="str">
        <f t="shared" si="1920"/>
        <v>o</v>
      </c>
      <c r="Q2687" t="str">
        <f t="shared" si="1921"/>
        <v>15/2</v>
      </c>
      <c r="R2687">
        <v>26</v>
      </c>
      <c r="AA2687" s="10">
        <f t="shared" si="1880"/>
        <v>2812.509</v>
      </c>
      <c r="AB2687" s="3">
        <f t="shared" si="1881"/>
        <v>35544.97</v>
      </c>
      <c r="AC2687" s="3" cm="1">
        <f t="array" ref="AC2687">100000000/LvacE(AA2687)</f>
        <v>35544.973254740413</v>
      </c>
      <c r="AD2687" s="10">
        <f t="shared" si="1882"/>
        <v>1.1319086135322662E-2</v>
      </c>
      <c r="AE2687" s="10" t="b">
        <f t="shared" si="1883"/>
        <v>1</v>
      </c>
      <c r="AJ2687" t="s">
        <v>4829</v>
      </c>
      <c r="AK2687" t="s">
        <v>4944</v>
      </c>
      <c r="AL2687">
        <v>32760.11</v>
      </c>
      <c r="AM2687">
        <v>68305.100000000006</v>
      </c>
      <c r="AN2687" s="10" cm="1">
        <f t="array" ref="AN2687">Lair(100000000/($AM2687-$AL2687))</f>
        <v>2812.5076715937194</v>
      </c>
      <c r="AO2687" s="10">
        <f t="shared" si="1922"/>
        <v>2813.3360003758612</v>
      </c>
      <c r="AP2687" s="12">
        <v>156000000</v>
      </c>
      <c r="AQ2687" s="3">
        <v>0.51600000000000001</v>
      </c>
      <c r="AR2687" s="3">
        <f>LN(AU2687*100000000/($AM2687-$AL2687)/AP2687)</f>
        <v>-8.5648628575009003</v>
      </c>
      <c r="AS2687" s="13">
        <f>EXP(AR$4341*$AM2687+AR$4342)*$AP2687/(100000000/($AM2687-$AL2687))</f>
        <v>29.118664256138899</v>
      </c>
      <c r="AT2687" s="3">
        <f>LN(AS2687/$C2687)</f>
        <v>1.1741547746152898</v>
      </c>
      <c r="AU2687" s="16" cm="1">
        <f t="array" ref="AU2687">$C2687*EXP(poly_from_str(100000000/$E2687,AU$4342))</f>
        <v>10.573781151946836</v>
      </c>
      <c r="AV2687" s="13">
        <f>LN(AS2687/AU2687)</f>
        <v>1.0130018911609406</v>
      </c>
    </row>
    <row r="2688" spans="1:48" x14ac:dyDescent="0.25">
      <c r="A2688" t="s">
        <v>3395</v>
      </c>
      <c r="B2688" s="2" t="str">
        <f t="shared" si="1879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1880"/>
        <v>2812.4720000000002</v>
      </c>
      <c r="AB2688" s="3">
        <f t="shared" si="1881"/>
        <v>35545.440000000002</v>
      </c>
      <c r="AC2688" s="3" cm="1">
        <f t="array" ref="AC2688">100000000/LvacE(AA2688)</f>
        <v>35545.440849894287</v>
      </c>
      <c r="AD2688" s="10">
        <f t="shared" si="1882"/>
        <v>1.1319252396093949E-2</v>
      </c>
      <c r="AE2688" s="10" t="b">
        <f t="shared" si="1883"/>
        <v>1</v>
      </c>
      <c r="AP2688"/>
      <c r="AQ2688"/>
      <c r="AU2688" s="16" cm="1">
        <f t="array" ref="AU2688">$C2688*EXP(poly_from_str(100000000/$E2688,AU$4342))</f>
        <v>0</v>
      </c>
    </row>
    <row r="2689" spans="1:48" x14ac:dyDescent="0.25">
      <c r="A2689" t="s">
        <v>3396</v>
      </c>
      <c r="B2689" s="2" t="str">
        <f t="shared" si="1879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1880"/>
        <v>2812.4380000000001</v>
      </c>
      <c r="AB2689" s="3">
        <f t="shared" si="1881"/>
        <v>35545.870000000003</v>
      </c>
      <c r="AC2689" s="3" cm="1">
        <f t="array" ref="AC2689">100000000/LvacE(AA2689)</f>
        <v>35545.870542773926</v>
      </c>
      <c r="AD2689" s="10">
        <f t="shared" si="1882"/>
        <v>1.1319405182047378E-2</v>
      </c>
      <c r="AE2689" s="10" t="b">
        <f t="shared" si="1883"/>
        <v>1</v>
      </c>
      <c r="AP2689"/>
      <c r="AQ2689"/>
      <c r="AU2689" s="16" cm="1">
        <f t="array" ref="AU2689">$C2689*EXP(poly_from_str(100000000/$E2689,AU$4342))</f>
        <v>0</v>
      </c>
    </row>
    <row r="2690" spans="1:48" x14ac:dyDescent="0.25">
      <c r="A2690" t="s">
        <v>3397</v>
      </c>
      <c r="B2690" s="2" t="str">
        <f t="shared" ref="B2690:B2753" si="1923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1880"/>
        <v>2812.4059999999999</v>
      </c>
      <c r="AB2690" s="3">
        <f t="shared" si="1881"/>
        <v>35546.269999999997</v>
      </c>
      <c r="AC2690" s="3" cm="1">
        <f t="array" ref="AC2690">100000000/LvacE(AA2690)</f>
        <v>35546.274969091603</v>
      </c>
      <c r="AD2690" s="10">
        <f t="shared" si="1882"/>
        <v>1.1319548985653495E-2</v>
      </c>
      <c r="AE2690" s="10" t="b">
        <f t="shared" si="1883"/>
        <v>1</v>
      </c>
      <c r="AP2690"/>
      <c r="AQ2690"/>
      <c r="AU2690" s="16" cm="1">
        <f t="array" ref="AU2690">$C2690*EXP(poly_from_str(100000000/$E2690,AU$4342))</f>
        <v>0</v>
      </c>
    </row>
    <row r="2691" spans="1:48" x14ac:dyDescent="0.25">
      <c r="A2691" t="s">
        <v>3398</v>
      </c>
      <c r="B2691" s="2" t="str">
        <f t="shared" si="1923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1924">ROUND($A2691,3)+0</f>
        <v>2812.3850000000002</v>
      </c>
      <c r="AB2691" s="3">
        <f t="shared" ref="AB2691:AB2754" si="1925">ROUND($E2691,2)+0</f>
        <v>35546.54</v>
      </c>
      <c r="AC2691" s="3" cm="1">
        <f t="array" ref="AC2691">100000000/LvacE(AA2691)</f>
        <v>35546.540378863734</v>
      </c>
      <c r="AD2691" s="10">
        <f t="shared" ref="AD2691:AD2754" si="1926">0.0005/$AA2691*AC2691+0.005</f>
        <v>1.1319643359437583E-2</v>
      </c>
      <c r="AE2691" s="10" t="b">
        <f t="shared" ref="AE2691:AE2754" si="1927">ABS(AB2691-AC2691)&lt;AD2691</f>
        <v>1</v>
      </c>
      <c r="AP2691"/>
      <c r="AQ2691"/>
      <c r="AU2691" s="16" cm="1">
        <f t="array" ref="AU2691">$C2691*EXP(poly_from_str(100000000/$E2691,AU$4342))</f>
        <v>0</v>
      </c>
    </row>
    <row r="2692" spans="1:48" x14ac:dyDescent="0.25">
      <c r="A2692" t="s">
        <v>3399</v>
      </c>
      <c r="B2692" s="2" t="str">
        <f t="shared" si="1923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1924"/>
        <v>2812.3670000000002</v>
      </c>
      <c r="AB2692" s="3">
        <f t="shared" si="1925"/>
        <v>35546.769999999997</v>
      </c>
      <c r="AC2692" s="3" cm="1">
        <f t="array" ref="AC2692">100000000/LvacE(AA2692)</f>
        <v>35546.767876108577</v>
      </c>
      <c r="AD2692" s="10">
        <f t="shared" si="1926"/>
        <v>1.1319724252935086E-2</v>
      </c>
      <c r="AE2692" s="10" t="b">
        <f t="shared" si="1927"/>
        <v>1</v>
      </c>
      <c r="AP2692"/>
      <c r="AQ2692"/>
      <c r="AU2692" s="16" cm="1">
        <f t="array" ref="AU2692">$C2692*EXP(poly_from_str(100000000/$E2692,AU$4342))</f>
        <v>0</v>
      </c>
    </row>
    <row r="2693" spans="1:48" x14ac:dyDescent="0.25">
      <c r="A2693" t="s">
        <v>3400</v>
      </c>
      <c r="B2693" s="2" t="str">
        <f t="shared" si="1923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1924"/>
        <v>2811.855</v>
      </c>
      <c r="AB2693" s="3">
        <f t="shared" si="1925"/>
        <v>35553.24</v>
      </c>
      <c r="AC2693" s="3" cm="1">
        <f t="array" ref="AC2693">100000000/LvacE(AA2693)</f>
        <v>35553.240128450903</v>
      </c>
      <c r="AD2693" s="10">
        <f t="shared" si="1926"/>
        <v>1.1322025874102845E-2</v>
      </c>
      <c r="AE2693" s="10" t="b">
        <f t="shared" si="1927"/>
        <v>1</v>
      </c>
      <c r="AP2693"/>
      <c r="AQ2693"/>
      <c r="AU2693" s="16" cm="1">
        <f t="array" ref="AU2693">$C2693*EXP(poly_from_str(100000000/$E2693,AU$4342))</f>
        <v>1.1715881311824159</v>
      </c>
    </row>
    <row r="2694" spans="1:48" x14ac:dyDescent="0.25">
      <c r="A2694" t="s">
        <v>3401</v>
      </c>
      <c r="B2694" s="2" t="str">
        <f t="shared" si="1923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1928">$G2694&amp;""</f>
        <v>e</v>
      </c>
      <c r="N2694" t="str">
        <f t="shared" ref="N2694:N2699" si="1929">$H2694&amp;""</f>
        <v>7/2</v>
      </c>
      <c r="O2694">
        <v>66852.87</v>
      </c>
      <c r="P2694" t="str">
        <f t="shared" ref="P2694:P2699" si="1930">$J2694&amp;""</f>
        <v>o</v>
      </c>
      <c r="Q2694" t="str">
        <f t="shared" ref="Q2694:Q2699" si="1931">$K2694&amp;""</f>
        <v>7/2</v>
      </c>
      <c r="R2694">
        <v>26</v>
      </c>
      <c r="AA2694" s="10">
        <f t="shared" si="1924"/>
        <v>2808.3069999999998</v>
      </c>
      <c r="AB2694" s="3">
        <f t="shared" si="1925"/>
        <v>35598.160000000003</v>
      </c>
      <c r="AC2694" s="3" cm="1">
        <f t="array" ref="AC2694">100000000/LvacE(AA2694)</f>
        <v>35598.155649871347</v>
      </c>
      <c r="AD2694" s="10">
        <f t="shared" si="1926"/>
        <v>1.1338009991406096E-2</v>
      </c>
      <c r="AE2694" s="10" t="b">
        <f t="shared" si="1927"/>
        <v>1</v>
      </c>
      <c r="AJ2694" t="s">
        <v>4735</v>
      </c>
      <c r="AK2694" t="s">
        <v>4830</v>
      </c>
      <c r="AL2694">
        <v>31254.71</v>
      </c>
      <c r="AM2694">
        <v>66852.87</v>
      </c>
      <c r="AN2694" s="10" cm="1">
        <f t="array" ref="AN2694">Lair(100000000/($AM2694-$AL2694))</f>
        <v>2808.3066534796349</v>
      </c>
      <c r="AO2694" s="10">
        <f t="shared" ref="AO2694:AO2699" si="1932">100000000/($AM2694-$AL2694)</f>
        <v>2809.1339552381364</v>
      </c>
      <c r="AP2694" s="12">
        <v>9370000</v>
      </c>
      <c r="AQ2694" s="3">
        <v>5.0999999999999997E-2</v>
      </c>
      <c r="AR2694" s="3">
        <f t="shared" ref="AR2694:AR2696" si="1933">LN(AU2694*100000000/($AM2694-$AL2694)/AP2694)</f>
        <v>-6.1775740040244855</v>
      </c>
      <c r="AS2694" s="13">
        <f t="shared" ref="AS2694:AS2699" si="1934">EXP(AR$4341*$AM2694+AR$4342)*$AP2694/(100000000/($AM2694-$AL2694))</f>
        <v>1.9532923434904701</v>
      </c>
      <c r="AT2694" s="3">
        <f t="shared" ref="AT2694:AT2699" si="1935">LN(AS2694/$C2694)</f>
        <v>-1.1222431390886152</v>
      </c>
      <c r="AU2694" s="16" cm="1">
        <f t="array" ref="AU2694">$C2694*EXP(poly_from_str(100000000/$E2694,AU$4342))</f>
        <v>6.9227849379431738</v>
      </c>
      <c r="AV2694" s="13">
        <f t="shared" ref="AV2694:AV2696" si="1936">LN(AS2694/AU2694)</f>
        <v>-1.2653018062094412</v>
      </c>
    </row>
    <row r="2695" spans="1:48" x14ac:dyDescent="0.25">
      <c r="A2695" t="s">
        <v>3402</v>
      </c>
      <c r="B2695" s="2" t="str">
        <f t="shared" si="1923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1928"/>
        <v>e</v>
      </c>
      <c r="N2695" t="str">
        <f t="shared" si="1929"/>
        <v>13/2</v>
      </c>
      <c r="O2695">
        <v>64865.15</v>
      </c>
      <c r="P2695" t="str">
        <f t="shared" si="1930"/>
        <v>o</v>
      </c>
      <c r="Q2695" t="str">
        <f t="shared" si="1931"/>
        <v>11/2</v>
      </c>
      <c r="R2695">
        <v>26</v>
      </c>
      <c r="AA2695" s="10">
        <f t="shared" si="1924"/>
        <v>2807.9949999999999</v>
      </c>
      <c r="AB2695" s="3">
        <f t="shared" si="1925"/>
        <v>35602.11</v>
      </c>
      <c r="AC2695" s="3" cm="1">
        <f t="array" ref="AC2695">100000000/LvacE(AA2695)</f>
        <v>35602.110809043574</v>
      </c>
      <c r="AD2695" s="10">
        <f t="shared" si="1926"/>
        <v>1.1339418483480843E-2</v>
      </c>
      <c r="AE2695" s="10" t="b">
        <f t="shared" si="1927"/>
        <v>1</v>
      </c>
      <c r="AJ2695" t="s">
        <v>4699</v>
      </c>
      <c r="AK2695" t="s">
        <v>4896</v>
      </c>
      <c r="AL2695">
        <v>29263.08</v>
      </c>
      <c r="AM2695">
        <v>64865.15</v>
      </c>
      <c r="AN2695" s="10" cm="1">
        <f t="array" ref="AN2695">Lair(100000000/($AM2695-$AL2695))</f>
        <v>2807.9982155168973</v>
      </c>
      <c r="AO2695" s="10">
        <f t="shared" si="1932"/>
        <v>2808.8254418914407</v>
      </c>
      <c r="AP2695" s="12">
        <v>9680000</v>
      </c>
      <c r="AQ2695" s="3">
        <v>6.6000000000000003E-2</v>
      </c>
      <c r="AR2695" s="3">
        <f t="shared" si="1933"/>
        <v>-6.6170539731933182</v>
      </c>
      <c r="AS2695" s="13">
        <f t="shared" si="1934"/>
        <v>2.3428002731852553</v>
      </c>
      <c r="AT2695" s="3">
        <f t="shared" si="1935"/>
        <v>-0.53494744928010063</v>
      </c>
      <c r="AU2695" s="16" cm="1">
        <f t="array" ref="AU2695">$C2695*EXP(poly_from_str(100000000/$E2695,AU$4342))</f>
        <v>4.6089349655599001</v>
      </c>
      <c r="AV2695" s="13">
        <f t="shared" si="1936"/>
        <v>-0.67664989148440613</v>
      </c>
    </row>
    <row r="2696" spans="1:48" x14ac:dyDescent="0.25">
      <c r="A2696" t="s">
        <v>3403</v>
      </c>
      <c r="B2696" s="2">
        <f t="shared" si="1923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1928"/>
        <v>e</v>
      </c>
      <c r="N2696" t="str">
        <f t="shared" si="1929"/>
        <v>9/2</v>
      </c>
      <c r="O2696">
        <v>60419.73</v>
      </c>
      <c r="P2696" t="str">
        <f t="shared" si="1930"/>
        <v>o</v>
      </c>
      <c r="Q2696" t="str">
        <f t="shared" si="1931"/>
        <v>11/2</v>
      </c>
      <c r="R2696">
        <v>26</v>
      </c>
      <c r="AA2696" s="10">
        <f t="shared" si="1924"/>
        <v>2805.6619999999998</v>
      </c>
      <c r="AB2696" s="3">
        <f t="shared" si="1925"/>
        <v>35631.71</v>
      </c>
      <c r="AC2696" s="3" cm="1">
        <f t="array" ref="AC2696">100000000/LvacE(AA2696)</f>
        <v>35631.713644152798</v>
      </c>
      <c r="AD2696" s="10">
        <f t="shared" si="1926"/>
        <v>1.1349965470565021E-2</v>
      </c>
      <c r="AE2696" s="10" t="b">
        <f t="shared" si="1927"/>
        <v>1</v>
      </c>
      <c r="AJ2696" t="s">
        <v>4705</v>
      </c>
      <c r="AK2696" t="s">
        <v>4849</v>
      </c>
      <c r="AL2696">
        <v>24788.02</v>
      </c>
      <c r="AM2696">
        <v>60419.73</v>
      </c>
      <c r="AN2696" s="10" cm="1">
        <f t="array" ref="AN2696">Lair(100000000/($AM2696-$AL2696))</f>
        <v>2805.6622836575207</v>
      </c>
      <c r="AO2696" s="10">
        <f t="shared" si="1932"/>
        <v>2806.4889392061168</v>
      </c>
      <c r="AP2696" s="12">
        <v>13700000</v>
      </c>
      <c r="AQ2696" s="3">
        <v>7.4999999999999997E-2</v>
      </c>
      <c r="AR2696" s="3">
        <f t="shared" si="1933"/>
        <v>-6.4158223352446289</v>
      </c>
      <c r="AS2696" s="13">
        <f t="shared" si="1934"/>
        <v>4.6326423173381492</v>
      </c>
      <c r="AT2696" s="3">
        <f t="shared" si="1935"/>
        <v>-0.41278274885211941</v>
      </c>
      <c r="AU2696" s="16" cm="1">
        <f t="array" ref="AU2696">$C2696*EXP(poly_from_str(100000000/$E2696,AU$4342))</f>
        <v>7.9836409141387703</v>
      </c>
      <c r="AV2696" s="13">
        <f t="shared" si="1936"/>
        <v>-0.54426716211051085</v>
      </c>
    </row>
    <row r="2697" spans="1:48" x14ac:dyDescent="0.25">
      <c r="A2697" t="s">
        <v>3403</v>
      </c>
      <c r="B2697" s="2">
        <f t="shared" si="1923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1928"/>
        <v>o</v>
      </c>
      <c r="N2697" t="str">
        <f t="shared" si="1929"/>
        <v>7/2</v>
      </c>
      <c r="O2697">
        <v>102484.66</v>
      </c>
      <c r="P2697" t="str">
        <f t="shared" si="1930"/>
        <v>e</v>
      </c>
      <c r="Q2697" t="str">
        <f t="shared" si="1931"/>
        <v>9/2</v>
      </c>
      <c r="R2697">
        <v>26</v>
      </c>
      <c r="AA2697" s="10">
        <f t="shared" si="1924"/>
        <v>2805.6619999999998</v>
      </c>
      <c r="AB2697" s="3">
        <f t="shared" si="1925"/>
        <v>35631.71</v>
      </c>
      <c r="AC2697" s="3" cm="1">
        <f t="array" ref="AC2697">100000000/LvacE(AA2697)</f>
        <v>35631.713644152798</v>
      </c>
      <c r="AD2697" s="10">
        <f t="shared" si="1926"/>
        <v>1.1349965470565021E-2</v>
      </c>
      <c r="AE2697" s="10" t="b">
        <f t="shared" si="1927"/>
        <v>1</v>
      </c>
      <c r="AJ2697" t="s">
        <v>4830</v>
      </c>
      <c r="AK2697" t="s">
        <v>4832</v>
      </c>
      <c r="AL2697">
        <v>66852.87</v>
      </c>
      <c r="AM2697">
        <v>102484.66</v>
      </c>
      <c r="AN2697" s="10" cm="1">
        <f t="array" ref="AN2697">Lair(100000000/($AM2697-$AL2697))</f>
        <v>2805.6559841067283</v>
      </c>
      <c r="AO2697" s="10">
        <f t="shared" si="1932"/>
        <v>2806.4826381161311</v>
      </c>
      <c r="AP2697" s="15">
        <v>6460000</v>
      </c>
      <c r="AQ2697" s="3">
        <v>0.21199999999999999</v>
      </c>
      <c r="AR2697" s="14"/>
      <c r="AS2697" s="13">
        <f t="shared" si="1934"/>
        <v>9.2970450685095879E-2</v>
      </c>
      <c r="AT2697" s="14"/>
      <c r="AU2697" s="16" cm="1">
        <f t="array" ref="AU2697">$C2697*EXP(poly_from_str(100000000/$E2697,AU$4342))</f>
        <v>7.9836409141387703</v>
      </c>
    </row>
    <row r="2698" spans="1:48" x14ac:dyDescent="0.25">
      <c r="A2698" t="s">
        <v>3404</v>
      </c>
      <c r="B2698" s="2" t="str">
        <f t="shared" si="1923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1928"/>
        <v>e</v>
      </c>
      <c r="N2698" t="str">
        <f t="shared" si="1929"/>
        <v>7/2</v>
      </c>
      <c r="O2698">
        <v>58174.15</v>
      </c>
      <c r="P2698" t="str">
        <f t="shared" si="1930"/>
        <v>o</v>
      </c>
      <c r="Q2698" t="str">
        <f t="shared" si="1931"/>
        <v>9/2</v>
      </c>
      <c r="R2698">
        <v>26</v>
      </c>
      <c r="AA2698" s="10">
        <f t="shared" si="1924"/>
        <v>2804.502</v>
      </c>
      <c r="AB2698" s="3">
        <f t="shared" si="1925"/>
        <v>35646.449999999997</v>
      </c>
      <c r="AC2698" s="3" cm="1">
        <f t="array" ref="AC2698">100000000/LvacE(AA2698)</f>
        <v>35646.450915622583</v>
      </c>
      <c r="AD2698" s="10">
        <f t="shared" si="1926"/>
        <v>1.1355219378631674E-2</v>
      </c>
      <c r="AE2698" s="10" t="b">
        <f t="shared" si="1927"/>
        <v>1</v>
      </c>
      <c r="AJ2698" t="s">
        <v>4799</v>
      </c>
      <c r="AK2698" t="s">
        <v>4698</v>
      </c>
      <c r="AL2698">
        <v>22527.7</v>
      </c>
      <c r="AM2698">
        <v>58174.15</v>
      </c>
      <c r="AN2698" s="10" cm="1">
        <f t="array" ref="AN2698">Lair(100000000/($AM2698-$AL2698))</f>
        <v>2804.5020687523574</v>
      </c>
      <c r="AO2698" s="10">
        <f t="shared" si="1932"/>
        <v>2805.3284408405329</v>
      </c>
      <c r="AP2698" s="12">
        <v>6840000</v>
      </c>
      <c r="AQ2698" s="3">
        <v>4.8000000000000001E-2</v>
      </c>
      <c r="AR2698" s="3"/>
      <c r="AS2698" s="13">
        <f t="shared" si="1934"/>
        <v>2.7386261594417243</v>
      </c>
      <c r="AT2698" s="3"/>
      <c r="AU2698" s="16" cm="1">
        <f t="array" ref="AU2698">$C2698*EXP(poly_from_str(100000000/$E2698,AU$4342))</f>
        <v>2.2693811833573463</v>
      </c>
    </row>
    <row r="2699" spans="1:48" x14ac:dyDescent="0.25">
      <c r="A2699" t="s">
        <v>3405</v>
      </c>
      <c r="B2699" s="2" t="str">
        <f t="shared" si="1923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1928"/>
        <v>e</v>
      </c>
      <c r="N2699" t="str">
        <f t="shared" si="1929"/>
        <v>5/2</v>
      </c>
      <c r="O2699">
        <v>84409.93</v>
      </c>
      <c r="P2699" t="str">
        <f t="shared" si="1930"/>
        <v>o</v>
      </c>
      <c r="Q2699" t="str">
        <f t="shared" si="1931"/>
        <v>3/2</v>
      </c>
      <c r="R2699">
        <v>26</v>
      </c>
      <c r="AA2699" s="10">
        <f t="shared" si="1924"/>
        <v>2803.09</v>
      </c>
      <c r="AB2699" s="3">
        <f t="shared" si="1925"/>
        <v>35664.410000000003</v>
      </c>
      <c r="AC2699" s="3" cm="1">
        <f t="array" ref="AC2699">100000000/LvacE(AA2699)</f>
        <v>35664.406190696463</v>
      </c>
      <c r="AD2699" s="10">
        <f t="shared" si="1926"/>
        <v>1.1361623456738183E-2</v>
      </c>
      <c r="AE2699" s="10" t="b">
        <f t="shared" si="1927"/>
        <v>1</v>
      </c>
      <c r="AJ2699" t="s">
        <v>4762</v>
      </c>
      <c r="AK2699" t="s">
        <v>4930</v>
      </c>
      <c r="AL2699">
        <v>48745.48</v>
      </c>
      <c r="AM2699">
        <v>84409.93</v>
      </c>
      <c r="AN2699" s="10" cm="1">
        <f t="array" ref="AN2699">Lair(100000000/($AM2699-$AL2699))</f>
        <v>2803.086553307458</v>
      </c>
      <c r="AO2699" s="10">
        <f t="shared" si="1932"/>
        <v>2803.9125796135936</v>
      </c>
      <c r="AP2699" s="12">
        <v>53500000</v>
      </c>
      <c r="AQ2699" s="3">
        <v>0.214</v>
      </c>
      <c r="AR2699" s="3">
        <f>LN(AU2699*100000000/($AM2699-$AL2699)/AP2699)</f>
        <v>-8.6377250848565446</v>
      </c>
      <c r="AS2699" s="13">
        <f t="shared" si="1934"/>
        <v>2.9920083919563893</v>
      </c>
      <c r="AT2699" s="3">
        <f t="shared" si="1935"/>
        <v>-2.6674237615538494E-3</v>
      </c>
      <c r="AU2699" s="16" cm="1">
        <f t="array" ref="AU2699">$C2699*EXP(poly_from_str(100000000/$E2699,AU$4342))</f>
        <v>3.3827739100636531</v>
      </c>
      <c r="AV2699" s="13">
        <f>LN(AS2699/AU2699)</f>
        <v>-0.12275119146262928</v>
      </c>
    </row>
    <row r="2700" spans="1:48" x14ac:dyDescent="0.25">
      <c r="A2700" t="s">
        <v>3406</v>
      </c>
      <c r="B2700" s="2" t="str">
        <f t="shared" si="1923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1924"/>
        <v>2802.538</v>
      </c>
      <c r="AB2700" s="3">
        <f t="shared" si="1925"/>
        <v>35671.43</v>
      </c>
      <c r="AC2700" s="3" cm="1">
        <f t="array" ref="AC2700">100000000/LvacE(AA2700)</f>
        <v>35671.430452020759</v>
      </c>
      <c r="AD2700" s="10">
        <f t="shared" si="1926"/>
        <v>1.136412966604213E-2</v>
      </c>
      <c r="AE2700" s="10" t="b">
        <f t="shared" si="1927"/>
        <v>1</v>
      </c>
      <c r="AP2700"/>
      <c r="AQ2700"/>
      <c r="AU2700" s="16" cm="1">
        <f t="array" ref="AU2700">$C2700*EXP(poly_from_str(100000000/$E2700,AU$4342))</f>
        <v>0</v>
      </c>
    </row>
    <row r="2701" spans="1:48" x14ac:dyDescent="0.25">
      <c r="A2701" t="s">
        <v>3407</v>
      </c>
      <c r="B2701" s="2" t="str">
        <f t="shared" si="1923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1924"/>
        <v>2802.51</v>
      </c>
      <c r="AB2701" s="3">
        <f t="shared" si="1925"/>
        <v>35671.79</v>
      </c>
      <c r="AC2701" s="3" cm="1">
        <f t="array" ref="AC2701">100000000/LvacE(AA2701)</f>
        <v>35671.786828864235</v>
      </c>
      <c r="AD2701" s="10">
        <f t="shared" si="1926"/>
        <v>1.1364256832065583E-2</v>
      </c>
      <c r="AE2701" s="10" t="b">
        <f t="shared" si="1927"/>
        <v>1</v>
      </c>
      <c r="AJ2701" t="s">
        <v>4774</v>
      </c>
      <c r="AK2701" t="s">
        <v>4879</v>
      </c>
      <c r="AL2701">
        <v>33466.410000000003</v>
      </c>
      <c r="AM2701">
        <v>69138.28</v>
      </c>
      <c r="AN2701" s="10" cm="1">
        <f t="array" ref="AN2701">Lair(100000000/($AM2701-$AL2701))</f>
        <v>2802.503462179026</v>
      </c>
      <c r="AO2701" s="10">
        <f>100000000/($AM2701-$AL2701)</f>
        <v>2803.3293460645605</v>
      </c>
      <c r="AP2701" s="12">
        <v>109000000</v>
      </c>
      <c r="AQ2701" s="3">
        <v>0.48399999999999999</v>
      </c>
      <c r="AR2701" s="3">
        <f>LN(AU2701*100000000/($AM2701-$AL2701)/AP2701)</f>
        <v>-8.2535763460609672</v>
      </c>
      <c r="AS2701" s="13">
        <f>EXP(AR$4341*$AM2701+AR$4342)*$AP2701/(100000000/($AM2701-$AL2701))</f>
        <v>19.180746174660801</v>
      </c>
      <c r="AT2701" s="3">
        <f>LN(AS2701/$C2701)</f>
        <v>0.7566823951507029</v>
      </c>
      <c r="AU2701" s="16" cm="1">
        <f t="array" ref="AU2701">$C2701*EXP(poly_from_str(100000000/$E2701,AU$4342))</f>
        <v>10.12207874312994</v>
      </c>
      <c r="AV2701" s="13">
        <f>LN(AS2701/AU2701)</f>
        <v>0.63918792032103344</v>
      </c>
    </row>
    <row r="2702" spans="1:48" x14ac:dyDescent="0.25">
      <c r="A2702" t="s">
        <v>3408</v>
      </c>
      <c r="B2702" s="2" t="str">
        <f t="shared" si="1923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1924"/>
        <v>2802.0390000000002</v>
      </c>
      <c r="AB2702" s="3">
        <f t="shared" si="1925"/>
        <v>35677.78</v>
      </c>
      <c r="AC2702" s="3" cm="1">
        <f t="array" ref="AC2702">100000000/LvacE(AA2702)</f>
        <v>35677.782663959842</v>
      </c>
      <c r="AD2702" s="10">
        <f t="shared" si="1926"/>
        <v>1.1366396517671566E-2</v>
      </c>
      <c r="AE2702" s="10" t="b">
        <f t="shared" si="1927"/>
        <v>1</v>
      </c>
      <c r="AP2702"/>
      <c r="AQ2702"/>
      <c r="AU2702" s="16" cm="1">
        <f t="array" ref="AU2702">$C2702*EXP(poly_from_str(100000000/$E2702,AU$4342))</f>
        <v>7.8561652626883056</v>
      </c>
    </row>
    <row r="2703" spans="1:48" x14ac:dyDescent="0.25">
      <c r="A2703" t="s">
        <v>3409</v>
      </c>
      <c r="B2703" s="2" t="str">
        <f t="shared" si="1923"/>
        <v/>
      </c>
      <c r="C2703">
        <v>1</v>
      </c>
      <c r="D2703" t="s">
        <v>1156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1924"/>
        <v>2797.924</v>
      </c>
      <c r="AB2703" s="3">
        <f t="shared" si="1925"/>
        <v>35730.25</v>
      </c>
      <c r="AC2703" s="3" cm="1">
        <f t="array" ref="AC2703">100000000/LvacE(AA2703)</f>
        <v>35730.252511793777</v>
      </c>
      <c r="AD2703" s="10">
        <f t="shared" si="1926"/>
        <v>1.1385136356776269E-2</v>
      </c>
      <c r="AE2703" s="10" t="b">
        <f t="shared" si="1927"/>
        <v>1</v>
      </c>
      <c r="AJ2703" t="s">
        <v>4858</v>
      </c>
      <c r="AK2703" t="s">
        <v>4946</v>
      </c>
      <c r="AL2703">
        <v>65935.25</v>
      </c>
      <c r="AM2703">
        <v>101665.58</v>
      </c>
      <c r="AN2703" s="10" cm="1">
        <f t="array" ref="AN2703">Lair(100000000/($AM2703-$AL2703))</f>
        <v>2797.9179286240119</v>
      </c>
      <c r="AO2703" s="10">
        <f>100000000/($AM2703-$AL2703)</f>
        <v>2798.7426928326718</v>
      </c>
      <c r="AP2703" s="12">
        <v>3900000</v>
      </c>
      <c r="AQ2703" s="3">
        <v>1.4999999999999999E-2</v>
      </c>
      <c r="AR2703" s="3"/>
      <c r="AS2703" s="13">
        <f>EXP(AR$4341*$AM2703+AR$4342)*$AP2703/(100000000/($AM2703-$AL2703))</f>
        <v>5.9851107386593841E-2</v>
      </c>
      <c r="AT2703" s="3"/>
      <c r="AU2703" s="16" cm="1">
        <f t="array" ref="AU2703">$C2703*EXP(poly_from_str(100000000/$E2703,AU$4342))</f>
        <v>1.101609194541336</v>
      </c>
    </row>
    <row r="2704" spans="1:48" x14ac:dyDescent="0.25">
      <c r="A2704" t="s">
        <v>3410</v>
      </c>
      <c r="B2704" s="2" t="str">
        <f t="shared" si="1923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1924"/>
        <v>2797.1610000000001</v>
      </c>
      <c r="AB2704" s="3">
        <f t="shared" si="1925"/>
        <v>35740</v>
      </c>
      <c r="AC2704" s="3" cm="1">
        <f t="array" ref="AC2704">100000000/LvacE(AA2704)</f>
        <v>35739.998393714799</v>
      </c>
      <c r="AD2704" s="10">
        <f t="shared" si="1926"/>
        <v>1.1388620174833483E-2</v>
      </c>
      <c r="AE2704" s="10" t="b">
        <f t="shared" si="1927"/>
        <v>1</v>
      </c>
      <c r="AP2704"/>
      <c r="AQ2704"/>
      <c r="AU2704" s="16" cm="1">
        <f t="array" ref="AU2704">$C2704*EXP(poly_from_str(100000000/$E2704,AU$4342))</f>
        <v>2.195536853736948</v>
      </c>
    </row>
    <row r="2705" spans="1:48" x14ac:dyDescent="0.25">
      <c r="A2705" t="s">
        <v>3411</v>
      </c>
      <c r="B2705" s="2" t="str">
        <f t="shared" si="1923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1924"/>
        <v>2795.1759999999999</v>
      </c>
      <c r="AB2705" s="3">
        <f t="shared" si="1925"/>
        <v>35765.379999999997</v>
      </c>
      <c r="AC2705" s="3" cm="1">
        <f t="array" ref="AC2705">100000000/LvacE(AA2705)</f>
        <v>35765.377938847596</v>
      </c>
      <c r="AD2705" s="10">
        <f t="shared" si="1926"/>
        <v>1.1397696949824912E-2</v>
      </c>
      <c r="AE2705" s="10" t="b">
        <f t="shared" si="1927"/>
        <v>1</v>
      </c>
      <c r="AJ2705" t="s">
        <v>4829</v>
      </c>
      <c r="AK2705" t="s">
        <v>4869</v>
      </c>
      <c r="AL2705">
        <v>32760.11</v>
      </c>
      <c r="AM2705">
        <v>68525.62</v>
      </c>
      <c r="AN2705" s="10" cm="1">
        <f t="array" ref="AN2705">Lair(100000000/($AM2705-$AL2705))</f>
        <v>2795.1656753264315</v>
      </c>
      <c r="AO2705" s="10">
        <f>100000000/($AM2705-$AL2705)</f>
        <v>2795.9897677958461</v>
      </c>
      <c r="AP2705" s="12">
        <v>165000000</v>
      </c>
      <c r="AQ2705" s="3">
        <v>0.435</v>
      </c>
      <c r="AR2705" s="3">
        <f>LN(AU2705*100000000/($AM2705-$AL2705)/AP2705)</f>
        <v>-8.7041509024960408</v>
      </c>
      <c r="AS2705" s="13">
        <f>EXP(AR$4341*$AM2705+AR$4342)*$AP2705/(100000000/($AM2705-$AL2705))</f>
        <v>30.48102351901802</v>
      </c>
      <c r="AT2705" s="3">
        <f>LN(AS2705/$C2705)</f>
        <v>1.2198797329387061</v>
      </c>
      <c r="AU2705" s="16" cm="1">
        <f t="array" ref="AU2705">$C2705*EXP(poly_from_str(100000000/$E2705,AU$4342))</f>
        <v>9.790021822580437</v>
      </c>
      <c r="AV2705" s="13">
        <f>LN(AS2705/AU2705)</f>
        <v>1.1357406246665089</v>
      </c>
    </row>
    <row r="2706" spans="1:48" x14ac:dyDescent="0.25">
      <c r="A2706" t="s">
        <v>3412</v>
      </c>
      <c r="B2706" s="2" t="str">
        <f t="shared" si="1923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1924"/>
        <v>2795.1419999999998</v>
      </c>
      <c r="AB2706" s="3">
        <f t="shared" si="1925"/>
        <v>35765.81</v>
      </c>
      <c r="AC2706" s="3" cm="1">
        <f t="array" ref="AC2706">100000000/LvacE(AA2706)</f>
        <v>35765.812965434256</v>
      </c>
      <c r="AD2706" s="10">
        <f t="shared" si="1926"/>
        <v>1.1397852589498898E-2</v>
      </c>
      <c r="AE2706" s="10" t="b">
        <f t="shared" si="1927"/>
        <v>1</v>
      </c>
      <c r="AP2706"/>
      <c r="AQ2706"/>
      <c r="AU2706" s="16" cm="1">
        <f t="array" ref="AU2706">$C2706*EXP(poly_from_str(100000000/$E2706,AU$4342))</f>
        <v>0</v>
      </c>
    </row>
    <row r="2707" spans="1:48" x14ac:dyDescent="0.25">
      <c r="A2707" t="s">
        <v>3413</v>
      </c>
      <c r="B2707" s="2" t="str">
        <f t="shared" si="1923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1924"/>
        <v>2793.3539999999998</v>
      </c>
      <c r="AB2707" s="3">
        <f t="shared" si="1925"/>
        <v>35788.699999999997</v>
      </c>
      <c r="AC2707" s="3" cm="1">
        <f t="array" ref="AC2707">100000000/LvacE(AA2707)</f>
        <v>35788.705166552478</v>
      </c>
      <c r="AD2707" s="10">
        <f t="shared" si="1926"/>
        <v>1.1406045414679357E-2</v>
      </c>
      <c r="AE2707" s="10" t="b">
        <f t="shared" si="1927"/>
        <v>1</v>
      </c>
      <c r="AP2707"/>
      <c r="AQ2707"/>
      <c r="AU2707" s="16" cm="1">
        <f t="array" ref="AU2707">$C2707*EXP(poly_from_str(100000000/$E2707,AU$4342))</f>
        <v>1.0786158649760456</v>
      </c>
    </row>
    <row r="2708" spans="1:48" x14ac:dyDescent="0.25">
      <c r="A2708" t="s">
        <v>3414</v>
      </c>
      <c r="B2708" s="2" t="str">
        <f t="shared" si="1923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1924"/>
        <v>2792.902</v>
      </c>
      <c r="AB2708" s="3">
        <f t="shared" si="1925"/>
        <v>35794.5</v>
      </c>
      <c r="AC2708" s="3" cm="1">
        <f t="array" ref="AC2708">100000000/LvacE(AA2708)</f>
        <v>35794.496874046519</v>
      </c>
      <c r="AD2708" s="10">
        <f t="shared" si="1926"/>
        <v>1.1408119023518641E-2</v>
      </c>
      <c r="AE2708" s="10" t="b">
        <f t="shared" si="1927"/>
        <v>1</v>
      </c>
      <c r="AJ2708" t="s">
        <v>4735</v>
      </c>
      <c r="AK2708" t="s">
        <v>4862</v>
      </c>
      <c r="AL2708">
        <v>31254.71</v>
      </c>
      <c r="AM2708">
        <v>67049.179999999993</v>
      </c>
      <c r="AN2708" s="10" cm="1">
        <f t="array" ref="AN2708">Lair(100000000/($AM2708-$AL2708))</f>
        <v>2792.9040938099683</v>
      </c>
      <c r="AO2708" s="10">
        <f>100000000/($AM2708-$AL2708)</f>
        <v>2793.7276344642069</v>
      </c>
      <c r="AP2708" s="12">
        <v>52800000</v>
      </c>
      <c r="AQ2708" s="3">
        <v>0.19900000000000001</v>
      </c>
      <c r="AR2708" s="3">
        <f>LN(AU2708*100000000/($AM2708-$AL2708)/AP2708)</f>
        <v>-7.5760999639772395</v>
      </c>
      <c r="AS2708" s="13">
        <f>EXP(AR$4341*$AM2708+AR$4342)*$AP2708/(100000000/($AM2708-$AL2708))</f>
        <v>10.905654936750517</v>
      </c>
      <c r="AT2708" s="3">
        <f>LN(AS2708/$C2708)</f>
        <v>0.19205687890463394</v>
      </c>
      <c r="AU2708" s="16" cm="1">
        <f t="array" ref="AU2708">$C2708*EXP(poly_from_str(100000000/$E2708,AU$4342))</f>
        <v>9.687047965164389</v>
      </c>
      <c r="AV2708" s="13">
        <f>LN(AS2708/AU2708)</f>
        <v>0.11849172431052728</v>
      </c>
    </row>
    <row r="2709" spans="1:48" x14ac:dyDescent="0.25">
      <c r="A2709" t="s">
        <v>3415</v>
      </c>
      <c r="B2709" s="2" t="str">
        <f t="shared" si="1923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1924"/>
        <v>2786.9740000000002</v>
      </c>
      <c r="AB2709" s="3">
        <f t="shared" si="1925"/>
        <v>35870.629999999997</v>
      </c>
      <c r="AC2709" s="3" cm="1">
        <f t="array" ref="AC2709">100000000/LvacE(AA2709)</f>
        <v>35870.629243844043</v>
      </c>
      <c r="AD2709" s="10">
        <f t="shared" si="1926"/>
        <v>1.1435407944933114E-2</v>
      </c>
      <c r="AE2709" s="10" t="b">
        <f t="shared" si="1927"/>
        <v>1</v>
      </c>
      <c r="AP2709"/>
      <c r="AQ2709"/>
      <c r="AU2709" s="16" cm="1">
        <f t="array" ref="AU2709">$C2709*EXP(poly_from_str(100000000/$E2709,AU$4342))</f>
        <v>7.3257449475093086</v>
      </c>
    </row>
    <row r="2710" spans="1:48" x14ac:dyDescent="0.25">
      <c r="A2710" t="s">
        <v>3416</v>
      </c>
      <c r="B2710" s="2" t="str">
        <f t="shared" si="1923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1937">$G2710&amp;""</f>
        <v>e</v>
      </c>
      <c r="N2710" t="str">
        <f t="shared" ref="N2710:N2711" si="1938">$H2710&amp;""</f>
        <v>11/2</v>
      </c>
      <c r="O2710">
        <v>75640</v>
      </c>
      <c r="P2710" t="str">
        <f t="shared" ref="P2710:P2711" si="1939">$J2710&amp;""</f>
        <v>o</v>
      </c>
      <c r="Q2710" t="str">
        <f t="shared" ref="Q2710:Q2711" si="1940">$K2710&amp;""</f>
        <v>11/2</v>
      </c>
      <c r="R2710">
        <v>26</v>
      </c>
      <c r="AA2710" s="10">
        <f t="shared" si="1924"/>
        <v>2784.154</v>
      </c>
      <c r="AB2710" s="3">
        <f t="shared" si="1925"/>
        <v>35906.959999999999</v>
      </c>
      <c r="AC2710" s="3" cm="1">
        <f t="array" ref="AC2710">100000000/LvacE(AA2710)</f>
        <v>35906.959844568075</v>
      </c>
      <c r="AD2710" s="10">
        <f t="shared" si="1926"/>
        <v>1.1448450740255042E-2</v>
      </c>
      <c r="AE2710" s="10" t="b">
        <f t="shared" si="1927"/>
        <v>1</v>
      </c>
      <c r="AJ2710" t="s">
        <v>4725</v>
      </c>
      <c r="AK2710" t="s">
        <v>4938</v>
      </c>
      <c r="AL2710">
        <v>39732.99</v>
      </c>
      <c r="AM2710">
        <v>75640</v>
      </c>
      <c r="AN2710" s="10" cm="1">
        <f t="array" ref="AN2710">Lair(100000000/($AM2710-$AL2710))</f>
        <v>2784.1501077697799</v>
      </c>
      <c r="AO2710" s="10">
        <f t="shared" ref="AO2710:AO2711" si="1941">100000000/($AM2710-$AL2710)</f>
        <v>2784.9715139188697</v>
      </c>
      <c r="AP2710" s="12">
        <v>11600000</v>
      </c>
      <c r="AQ2710" s="3">
        <v>4.5999999999999999E-2</v>
      </c>
      <c r="AR2710" s="3"/>
      <c r="AS2710" s="13">
        <f t="shared" ref="AS2710:AS2711" si="1942">EXP(AR$4341*$AM2710+AR$4342)*$AP2710/(100000000/($AM2710-$AL2710))</f>
        <v>1.261373601071307</v>
      </c>
      <c r="AT2710" s="3"/>
      <c r="AU2710" s="16" cm="1">
        <f t="array" ref="AU2710">$C2710*EXP(poly_from_str(100000000/$E2710,AU$4342))</f>
        <v>1.0323757822794675</v>
      </c>
    </row>
    <row r="2711" spans="1:48" x14ac:dyDescent="0.25">
      <c r="A2711" t="s">
        <v>3417</v>
      </c>
      <c r="B2711" s="2" t="str">
        <f t="shared" si="1923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1937"/>
        <v>e</v>
      </c>
      <c r="N2711" t="str">
        <f t="shared" si="1938"/>
        <v>1/2</v>
      </c>
      <c r="O2711">
        <v>75409.58</v>
      </c>
      <c r="P2711" t="str">
        <f t="shared" si="1939"/>
        <v>o</v>
      </c>
      <c r="Q2711" t="str">
        <f t="shared" si="1940"/>
        <v>3/2</v>
      </c>
      <c r="R2711">
        <v>26</v>
      </c>
      <c r="S2711" t="s">
        <v>3418</v>
      </c>
      <c r="AA2711" s="10">
        <f t="shared" si="1924"/>
        <v>2782.826</v>
      </c>
      <c r="AB2711" s="3">
        <f t="shared" si="1925"/>
        <v>35924.089999999997</v>
      </c>
      <c r="AC2711" s="3" cm="1">
        <f t="array" ref="AC2711">100000000/LvacE(AA2711)</f>
        <v>35924.094222835469</v>
      </c>
      <c r="AD2711" s="10">
        <f t="shared" si="1926"/>
        <v>1.1454606616230312E-2</v>
      </c>
      <c r="AE2711" s="10" t="b">
        <f t="shared" si="1927"/>
        <v>1</v>
      </c>
      <c r="AJ2711" t="s">
        <v>4809</v>
      </c>
      <c r="AK2711" t="s">
        <v>4905</v>
      </c>
      <c r="AL2711">
        <v>39485.480000000003</v>
      </c>
      <c r="AM2711">
        <v>75409.58</v>
      </c>
      <c r="AN2711" s="10" cm="1">
        <f t="array" ref="AN2711">Lair(100000000/($AM2711-$AL2711))</f>
        <v>2782.8255493841766</v>
      </c>
      <c r="AO2711" s="10">
        <f t="shared" si="1941"/>
        <v>2783.6466327618509</v>
      </c>
      <c r="AP2711" s="12">
        <v>6880000</v>
      </c>
      <c r="AQ2711" s="3">
        <v>0.25600000000000001</v>
      </c>
      <c r="AR2711" s="3">
        <f>LN(AU2711*100000000/($AM2711-$AL2711)/AP2711)</f>
        <v>-7.094074645191581</v>
      </c>
      <c r="AS2711" s="13">
        <f t="shared" si="1942"/>
        <v>0.76153659860471623</v>
      </c>
      <c r="AT2711" s="3">
        <f t="shared" ref="AT2711" si="1943">LN(AS2711/$C2711)</f>
        <v>-0.96556422716056522</v>
      </c>
      <c r="AU2711" s="16" cm="1">
        <f t="array" ref="AU2711">$C2711*EXP(poly_from_str(100000000/$E2711,AU$4342))</f>
        <v>2.0514307554670856</v>
      </c>
      <c r="AV2711" s="13">
        <f>LN(AS2711/AU2711)</f>
        <v>-0.99095452580754784</v>
      </c>
    </row>
    <row r="2712" spans="1:48" x14ac:dyDescent="0.25">
      <c r="A2712" t="s">
        <v>3419</v>
      </c>
      <c r="B2712" s="2" t="str">
        <f t="shared" si="1923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1924"/>
        <v>2782.7420000000002</v>
      </c>
      <c r="AB2712" s="3">
        <f t="shared" si="1925"/>
        <v>35925.18</v>
      </c>
      <c r="AC2712" s="3" cm="1">
        <f t="array" ref="AC2712">100000000/LvacE(AA2712)</f>
        <v>35925.178573754194</v>
      </c>
      <c r="AD2712" s="10">
        <f t="shared" si="1926"/>
        <v>1.1454996290305424E-2</v>
      </c>
      <c r="AE2712" s="10" t="b">
        <f t="shared" si="1927"/>
        <v>1</v>
      </c>
      <c r="AP2712"/>
      <c r="AQ2712"/>
      <c r="AU2712" s="16" cm="1">
        <f t="array" ref="AU2712">$C2712*EXP(poly_from_str(100000000/$E2712,AU$4342))</f>
        <v>2.0505838533096972</v>
      </c>
    </row>
    <row r="2713" spans="1:48" x14ac:dyDescent="0.25">
      <c r="A2713" t="s">
        <v>3420</v>
      </c>
      <c r="B2713" s="2" t="str">
        <f t="shared" si="1923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1924"/>
        <v>2779.3510000000001</v>
      </c>
      <c r="AB2713" s="3">
        <f t="shared" si="1925"/>
        <v>35969.01</v>
      </c>
      <c r="AC2713" s="3" cm="1">
        <f t="array" ref="AC2713">100000000/LvacE(AA2713)</f>
        <v>35969.00751306524</v>
      </c>
      <c r="AD2713" s="10">
        <f t="shared" si="1926"/>
        <v>1.147075657465812E-2</v>
      </c>
      <c r="AE2713" s="10" t="b">
        <f t="shared" si="1927"/>
        <v>1</v>
      </c>
      <c r="AP2713"/>
      <c r="AQ2713"/>
      <c r="AU2713" s="16" cm="1">
        <f t="array" ref="AU2713">$C2713*EXP(poly_from_str(100000000/$E2713,AU$4342))</f>
        <v>0</v>
      </c>
    </row>
    <row r="2714" spans="1:48" x14ac:dyDescent="0.25">
      <c r="A2714" t="s">
        <v>3421</v>
      </c>
      <c r="B2714" s="2" t="str">
        <f t="shared" si="1923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1924"/>
        <v>2779.3249999999998</v>
      </c>
      <c r="AB2714" s="3">
        <f t="shared" si="1925"/>
        <v>35969.339999999997</v>
      </c>
      <c r="AC2714" s="3" cm="1">
        <f t="array" ref="AC2714">100000000/LvacE(AA2714)</f>
        <v>35969.343978207406</v>
      </c>
      <c r="AD2714" s="10">
        <f t="shared" si="1926"/>
        <v>1.1470877637233395E-2</v>
      </c>
      <c r="AE2714" s="10" t="b">
        <f t="shared" si="1927"/>
        <v>1</v>
      </c>
      <c r="AP2714"/>
      <c r="AQ2714"/>
      <c r="AU2714" s="16" cm="1">
        <f t="array" ref="AU2714">$C2714*EXP(poly_from_str(100000000/$E2714,AU$4342))</f>
        <v>0</v>
      </c>
    </row>
    <row r="2715" spans="1:48" x14ac:dyDescent="0.25">
      <c r="A2715" t="s">
        <v>3422</v>
      </c>
      <c r="B2715" s="2" t="str">
        <f t="shared" si="1923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1924"/>
        <v>2779.2919999999999</v>
      </c>
      <c r="AB2715" s="3">
        <f t="shared" si="1925"/>
        <v>35969.769999999997</v>
      </c>
      <c r="AC2715" s="3" cm="1">
        <f t="array" ref="AC2715">100000000/LvacE(AA2715)</f>
        <v>35969.771039183412</v>
      </c>
      <c r="AD2715" s="10">
        <f t="shared" si="1926"/>
        <v>1.1471031298471591E-2</v>
      </c>
      <c r="AE2715" s="10" t="b">
        <f t="shared" si="1927"/>
        <v>1</v>
      </c>
      <c r="AP2715"/>
      <c r="AQ2715"/>
      <c r="AU2715" s="16" cm="1">
        <f t="array" ref="AU2715">$C2715*EXP(poly_from_str(100000000/$E2715,AU$4342))</f>
        <v>5.0400381039412432</v>
      </c>
    </row>
    <row r="2716" spans="1:48" x14ac:dyDescent="0.25">
      <c r="A2716" t="s">
        <v>3423</v>
      </c>
      <c r="B2716" s="2" t="str">
        <f t="shared" si="1923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1924"/>
        <v>2779.076</v>
      </c>
      <c r="AB2716" s="3">
        <f t="shared" si="1925"/>
        <v>35972.57</v>
      </c>
      <c r="AC2716" s="3" cm="1">
        <f t="array" ref="AC2716">100000000/LvacE(AA2716)</f>
        <v>35972.566597820958</v>
      </c>
      <c r="AD2716" s="10">
        <f t="shared" si="1926"/>
        <v>1.1472037216294365E-2</v>
      </c>
      <c r="AE2716" s="10" t="b">
        <f t="shared" si="1927"/>
        <v>1</v>
      </c>
      <c r="AP2716"/>
      <c r="AQ2716"/>
      <c r="AU2716" s="16" cm="1">
        <f t="array" ref="AU2716">$C2716*EXP(poly_from_str(100000000/$E2716,AU$4342))</f>
        <v>5.0346242247042872</v>
      </c>
    </row>
    <row r="2717" spans="1:48" x14ac:dyDescent="0.25">
      <c r="A2717" t="s">
        <v>3424</v>
      </c>
      <c r="B2717" s="2" t="str">
        <f t="shared" si="1923"/>
        <v/>
      </c>
      <c r="C2717">
        <v>3</v>
      </c>
      <c r="D2717" t="s">
        <v>1156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1944">$G2717&amp;""</f>
        <v>e</v>
      </c>
      <c r="N2717" t="str">
        <f t="shared" ref="N2717:N2719" si="1945">$H2717&amp;""</f>
        <v>9/2</v>
      </c>
      <c r="O2717">
        <v>64865.15</v>
      </c>
      <c r="P2717" t="str">
        <f t="shared" ref="P2717:P2719" si="1946">$J2717&amp;""</f>
        <v>o</v>
      </c>
      <c r="Q2717" t="str">
        <f t="shared" ref="Q2717:Q2719" si="1947">$K2717&amp;""</f>
        <v>11/2</v>
      </c>
      <c r="R2717">
        <v>26</v>
      </c>
      <c r="AA2717" s="10">
        <f t="shared" si="1924"/>
        <v>2778.453</v>
      </c>
      <c r="AB2717" s="3">
        <f t="shared" si="1925"/>
        <v>35980.629999999997</v>
      </c>
      <c r="AC2717" s="3" cm="1">
        <f t="array" ref="AC2717">100000000/LvacE(AA2717)</f>
        <v>35980.632148270022</v>
      </c>
      <c r="AD2717" s="10">
        <f t="shared" si="1926"/>
        <v>1.1474939858307848E-2</v>
      </c>
      <c r="AE2717" s="10" t="b">
        <f t="shared" si="1927"/>
        <v>1</v>
      </c>
      <c r="AJ2717" t="s">
        <v>4742</v>
      </c>
      <c r="AK2717" t="s">
        <v>4896</v>
      </c>
      <c r="AL2717">
        <v>28885.14</v>
      </c>
      <c r="AM2717">
        <v>64865.15</v>
      </c>
      <c r="AN2717" s="10" cm="1">
        <f t="array" ref="AN2717">Lair(100000000/($AM2717-$AL2717))</f>
        <v>2778.50104306807</v>
      </c>
      <c r="AO2717" s="10">
        <f t="shared" ref="AO2717:AO2719" si="1948">100000000/($AM2717-$AL2717)</f>
        <v>2779.3210730069277</v>
      </c>
      <c r="AP2717" s="12">
        <v>31200000</v>
      </c>
      <c r="AQ2717" s="3">
        <v>0.111</v>
      </c>
      <c r="AR2717" s="3">
        <f>LN(AU2717*100000000/($AM2717-$AL2717)/AP2717)</f>
        <v>-8.2235518823183344</v>
      </c>
      <c r="AS2717" s="13">
        <f t="shared" ref="AS2717:AS2719" si="1949">EXP(AR$4341*$AM2717+AR$4342)*$AP2717/(100000000/($AM2717-$AL2717))</f>
        <v>7.6313352469523412</v>
      </c>
      <c r="AT2717" s="3">
        <f t="shared" ref="AT2717" si="1950">LN(AS2717/$C2717)</f>
        <v>0.93365054091818112</v>
      </c>
      <c r="AU2717" s="16" cm="1">
        <f t="array" ref="AU2717">$C2717*EXP(poly_from_str(100000000/$E2717,AU$4342))</f>
        <v>3.0114292861244714</v>
      </c>
      <c r="AV2717" s="13">
        <f>LN(AS2717/AU2717)</f>
        <v>0.92984801764061009</v>
      </c>
    </row>
    <row r="2718" spans="1:48" x14ac:dyDescent="0.25">
      <c r="A2718" t="s">
        <v>3425</v>
      </c>
      <c r="B2718" s="2" t="str">
        <f t="shared" si="1923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1944"/>
        <v>e</v>
      </c>
      <c r="N2718" t="str">
        <f t="shared" si="1945"/>
        <v>7/2</v>
      </c>
      <c r="O2718">
        <v>67240.350000000006</v>
      </c>
      <c r="P2718" t="str">
        <f t="shared" si="1946"/>
        <v>o</v>
      </c>
      <c r="Q2718" t="str">
        <f t="shared" si="1947"/>
        <v>7/2</v>
      </c>
      <c r="R2718">
        <v>26</v>
      </c>
      <c r="AA2718" s="10">
        <f t="shared" si="1924"/>
        <v>2778.0650000000001</v>
      </c>
      <c r="AB2718" s="3">
        <f t="shared" si="1925"/>
        <v>35985.660000000003</v>
      </c>
      <c r="AC2718" s="3" cm="1">
        <f t="array" ref="AC2718">100000000/LvacE(AA2718)</f>
        <v>35985.657143998011</v>
      </c>
      <c r="AD2718" s="10">
        <f t="shared" si="1926"/>
        <v>1.1476748590115424E-2</v>
      </c>
      <c r="AE2718" s="10" t="b">
        <f t="shared" si="1927"/>
        <v>1</v>
      </c>
      <c r="AJ2718" t="s">
        <v>4735</v>
      </c>
      <c r="AK2718" t="s">
        <v>4852</v>
      </c>
      <c r="AL2718">
        <v>31254.71</v>
      </c>
      <c r="AM2718">
        <v>67240.350000000006</v>
      </c>
      <c r="AN2718" s="10" cm="1">
        <f t="array" ref="AN2718">Lair(100000000/($AM2718-$AL2718))</f>
        <v>2778.0663205515239</v>
      </c>
      <c r="AO2718" s="10">
        <f t="shared" si="1948"/>
        <v>2778.8862446242442</v>
      </c>
      <c r="AP2718" s="12">
        <v>2640000</v>
      </c>
      <c r="AQ2718" s="3">
        <v>8.9999999999999993E-3</v>
      </c>
      <c r="AR2718" s="3"/>
      <c r="AS2718" s="13">
        <f t="shared" si="1949"/>
        <v>0.54038634117599116</v>
      </c>
      <c r="AT2718" s="3"/>
      <c r="AU2718" s="16" cm="1">
        <f t="array" ref="AU2718">$C2718*EXP(poly_from_str(100000000/$E2718,AU$4342))</f>
        <v>2.0037341492080811</v>
      </c>
    </row>
    <row r="2719" spans="1:48" x14ac:dyDescent="0.25">
      <c r="A2719" t="s">
        <v>3426</v>
      </c>
      <c r="B2719" s="2" t="str">
        <f t="shared" si="1923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1944"/>
        <v>e</v>
      </c>
      <c r="N2719" t="str">
        <f t="shared" si="1945"/>
        <v>9/2</v>
      </c>
      <c r="O2719">
        <v>63593.35</v>
      </c>
      <c r="P2719" t="str">
        <f t="shared" si="1946"/>
        <v>o</v>
      </c>
      <c r="Q2719" t="str">
        <f t="shared" si="1947"/>
        <v>9/2</v>
      </c>
      <c r="R2719">
        <v>26</v>
      </c>
      <c r="AA2719" s="10">
        <f t="shared" si="1924"/>
        <v>2777.8020000000001</v>
      </c>
      <c r="AB2719" s="3">
        <f t="shared" si="1925"/>
        <v>35989.06</v>
      </c>
      <c r="AC2719" s="3" cm="1">
        <f t="array" ref="AC2719">100000000/LvacE(AA2719)</f>
        <v>35989.064060412486</v>
      </c>
      <c r="AD2719" s="10">
        <f t="shared" si="1926"/>
        <v>1.1477975042931873E-2</v>
      </c>
      <c r="AE2719" s="10" t="b">
        <f t="shared" si="1927"/>
        <v>1</v>
      </c>
      <c r="AJ2719" t="s">
        <v>4718</v>
      </c>
      <c r="AK2719" t="s">
        <v>4840</v>
      </c>
      <c r="AL2719">
        <v>27604.26</v>
      </c>
      <c r="AM2719">
        <v>63593.35</v>
      </c>
      <c r="AN2719" s="10" cm="1">
        <f t="array" ref="AN2719">Lair(100000000/($AM2719-$AL2719))</f>
        <v>2777.7999947429557</v>
      </c>
      <c r="AO2719" s="10">
        <f t="shared" si="1948"/>
        <v>2778.6198539612978</v>
      </c>
      <c r="AP2719" s="12">
        <v>7480000</v>
      </c>
      <c r="AQ2719" s="3">
        <v>3.5000000000000003E-2</v>
      </c>
      <c r="AR2719" s="3"/>
      <c r="AS2719" s="13">
        <f t="shared" si="1949"/>
        <v>2.0132983081093188</v>
      </c>
      <c r="AT2719" s="3"/>
      <c r="AU2719" s="16" cm="1">
        <f t="array" ref="AU2719">$C2719*EXP(poly_from_str(100000000/$E2719,AU$4342))</f>
        <v>2.0011090312917874</v>
      </c>
    </row>
    <row r="2720" spans="1:48" x14ac:dyDescent="0.25">
      <c r="A2720">
        <v>2777.2890000000002</v>
      </c>
      <c r="B2720" s="2" t="str">
        <f t="shared" si="1923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1924"/>
        <v>2777.2890000000002</v>
      </c>
      <c r="AB2720" s="3">
        <f t="shared" si="1925"/>
        <v>35995.71</v>
      </c>
      <c r="AC2720" s="3" cm="1">
        <f t="array" ref="AC2720">100000000/LvacE(AA2720)</f>
        <v>35995.711347149081</v>
      </c>
      <c r="AD2720" s="10">
        <f t="shared" si="1926"/>
        <v>1.1480368328097845E-2</v>
      </c>
      <c r="AE2720" s="10" t="b">
        <f t="shared" si="1927"/>
        <v>1</v>
      </c>
      <c r="AP2720"/>
      <c r="AQ2720"/>
      <c r="AU2720" s="16" cm="1">
        <f t="array" ref="AU2720">$C2720*EXP(poly_from_str(100000000/$E2720,AU$4342))</f>
        <v>1.99597738450576</v>
      </c>
    </row>
    <row r="2721" spans="1:48" x14ac:dyDescent="0.25">
      <c r="A2721">
        <v>2776.8679999999999</v>
      </c>
      <c r="B2721" s="2" t="str">
        <f t="shared" si="1923"/>
        <v/>
      </c>
      <c r="C2721">
        <v>7</v>
      </c>
      <c r="D2721" t="s">
        <v>1156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1951">$G2721&amp;""</f>
        <v>e</v>
      </c>
      <c r="N2721" t="str">
        <f t="shared" ref="N2721:N2723" si="1952">$H2721&amp;""</f>
        <v>5/2</v>
      </c>
      <c r="O2721">
        <v>71385.600000000006</v>
      </c>
      <c r="P2721" t="str">
        <f t="shared" ref="P2721:P2723" si="1953">$J2721&amp;""</f>
        <v>o</v>
      </c>
      <c r="Q2721" t="str">
        <f t="shared" ref="Q2721:Q2723" si="1954">$K2721&amp;""</f>
        <v>7/2</v>
      </c>
      <c r="R2721">
        <v>27</v>
      </c>
      <c r="AA2721" s="10">
        <f t="shared" si="1924"/>
        <v>2776.8679999999999</v>
      </c>
      <c r="AB2721" s="3">
        <f t="shared" si="1925"/>
        <v>36001.17</v>
      </c>
      <c r="AC2721" s="3" cm="1">
        <f t="array" ref="AC2721">100000000/LvacE(AA2721)</f>
        <v>36001.168362561213</v>
      </c>
      <c r="AD2721" s="10">
        <f t="shared" si="1926"/>
        <v>1.1482333399095891E-2</v>
      </c>
      <c r="AE2721" s="10" t="b">
        <f t="shared" si="1927"/>
        <v>1</v>
      </c>
      <c r="AJ2721" t="s">
        <v>4728</v>
      </c>
      <c r="AK2721" t="s">
        <v>4874</v>
      </c>
      <c r="AL2721">
        <v>35384.17</v>
      </c>
      <c r="AM2721">
        <v>71385.600000000006</v>
      </c>
      <c r="AN2721" s="10" cm="1">
        <f t="array" ref="AN2721">Lair(100000000/($AM2721-$AL2721))</f>
        <v>2776.8478152886255</v>
      </c>
      <c r="AO2721" s="10">
        <f t="shared" ref="AO2721:AO2723" si="1955">100000000/($AM2721-$AL2721)</f>
        <v>2777.6674426543605</v>
      </c>
      <c r="AU2721" s="16" cm="1">
        <f t="array" ref="AU2721">$C2721*EXP(poly_from_str(100000000/$E2721,AU$4342))</f>
        <v>6.9711838126420069</v>
      </c>
    </row>
    <row r="2722" spans="1:48" x14ac:dyDescent="0.25">
      <c r="A2722">
        <v>2776.7289999999998</v>
      </c>
      <c r="B2722" s="2" t="str">
        <f t="shared" si="1923"/>
        <v/>
      </c>
      <c r="C2722">
        <v>1</v>
      </c>
      <c r="D2722" t="s">
        <v>1156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1951"/>
        <v>e</v>
      </c>
      <c r="N2722" t="str">
        <f t="shared" si="1952"/>
        <v>11/2</v>
      </c>
      <c r="O2722">
        <v>66735.88</v>
      </c>
      <c r="P2722" t="str">
        <f t="shared" si="1953"/>
        <v>o</v>
      </c>
      <c r="Q2722" t="str">
        <f t="shared" si="1954"/>
        <v>13/2</v>
      </c>
      <c r="R2722">
        <v>27</v>
      </c>
      <c r="AA2722" s="10">
        <f t="shared" si="1924"/>
        <v>2776.7289999999998</v>
      </c>
      <c r="AB2722" s="3">
        <f t="shared" si="1925"/>
        <v>36002.97</v>
      </c>
      <c r="AC2722" s="3" cm="1">
        <f t="array" ref="AC2722">100000000/LvacE(AA2722)</f>
        <v>36002.970448319822</v>
      </c>
      <c r="AD2722" s="10">
        <f t="shared" si="1926"/>
        <v>1.1482982395530826E-2</v>
      </c>
      <c r="AE2722" s="10" t="b">
        <f t="shared" si="1927"/>
        <v>1</v>
      </c>
      <c r="AJ2722" t="s">
        <v>4828</v>
      </c>
      <c r="AK2722" t="s">
        <v>4909</v>
      </c>
      <c r="AL2722">
        <v>30733.53</v>
      </c>
      <c r="AM2722">
        <v>66735.88</v>
      </c>
      <c r="AN2722" s="10" cm="1">
        <f t="array" ref="AN2722">Lair(100000000/($AM2722-$AL2722))</f>
        <v>2776.7768523655523</v>
      </c>
      <c r="AO2722" s="10">
        <f t="shared" si="1955"/>
        <v>2777.5964624531448</v>
      </c>
      <c r="AP2722" s="12">
        <v>38200000</v>
      </c>
      <c r="AQ2722" s="3">
        <v>7.8E-2</v>
      </c>
      <c r="AR2722" s="3">
        <f t="shared" ref="AR2722:AR2723" si="1956">LN(AU2722*100000000/($AM2722-$AL2722)/AP2722)</f>
        <v>-9.5338268036623752</v>
      </c>
      <c r="AS2722" s="13">
        <f t="shared" ref="AS2722:AS2723" si="1957">EXP(AR$4341*$AM2722+AR$4342)*$AP2722/(100000000/($AM2722-$AL2722))</f>
        <v>8.1246994187397643</v>
      </c>
      <c r="AT2722" s="3">
        <f t="shared" ref="AT2722:AT2723" si="1958">LN(AS2722/$C2722)</f>
        <v>2.0949087329148393</v>
      </c>
      <c r="AU2722" s="16" cm="1">
        <f t="array" ref="AU2722">$C2722*EXP(poly_from_str(100000000/$E2722,AU$4342))</f>
        <v>0.9951896261338613</v>
      </c>
      <c r="AV2722" s="13">
        <f t="shared" ref="AV2722:AV2723" si="1959">LN(AS2722/AU2722)</f>
        <v>2.0997307138672534</v>
      </c>
    </row>
    <row r="2723" spans="1:48" x14ac:dyDescent="0.25">
      <c r="A2723">
        <v>2776.3180000000002</v>
      </c>
      <c r="B2723" s="2" t="str">
        <f t="shared" si="1923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1951"/>
        <v>e</v>
      </c>
      <c r="N2723" t="str">
        <f t="shared" si="1952"/>
        <v>3/2</v>
      </c>
      <c r="O2723">
        <v>84409.93</v>
      </c>
      <c r="P2723" t="str">
        <f t="shared" si="1953"/>
        <v>o</v>
      </c>
      <c r="Q2723" t="str">
        <f t="shared" si="1954"/>
        <v>3/2</v>
      </c>
      <c r="R2723">
        <v>27</v>
      </c>
      <c r="AA2723" s="10">
        <f t="shared" si="1924"/>
        <v>2776.3180000000002</v>
      </c>
      <c r="AB2723" s="3">
        <f t="shared" si="1925"/>
        <v>36008.300000000003</v>
      </c>
      <c r="AC2723" s="3" cm="1">
        <f t="array" ref="AC2723">100000000/LvacE(AA2723)</f>
        <v>36008.299973213834</v>
      </c>
      <c r="AD2723" s="10">
        <f t="shared" si="1926"/>
        <v>1.1484901940846445E-2</v>
      </c>
      <c r="AE2723" s="10" t="b">
        <f t="shared" si="1927"/>
        <v>1</v>
      </c>
      <c r="AJ2723" t="s">
        <v>4945</v>
      </c>
      <c r="AK2723" t="s">
        <v>4930</v>
      </c>
      <c r="AL2723">
        <v>48401.64</v>
      </c>
      <c r="AM2723">
        <v>84409.93</v>
      </c>
      <c r="AN2723" s="10" cm="1">
        <f t="array" ref="AN2723">Lair(100000000/($AM2723-$AL2723))</f>
        <v>2776.3187659938249</v>
      </c>
      <c r="AO2723" s="10">
        <f t="shared" si="1955"/>
        <v>2777.138264549636</v>
      </c>
      <c r="AP2723" s="12">
        <v>20400000</v>
      </c>
      <c r="AQ2723" s="3">
        <v>0.112</v>
      </c>
      <c r="AR2723" s="3">
        <f t="shared" si="1956"/>
        <v>-7.5224623992011868</v>
      </c>
      <c r="AS2723" s="13">
        <f t="shared" si="1957"/>
        <v>1.1518771399635657</v>
      </c>
      <c r="AT2723" s="3">
        <f t="shared" si="1958"/>
        <v>-1.2449014538708187</v>
      </c>
      <c r="AU2723" s="16" cm="1">
        <f t="array" ref="AU2723">$C2723*EXP(poly_from_str(100000000/$E2723,AU$4342))</f>
        <v>3.9725443529650968</v>
      </c>
      <c r="AV2723" s="13">
        <f t="shared" si="1959"/>
        <v>-1.2380138771179876</v>
      </c>
    </row>
    <row r="2724" spans="1:48" x14ac:dyDescent="0.25">
      <c r="A2724">
        <v>2775.9789999999998</v>
      </c>
      <c r="B2724" s="2" t="str">
        <f t="shared" si="1923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1924"/>
        <v>2775.9789999999998</v>
      </c>
      <c r="AB2724" s="3">
        <f t="shared" si="1925"/>
        <v>36012.699999999997</v>
      </c>
      <c r="AC2724" s="3" cm="1">
        <f t="array" ref="AC2724">100000000/LvacE(AA2724)</f>
        <v>36012.697046257112</v>
      </c>
      <c r="AD2724" s="10">
        <f t="shared" si="1926"/>
        <v>1.148648585710791E-2</v>
      </c>
      <c r="AE2724" s="10" t="b">
        <f t="shared" si="1927"/>
        <v>1</v>
      </c>
      <c r="AP2724"/>
      <c r="AQ2724"/>
      <c r="AU2724" s="16" cm="1">
        <f t="array" ref="AU2724">$C2724*EXP(poly_from_str(100000000/$E2724,AU$4342))</f>
        <v>3.9657671097163814</v>
      </c>
    </row>
    <row r="2725" spans="1:48" x14ac:dyDescent="0.25">
      <c r="A2725">
        <v>2775.21</v>
      </c>
      <c r="B2725" s="2" t="str">
        <f t="shared" si="1923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1924"/>
        <v>2775.21</v>
      </c>
      <c r="AB2725" s="3">
        <f t="shared" si="1925"/>
        <v>36022.68</v>
      </c>
      <c r="AC2725" s="3" cm="1">
        <f t="array" ref="AC2725">100000000/LvacE(AA2725)</f>
        <v>36022.675509513865</v>
      </c>
      <c r="AD2725" s="10">
        <f t="shared" si="1926"/>
        <v>1.1490081022609797E-2</v>
      </c>
      <c r="AE2725" s="10" t="b">
        <f t="shared" si="1927"/>
        <v>1</v>
      </c>
      <c r="AP2725"/>
      <c r="AQ2725"/>
      <c r="AU2725" s="16" cm="1">
        <f t="array" ref="AU2725">$C2725*EXP(poly_from_str(100000000/$E2725,AU$4342))</f>
        <v>3.9504075319257197</v>
      </c>
    </row>
    <row r="2726" spans="1:48" x14ac:dyDescent="0.25">
      <c r="A2726">
        <v>2774.7939999999999</v>
      </c>
      <c r="B2726" s="2" t="str">
        <f t="shared" si="1923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1960">$G2726&amp;""</f>
        <v>e</v>
      </c>
      <c r="N2726" t="str">
        <f t="shared" ref="N2726:N2727" si="1961">$H2726&amp;""</f>
        <v>5/2</v>
      </c>
      <c r="O2726">
        <v>65295.9</v>
      </c>
      <c r="P2726" t="str">
        <f t="shared" ref="P2726:P2727" si="1962">$J2726&amp;""</f>
        <v>o</v>
      </c>
      <c r="Q2726" t="str">
        <f t="shared" ref="Q2726:Q2727" si="1963">$K2726&amp;""</f>
        <v>7/2</v>
      </c>
      <c r="R2726">
        <v>27</v>
      </c>
      <c r="AA2726" s="10">
        <f t="shared" si="1924"/>
        <v>2774.7939999999999</v>
      </c>
      <c r="AB2726" s="3">
        <f t="shared" si="1925"/>
        <v>36028.080000000002</v>
      </c>
      <c r="AC2726" s="3" cm="1">
        <f t="array" ref="AC2726">100000000/LvacE(AA2726)</f>
        <v>36028.075786869485</v>
      </c>
      <c r="AD2726" s="10">
        <f t="shared" si="1926"/>
        <v>1.1492027117485025E-2</v>
      </c>
      <c r="AE2726" s="10" t="b">
        <f t="shared" si="1927"/>
        <v>1</v>
      </c>
      <c r="AJ2726" t="s">
        <v>4700</v>
      </c>
      <c r="AK2726" t="s">
        <v>4825</v>
      </c>
      <c r="AL2726">
        <v>29267.86</v>
      </c>
      <c r="AM2726">
        <v>65295.9</v>
      </c>
      <c r="AN2726" s="10" cm="1">
        <f t="array" ref="AN2726">Lair(100000000/($AM2726-$AL2726))</f>
        <v>2774.7967533757815</v>
      </c>
      <c r="AO2726" s="10">
        <f t="shared" ref="AO2726:AO2727" si="1964">100000000/($AM2726-$AL2726)</f>
        <v>2775.6158814079254</v>
      </c>
      <c r="AP2726" s="12">
        <v>16000000</v>
      </c>
      <c r="AQ2726" s="3">
        <v>0.127</v>
      </c>
      <c r="AR2726" s="3">
        <f t="shared" ref="AR2726:AR2727" si="1965">LN(AU2726*100000000/($AM2726-$AL2726)/AP2726)</f>
        <v>-6.8822916353550783</v>
      </c>
      <c r="AS2726" s="13">
        <f t="shared" ref="AS2726:AS2727" si="1966">EXP(AR$4341*$AM2726+AR$4342)*$AP2726/(100000000/($AM2726-$AL2726))</f>
        <v>3.7940766827954309</v>
      </c>
      <c r="AT2726" s="3">
        <f t="shared" ref="AT2726:AT2727" si="1967">LN(AS2726/$C2726)</f>
        <v>-0.45831838632342964</v>
      </c>
      <c r="AU2726" s="16" cm="1">
        <f t="array" ref="AU2726">$C2726*EXP(poly_from_str(100000000/$E2726,AU$4342))</f>
        <v>5.91315602962257</v>
      </c>
      <c r="AV2726" s="13">
        <f t="shared" ref="AV2726:AV2727" si="1968">LN(AS2726/AU2726)</f>
        <v>-0.44373862114258861</v>
      </c>
    </row>
    <row r="2727" spans="1:48" x14ac:dyDescent="0.25">
      <c r="A2727">
        <v>2774.7080000000001</v>
      </c>
      <c r="B2727" s="2" t="str">
        <f t="shared" si="1923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1960"/>
        <v>e</v>
      </c>
      <c r="N2727" t="str">
        <f t="shared" si="1961"/>
        <v>11/2</v>
      </c>
      <c r="O2727">
        <v>75762.23</v>
      </c>
      <c r="P2727" t="str">
        <f t="shared" si="1962"/>
        <v>o</v>
      </c>
      <c r="Q2727" t="str">
        <f t="shared" si="1963"/>
        <v>9/2</v>
      </c>
      <c r="R2727">
        <v>27</v>
      </c>
      <c r="AA2727" s="10">
        <f t="shared" si="1924"/>
        <v>2774.7080000000001</v>
      </c>
      <c r="AB2727" s="3">
        <f t="shared" si="1925"/>
        <v>36029.19</v>
      </c>
      <c r="AC2727" s="3" cm="1">
        <f t="array" ref="AC2727">100000000/LvacE(AA2727)</f>
        <v>36029.192392321951</v>
      </c>
      <c r="AD2727" s="10">
        <f t="shared" si="1926"/>
        <v>1.149242954435601E-2</v>
      </c>
      <c r="AE2727" s="10" t="b">
        <f t="shared" si="1927"/>
        <v>1</v>
      </c>
      <c r="AJ2727" t="s">
        <v>4725</v>
      </c>
      <c r="AK2727" t="s">
        <v>4932</v>
      </c>
      <c r="AL2727">
        <v>39732.99</v>
      </c>
      <c r="AM2727">
        <v>75762.23</v>
      </c>
      <c r="AN2727" s="10" cm="1">
        <f t="array" ref="AN2727">Lair(100000000/($AM2727-$AL2727))</f>
        <v>2774.7043304301201</v>
      </c>
      <c r="AO2727" s="10">
        <f t="shared" si="1964"/>
        <v>2775.5234359647889</v>
      </c>
      <c r="AP2727" s="12">
        <v>31700000</v>
      </c>
      <c r="AQ2727" s="3">
        <v>6.0999999999999999E-2</v>
      </c>
      <c r="AR2727" s="3">
        <f t="shared" si="1965"/>
        <v>-7.9719509155826653</v>
      </c>
      <c r="AS2727" s="13">
        <f t="shared" si="1966"/>
        <v>3.4271814682824746</v>
      </c>
      <c r="AT2727" s="3">
        <f t="shared" si="1967"/>
        <v>-0.15455616711039435</v>
      </c>
      <c r="AU2727" s="16" cm="1">
        <f t="array" ref="AU2727">$C2727*EXP(poly_from_str(100000000/$E2727,AU$4342))</f>
        <v>3.9403978260803094</v>
      </c>
      <c r="AV2727" s="13">
        <f t="shared" si="1968"/>
        <v>-0.13954349528948215</v>
      </c>
    </row>
    <row r="2728" spans="1:48" x14ac:dyDescent="0.25">
      <c r="A2728">
        <v>2772.4389999999999</v>
      </c>
      <c r="B2728" s="2" t="str">
        <f t="shared" si="1923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1924"/>
        <v>2772.4389999999999</v>
      </c>
      <c r="AB2728" s="3">
        <f t="shared" si="1925"/>
        <v>36058.68</v>
      </c>
      <c r="AC2728" s="3" cm="1">
        <f t="array" ref="AC2728">100000000/LvacE(AA2728)</f>
        <v>36058.677621073148</v>
      </c>
      <c r="AD2728" s="10">
        <f t="shared" si="1926"/>
        <v>1.1503060594132666E-2</v>
      </c>
      <c r="AE2728" s="10" t="b">
        <f t="shared" si="1927"/>
        <v>1</v>
      </c>
      <c r="AP2728"/>
      <c r="AQ2728"/>
      <c r="AU2728" s="16" cm="1">
        <f t="array" ref="AU2728">$C2728*EXP(poly_from_str(100000000/$E2728,AU$4342))</f>
        <v>8.7640871424055646</v>
      </c>
    </row>
    <row r="2729" spans="1:48" x14ac:dyDescent="0.25">
      <c r="A2729">
        <v>2770.239</v>
      </c>
      <c r="B2729" s="2" t="str">
        <f t="shared" si="1923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1969">$G2729&amp;""</f>
        <v>e</v>
      </c>
      <c r="N2729" t="str">
        <f t="shared" ref="N2729:N2730" si="1970">$H2729&amp;""</f>
        <v>9/2</v>
      </c>
      <c r="O2729">
        <v>65922.42</v>
      </c>
      <c r="P2729" t="str">
        <f t="shared" ref="P2729:P2730" si="1971">$J2729&amp;""</f>
        <v>o</v>
      </c>
      <c r="Q2729" t="str">
        <f t="shared" ref="Q2729:Q2730" si="1972">$K2729&amp;""</f>
        <v>11/2</v>
      </c>
      <c r="R2729">
        <v>27</v>
      </c>
      <c r="AA2729" s="10">
        <f t="shared" si="1924"/>
        <v>2770.239</v>
      </c>
      <c r="AB2729" s="3">
        <f t="shared" si="1925"/>
        <v>36087.31</v>
      </c>
      <c r="AC2729" s="3" cm="1">
        <f t="array" ref="AC2729">100000000/LvacE(AA2729)</f>
        <v>36087.312323066588</v>
      </c>
      <c r="AD2729" s="10">
        <f t="shared" si="1926"/>
        <v>1.1513393307051593E-2</v>
      </c>
      <c r="AE2729" s="10" t="b">
        <f t="shared" si="1927"/>
        <v>1</v>
      </c>
      <c r="AJ2729" t="s">
        <v>4697</v>
      </c>
      <c r="AK2729" t="s">
        <v>4833</v>
      </c>
      <c r="AL2729">
        <v>29835.09</v>
      </c>
      <c r="AM2729">
        <v>65922.42</v>
      </c>
      <c r="AN2729" s="10" cm="1">
        <f t="array" ref="AN2729">Lair(100000000/($AM2729-$AL2729))</f>
        <v>2770.2376400237677</v>
      </c>
      <c r="AO2729" s="10">
        <f t="shared" ref="AO2729:AO2730" si="1973">100000000/($AM2729-$AL2729)</f>
        <v>2771.0556585926415</v>
      </c>
      <c r="AP2729" s="12">
        <v>12400000</v>
      </c>
      <c r="AQ2729" s="3">
        <v>0.114</v>
      </c>
      <c r="AR2729" s="3">
        <f t="shared" ref="AR2729:AR2730" si="1974">LN(AU2729*100000000/($AM2729-$AL2729)/AP2729)</f>
        <v>-7.0577928348545376</v>
      </c>
      <c r="AS2729" s="13">
        <f t="shared" ref="AS2729:AS2730" si="1975">EXP(AR$4341*$AM2729+AR$4342)*$AP2729/(100000000/($AM2729-$AL2729))</f>
        <v>2.809972922871701</v>
      </c>
      <c r="AT2729" s="3">
        <f t="shared" ref="AT2729:AT2730" si="1976">LN(AS2729/$C2729)</f>
        <v>-0.35311951380938117</v>
      </c>
      <c r="AU2729" s="16" cm="1">
        <f t="array" ref="AU2729">$C2729*EXP(poly_from_str(100000000/$E2729,AU$4342))</f>
        <v>3.8513763000685266</v>
      </c>
      <c r="AV2729" s="13">
        <f t="shared" ref="AV2729:AV2730" si="1977">LN(AS2729/AU2729)</f>
        <v>-0.31525571764551952</v>
      </c>
    </row>
    <row r="2730" spans="1:48" x14ac:dyDescent="0.25">
      <c r="A2730">
        <v>2769.7890000000002</v>
      </c>
      <c r="B2730" s="2" t="str">
        <f t="shared" si="1923"/>
        <v/>
      </c>
      <c r="C2730">
        <v>5</v>
      </c>
      <c r="D2730" t="s">
        <v>1156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1969"/>
        <v>e</v>
      </c>
      <c r="N2730" t="str">
        <f t="shared" si="1970"/>
        <v>7/2</v>
      </c>
      <c r="O2730">
        <v>58174.15</v>
      </c>
      <c r="P2730" t="str">
        <f t="shared" si="1971"/>
        <v>o</v>
      </c>
      <c r="Q2730" t="str">
        <f t="shared" si="1972"/>
        <v>9/2</v>
      </c>
      <c r="R2730">
        <v>27</v>
      </c>
      <c r="AA2730" s="10">
        <f t="shared" si="1924"/>
        <v>2769.7890000000002</v>
      </c>
      <c r="AB2730" s="3">
        <f t="shared" si="1925"/>
        <v>36093.17</v>
      </c>
      <c r="AC2730" s="3" cm="1">
        <f t="array" ref="AC2730">100000000/LvacE(AA2730)</f>
        <v>36093.175024460368</v>
      </c>
      <c r="AD2730" s="10">
        <f t="shared" si="1926"/>
        <v>1.1515509850111391E-2</v>
      </c>
      <c r="AE2730" s="10" t="b">
        <f t="shared" si="1927"/>
        <v>1</v>
      </c>
      <c r="AJ2730" t="s">
        <v>4790</v>
      </c>
      <c r="AK2730" t="s">
        <v>4698</v>
      </c>
      <c r="AL2730">
        <v>22080.94</v>
      </c>
      <c r="AM2730">
        <v>58174.15</v>
      </c>
      <c r="AN2730" s="10" cm="1">
        <f t="array" ref="AN2730">Lair(100000000/($AM2730-$AL2730))</f>
        <v>2769.7863129078064</v>
      </c>
      <c r="AO2730" s="10">
        <f t="shared" si="1973"/>
        <v>2770.6042216804763</v>
      </c>
      <c r="AP2730" s="12">
        <v>8310000</v>
      </c>
      <c r="AQ2730" s="3">
        <v>0.126</v>
      </c>
      <c r="AR2730" s="3">
        <f t="shared" si="1974"/>
        <v>-6.4368993314666048</v>
      </c>
      <c r="AS2730" s="13">
        <f t="shared" si="1975"/>
        <v>3.3688905165121459</v>
      </c>
      <c r="AT2730" s="3">
        <f t="shared" si="1976"/>
        <v>-0.39485444586271307</v>
      </c>
      <c r="AU2730" s="16" cm="1">
        <f t="array" ref="AU2730">$C2730*EXP(poly_from_str(100000000/$E2730,AU$4342))</f>
        <v>4.8030451806761683</v>
      </c>
      <c r="AV2730" s="13">
        <f t="shared" si="1977"/>
        <v>-0.35466666282869902</v>
      </c>
    </row>
    <row r="2731" spans="1:48" x14ac:dyDescent="0.25">
      <c r="A2731">
        <v>2767.9949999999999</v>
      </c>
      <c r="B2731" s="2" t="str">
        <f t="shared" si="1923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1924"/>
        <v>2767.9949999999999</v>
      </c>
      <c r="AB2731" s="3">
        <f t="shared" si="1925"/>
        <v>36116.57</v>
      </c>
      <c r="AC2731" s="3" cm="1">
        <f t="array" ref="AC2731">100000000/LvacE(AA2731)</f>
        <v>36116.566606973014</v>
      </c>
      <c r="AD2731" s="10">
        <f t="shared" si="1926"/>
        <v>1.1523958064767642E-2</v>
      </c>
      <c r="AE2731" s="10" t="b">
        <f t="shared" si="1927"/>
        <v>1</v>
      </c>
      <c r="AP2731"/>
      <c r="AQ2731"/>
      <c r="AU2731" s="16" cm="1">
        <f t="array" ref="AU2731">$C2731*EXP(poly_from_str(100000000/$E2731,AU$4342))</f>
        <v>1.903402113975202</v>
      </c>
    </row>
    <row r="2732" spans="1:48" x14ac:dyDescent="0.25">
      <c r="A2732">
        <v>2766.88</v>
      </c>
      <c r="B2732" s="2" t="str">
        <f t="shared" si="1923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1924"/>
        <v>2766.88</v>
      </c>
      <c r="AB2732" s="3">
        <f t="shared" si="1925"/>
        <v>36131.120000000003</v>
      </c>
      <c r="AC2732" s="3" cm="1">
        <f t="array" ref="AC2732">100000000/LvacE(AA2732)</f>
        <v>36131.120137181249</v>
      </c>
      <c r="AD2732" s="10">
        <f t="shared" si="1926"/>
        <v>1.1529217049019339E-2</v>
      </c>
      <c r="AE2732" s="10" t="b">
        <f t="shared" si="1927"/>
        <v>1</v>
      </c>
      <c r="AJ2732" t="s">
        <v>4811</v>
      </c>
      <c r="AK2732" t="s">
        <v>4900</v>
      </c>
      <c r="AL2732">
        <v>35863.74</v>
      </c>
      <c r="AM2732">
        <v>71994.81</v>
      </c>
      <c r="AN2732" s="10" cm="1">
        <f t="array" ref="AN2732">Lair(100000000/($AM2732-$AL2732))</f>
        <v>2766.883836751429</v>
      </c>
      <c r="AO2732" s="10">
        <f>100000000/($AM2732-$AL2732)</f>
        <v>2767.7010395761877</v>
      </c>
      <c r="AP2732" s="12">
        <v>9850000</v>
      </c>
      <c r="AQ2732" s="3">
        <v>9.5000000000000001E-2</v>
      </c>
      <c r="AR2732" s="3">
        <f>LN(AU2732*100000000/($AM2732-$AL2732)/AP2732)</f>
        <v>-7.1339240515243159</v>
      </c>
      <c r="AS2732" s="13">
        <f>EXP(AR$4341*$AM2732+AR$4342)*$AP2732/(100000000/($AM2732-$AL2732))</f>
        <v>1.4168668092773056</v>
      </c>
      <c r="AT2732" s="3">
        <f>LN(AS2732/$C2732)</f>
        <v>-0.75016432724164717</v>
      </c>
      <c r="AU2732" s="16" cm="1">
        <f t="array" ref="AU2732">$C2732*EXP(poly_from_str(100000000/$E2732,AU$4342))</f>
        <v>2.8385281382588605</v>
      </c>
      <c r="AV2732" s="13">
        <f>LN(AS2732/AU2732)</f>
        <v>-0.69483769522645233</v>
      </c>
    </row>
    <row r="2733" spans="1:48" x14ac:dyDescent="0.25">
      <c r="A2733">
        <v>2766.47</v>
      </c>
      <c r="B2733" s="2" t="str">
        <f t="shared" si="1923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1924"/>
        <v>2766.47</v>
      </c>
      <c r="AB2733" s="3">
        <f t="shared" si="1925"/>
        <v>36136.47</v>
      </c>
      <c r="AC2733" s="3" cm="1">
        <f t="array" ref="AC2733">100000000/LvacE(AA2733)</f>
        <v>36136.474609214885</v>
      </c>
      <c r="AD2733" s="10">
        <f t="shared" si="1926"/>
        <v>1.1531152445031917E-2</v>
      </c>
      <c r="AE2733" s="10" t="b">
        <f t="shared" si="1927"/>
        <v>1</v>
      </c>
      <c r="AP2733"/>
      <c r="AQ2733"/>
      <c r="AU2733" s="16" cm="1">
        <f t="array" ref="AU2733">$C2733*EXP(poly_from_str(100000000/$E2733,AU$4342))</f>
        <v>8.4973252542523134</v>
      </c>
    </row>
    <row r="2734" spans="1:48" x14ac:dyDescent="0.25">
      <c r="A2734">
        <v>2765.8580000000002</v>
      </c>
      <c r="B2734" s="2" t="str">
        <f t="shared" si="1923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1978">$G2734&amp;""</f>
        <v>e</v>
      </c>
      <c r="N2734" t="str">
        <f t="shared" ref="N2734:N2736" si="1979">$H2734&amp;""</f>
        <v>9/2</v>
      </c>
      <c r="O2734">
        <v>64865.15</v>
      </c>
      <c r="P2734" t="str">
        <f t="shared" ref="P2734:P2736" si="1980">$J2734&amp;""</f>
        <v>o</v>
      </c>
      <c r="Q2734" t="str">
        <f t="shared" ref="Q2734:Q2736" si="1981">$K2734&amp;""</f>
        <v>11/2</v>
      </c>
      <c r="R2734">
        <v>27</v>
      </c>
      <c r="AA2734" s="10">
        <f t="shared" si="1924"/>
        <v>2765.8580000000002</v>
      </c>
      <c r="AB2734" s="3">
        <f t="shared" si="1925"/>
        <v>36144.47</v>
      </c>
      <c r="AC2734" s="3" cm="1">
        <f t="array" ref="AC2734">100000000/LvacE(AA2734)</f>
        <v>36144.470091205607</v>
      </c>
      <c r="AD2734" s="10">
        <f t="shared" si="1926"/>
        <v>1.1534042978924733E-2</v>
      </c>
      <c r="AE2734" s="10" t="b">
        <f t="shared" si="1927"/>
        <v>1</v>
      </c>
      <c r="AJ2734" t="s">
        <v>4708</v>
      </c>
      <c r="AK2734" t="s">
        <v>4896</v>
      </c>
      <c r="AL2734">
        <v>28720.71</v>
      </c>
      <c r="AM2734">
        <v>64865.15</v>
      </c>
      <c r="AN2734" s="10" cm="1">
        <f t="array" ref="AN2734">Lair(100000000/($AM2734-$AL2734))</f>
        <v>2765.8602998790416</v>
      </c>
      <c r="AO2734" s="10">
        <f t="shared" ref="AO2734:AO2736" si="1982">100000000/($AM2734-$AL2734)</f>
        <v>2766.6772538182913</v>
      </c>
      <c r="AP2734" s="12">
        <v>12800000</v>
      </c>
      <c r="AQ2734" s="3">
        <v>5.8000000000000003E-2</v>
      </c>
      <c r="AR2734" s="3">
        <f>LN(AU2734*100000000/($AM2734-$AL2734)/AP2734)</f>
        <v>-6.708482464522123</v>
      </c>
      <c r="AS2734" s="13">
        <f t="shared" ref="AS2734:AS2736" si="1983">EXP(AR$4341*$AM2734+AR$4342)*$AP2734/(100000000/($AM2734-$AL2734))</f>
        <v>3.1451120969341564</v>
      </c>
      <c r="AT2734" s="3">
        <f t="shared" ref="AT2734:AT2736" si="1984">LN(AS2734/$C2734)</f>
        <v>-0.64590993680650211</v>
      </c>
      <c r="AU2734" s="16" cm="1">
        <f t="array" ref="AU2734">$C2734*EXP(poly_from_str(100000000/$E2734,AU$4342))</f>
        <v>5.64669790423366</v>
      </c>
      <c r="AV2734" s="13">
        <f>LN(AS2734/AU2734)</f>
        <v>-0.58522140015560165</v>
      </c>
    </row>
    <row r="2735" spans="1:48" x14ac:dyDescent="0.25">
      <c r="A2735">
        <v>2765.7710000000002</v>
      </c>
      <c r="B2735" s="2" t="str">
        <f t="shared" si="1923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1978"/>
        <v>e</v>
      </c>
      <c r="N2735" t="str">
        <f t="shared" si="1979"/>
        <v>11/2</v>
      </c>
      <c r="O2735">
        <v>62240.83</v>
      </c>
      <c r="P2735" t="str">
        <f t="shared" si="1980"/>
        <v>o</v>
      </c>
      <c r="Q2735" t="str">
        <f t="shared" si="1981"/>
        <v>11/2</v>
      </c>
      <c r="R2735">
        <v>27</v>
      </c>
      <c r="AA2735" s="10">
        <f t="shared" si="1924"/>
        <v>2765.7710000000002</v>
      </c>
      <c r="AB2735" s="3">
        <f t="shared" si="1925"/>
        <v>36145.61</v>
      </c>
      <c r="AC2735" s="3" cm="1">
        <f t="array" ref="AC2735">100000000/LvacE(AA2735)</f>
        <v>36145.606991073146</v>
      </c>
      <c r="AD2735" s="10">
        <f t="shared" si="1926"/>
        <v>1.1534454043930815E-2</v>
      </c>
      <c r="AE2735" s="10" t="b">
        <f t="shared" si="1927"/>
        <v>1</v>
      </c>
      <c r="AJ2735" t="s">
        <v>4738</v>
      </c>
      <c r="AK2735" t="s">
        <v>4892</v>
      </c>
      <c r="AL2735">
        <v>26095.23</v>
      </c>
      <c r="AM2735">
        <v>62240.83</v>
      </c>
      <c r="AN2735" s="10" cm="1">
        <f t="array" ref="AN2735">Lair(100000000/($AM2735-$AL2735))</f>
        <v>2765.771532076943</v>
      </c>
      <c r="AO2735" s="10">
        <f t="shared" si="1982"/>
        <v>2766.5884644327384</v>
      </c>
      <c r="AP2735" s="12">
        <v>3840000</v>
      </c>
      <c r="AQ2735" s="3">
        <v>1.9E-2</v>
      </c>
      <c r="AR2735" s="3"/>
      <c r="AS2735" s="13">
        <f t="shared" si="1983"/>
        <v>1.1489581025574656</v>
      </c>
      <c r="AT2735" s="3"/>
      <c r="AU2735" s="16" cm="1">
        <f t="array" ref="AU2735">$C2735*EXP(poly_from_str(100000000/$E2735,AU$4342))</f>
        <v>1.8813693646489666</v>
      </c>
    </row>
    <row r="2736" spans="1:48" x14ac:dyDescent="0.25">
      <c r="A2736">
        <v>2765.4259999999999</v>
      </c>
      <c r="B2736" s="2" t="str">
        <f t="shared" si="1923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1978"/>
        <v>e</v>
      </c>
      <c r="N2736" t="str">
        <f t="shared" si="1979"/>
        <v>9/2</v>
      </c>
      <c r="O2736">
        <v>71978.52</v>
      </c>
      <c r="P2736" t="str">
        <f t="shared" si="1980"/>
        <v>o</v>
      </c>
      <c r="Q2736" t="str">
        <f t="shared" si="1981"/>
        <v>7/2</v>
      </c>
      <c r="R2736">
        <v>27</v>
      </c>
      <c r="AA2736" s="10">
        <f t="shared" si="1924"/>
        <v>2765.4259999999999</v>
      </c>
      <c r="AB2736" s="3">
        <f t="shared" si="1925"/>
        <v>36150.120000000003</v>
      </c>
      <c r="AC2736" s="3" cm="1">
        <f t="array" ref="AC2736">100000000/LvacE(AA2736)</f>
        <v>36150.116091310127</v>
      </c>
      <c r="AD2736" s="10">
        <f t="shared" si="1926"/>
        <v>1.1536084511267003E-2</v>
      </c>
      <c r="AE2736" s="10" t="b">
        <f t="shared" si="1927"/>
        <v>1</v>
      </c>
      <c r="AJ2736" t="s">
        <v>4773</v>
      </c>
      <c r="AK2736" t="s">
        <v>4716</v>
      </c>
      <c r="AL2736">
        <v>35828.46</v>
      </c>
      <c r="AM2736">
        <v>71978.52</v>
      </c>
      <c r="AN2736" s="10" cm="1">
        <f t="array" ref="AN2736">Lair(100000000/($AM2736-$AL2736))</f>
        <v>2765.4302882394727</v>
      </c>
      <c r="AO2736" s="10">
        <f t="shared" si="1982"/>
        <v>2766.247137625774</v>
      </c>
      <c r="AP2736" s="12">
        <v>44500000</v>
      </c>
      <c r="AQ2736" s="3">
        <v>0.06</v>
      </c>
      <c r="AR2736" s="3">
        <f>LN(AU2736*100000000/($AM2736-$AL2736)/AP2736)</f>
        <v>-7.8028062424465441</v>
      </c>
      <c r="AS2736" s="13">
        <f t="shared" si="1983"/>
        <v>6.4122720075613096</v>
      </c>
      <c r="AT2736" s="3">
        <f t="shared" si="1984"/>
        <v>-8.7696493566901193E-2</v>
      </c>
      <c r="AU2736" s="16" cm="1">
        <f t="array" ref="AU2736">$C2736*EXP(poly_from_str(100000000/$E2736,AU$4342))</f>
        <v>6.572844213810523</v>
      </c>
      <c r="AV2736" s="13">
        <f>LN(AS2736/AU2736)</f>
        <v>-2.4732992585717678E-2</v>
      </c>
    </row>
    <row r="2737" spans="1:48" x14ac:dyDescent="0.25">
      <c r="A2737">
        <v>2765.3530000000001</v>
      </c>
      <c r="B2737" s="2" t="str">
        <f t="shared" si="1923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1924"/>
        <v>2765.3530000000001</v>
      </c>
      <c r="AB2737" s="3">
        <f t="shared" si="1925"/>
        <v>36151.07</v>
      </c>
      <c r="AC2737" s="3" cm="1">
        <f t="array" ref="AC2737">100000000/LvacE(AA2737)</f>
        <v>36151.070334984834</v>
      </c>
      <c r="AD2737" s="10">
        <f t="shared" si="1926"/>
        <v>1.1536429586925219E-2</v>
      </c>
      <c r="AE2737" s="10" t="b">
        <f t="shared" si="1927"/>
        <v>1</v>
      </c>
      <c r="AP2737"/>
      <c r="AQ2737"/>
      <c r="AU2737" s="16" cm="1">
        <f t="array" ref="AU2737">$C2737*EXP(poly_from_str(100000000/$E2737,AU$4342))</f>
        <v>0.9386183274085208</v>
      </c>
    </row>
    <row r="2738" spans="1:48" x14ac:dyDescent="0.25">
      <c r="A2738">
        <v>2762.3440000000001</v>
      </c>
      <c r="B2738" s="2" t="str">
        <f t="shared" si="1923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1924"/>
        <v>2762.3440000000001</v>
      </c>
      <c r="AB2738" s="3">
        <f t="shared" si="1925"/>
        <v>36190.449999999997</v>
      </c>
      <c r="AC2738" s="3" cm="1">
        <f t="array" ref="AC2738">100000000/LvacE(AA2738)</f>
        <v>36190.447355506447</v>
      </c>
      <c r="AD2738" s="10">
        <f t="shared" si="1926"/>
        <v>1.1550677134257437E-2</v>
      </c>
      <c r="AE2738" s="10" t="b">
        <f t="shared" si="1927"/>
        <v>1</v>
      </c>
      <c r="AP2738"/>
      <c r="AQ2738"/>
      <c r="AU2738" s="16" cm="1">
        <f t="array" ref="AU2738">$C2738*EXP(poly_from_str(100000000/$E2738,AU$4342))</f>
        <v>8.313860508208645</v>
      </c>
    </row>
    <row r="2739" spans="1:48" x14ac:dyDescent="0.25">
      <c r="A2739">
        <v>2762.127</v>
      </c>
      <c r="B2739" s="2" t="str">
        <f t="shared" si="1923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1924"/>
        <v>2762.127</v>
      </c>
      <c r="AB2739" s="3">
        <f t="shared" si="1925"/>
        <v>36193.29</v>
      </c>
      <c r="AC2739" s="3" cm="1">
        <f t="array" ref="AC2739">100000000/LvacE(AA2739)</f>
        <v>36193.290423747196</v>
      </c>
      <c r="AD2739" s="10">
        <f t="shared" si="1926"/>
        <v>1.1551706424749331E-2</v>
      </c>
      <c r="AE2739" s="10" t="b">
        <f t="shared" si="1927"/>
        <v>1</v>
      </c>
      <c r="AP2739"/>
      <c r="AQ2739"/>
      <c r="AU2739" s="16" cm="1">
        <f t="array" ref="AU2739">$C2739*EXP(poly_from_str(100000000/$E2739,AU$4342))</f>
        <v>5.5361650622289771</v>
      </c>
    </row>
    <row r="2740" spans="1:48" x14ac:dyDescent="0.25">
      <c r="A2740">
        <v>2762.002</v>
      </c>
      <c r="B2740" s="2" t="str">
        <f t="shared" si="1923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1924"/>
        <v>2762.002</v>
      </c>
      <c r="AB2740" s="3">
        <f t="shared" si="1925"/>
        <v>36194.93</v>
      </c>
      <c r="AC2740" s="3" cm="1">
        <f t="array" ref="AC2740">100000000/LvacE(AA2740)</f>
        <v>36194.928338634913</v>
      </c>
      <c r="AD2740" s="10">
        <f t="shared" si="1926"/>
        <v>1.1552299444141408E-2</v>
      </c>
      <c r="AE2740" s="10" t="b">
        <f t="shared" si="1927"/>
        <v>1</v>
      </c>
      <c r="AP2740"/>
      <c r="AQ2740"/>
      <c r="AU2740" s="16" cm="1">
        <f t="array" ref="AU2740">$C2740*EXP(poly_from_str(100000000/$E2740,AU$4342))</f>
        <v>4.6103879534747056</v>
      </c>
    </row>
    <row r="2741" spans="1:48" x14ac:dyDescent="0.25">
      <c r="A2741">
        <v>2761.2089999999998</v>
      </c>
      <c r="B2741" s="2" t="str">
        <f t="shared" si="1923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1924"/>
        <v>2761.2089999999998</v>
      </c>
      <c r="AB2741" s="3">
        <f t="shared" si="1925"/>
        <v>36205.32</v>
      </c>
      <c r="AC2741" s="3" cm="1">
        <f t="array" ref="AC2741">100000000/LvacE(AA2741)</f>
        <v>36205.322724954152</v>
      </c>
      <c r="AD2741" s="10">
        <f t="shared" si="1926"/>
        <v>1.1556063435428856E-2</v>
      </c>
      <c r="AE2741" s="10" t="b">
        <f t="shared" si="1927"/>
        <v>1</v>
      </c>
      <c r="AP2741"/>
      <c r="AQ2741"/>
      <c r="AU2741" s="16" cm="1">
        <f t="array" ref="AU2741">$C2741*EXP(poly_from_str(100000000/$E2741,AU$4342))</f>
        <v>2.754524381660945</v>
      </c>
    </row>
    <row r="2742" spans="1:48" x14ac:dyDescent="0.25">
      <c r="A2742">
        <v>2760.6170000000002</v>
      </c>
      <c r="B2742" s="2" t="str">
        <f t="shared" si="1923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1985">$G2742&amp;""</f>
        <v>e</v>
      </c>
      <c r="N2742" t="str">
        <f t="shared" ref="N2742:N2746" si="1986">$H2742&amp;""</f>
        <v>11/2</v>
      </c>
      <c r="O2742">
        <v>63593.35</v>
      </c>
      <c r="P2742" t="str">
        <f t="shared" ref="P2742:P2746" si="1987">$J2742&amp;""</f>
        <v>o</v>
      </c>
      <c r="Q2742" t="str">
        <f t="shared" ref="Q2742:Q2746" si="1988">$K2742&amp;""</f>
        <v>9/2</v>
      </c>
      <c r="R2742">
        <v>27</v>
      </c>
      <c r="AA2742" s="10">
        <f t="shared" si="1924"/>
        <v>2760.6170000000002</v>
      </c>
      <c r="AB2742" s="3">
        <f t="shared" si="1925"/>
        <v>36213.089999999997</v>
      </c>
      <c r="AC2742" s="3" cm="1">
        <f t="array" ref="AC2742">100000000/LvacE(AA2742)</f>
        <v>36213.086361274633</v>
      </c>
      <c r="AD2742" s="10">
        <f t="shared" si="1926"/>
        <v>1.1558875490746204E-2</v>
      </c>
      <c r="AE2742" s="10" t="b">
        <f t="shared" si="1927"/>
        <v>1</v>
      </c>
      <c r="AJ2742" t="s">
        <v>4712</v>
      </c>
      <c r="AK2742" t="s">
        <v>4840</v>
      </c>
      <c r="AL2742">
        <v>27380.31</v>
      </c>
      <c r="AM2742">
        <v>63593.35</v>
      </c>
      <c r="AN2742" s="10" cm="1">
        <f t="array" ref="AN2742">Lair(100000000/($AM2742-$AL2742))</f>
        <v>2760.6205315949351</v>
      </c>
      <c r="AO2742" s="10">
        <f t="shared" ref="AO2742:AO2746" si="1989">100000000/($AM2742-$AL2742)</f>
        <v>2761.4362119280795</v>
      </c>
      <c r="AP2742" s="12">
        <v>42900000</v>
      </c>
      <c r="AQ2742" s="3">
        <v>0.14399999999999999</v>
      </c>
      <c r="AR2742" s="3">
        <f t="shared" ref="AR2742:AR2743" si="1990">LN(AU2742*100000000/($AM2742-$AL2742)/AP2742)</f>
        <v>-7.5421985726316416</v>
      </c>
      <c r="AS2742" s="13">
        <f t="shared" ref="AS2742:AS2746" si="1991">EXP(AR$4341*$AM2742+AR$4342)*$AP2742/(100000000/($AM2742-$AL2742))</f>
        <v>11.618710797765413</v>
      </c>
      <c r="AT2742" s="3">
        <f t="shared" ref="AT2742:AT2745" si="1992">LN(AS2742/$C2742)</f>
        <v>0.25539222109646736</v>
      </c>
      <c r="AU2742" s="16" cm="1">
        <f t="array" ref="AU2742">$C2742*EXP(poly_from_str(100000000/$E2742,AU$4342))</f>
        <v>8.2373411943099413</v>
      </c>
      <c r="AV2742" s="13">
        <f t="shared" ref="AV2742:AV2743" si="1993">LN(AS2742/AU2742)</f>
        <v>0.34393917717411721</v>
      </c>
    </row>
    <row r="2743" spans="1:48" x14ac:dyDescent="0.25">
      <c r="A2743">
        <v>2760.143</v>
      </c>
      <c r="B2743" s="2" t="str">
        <f t="shared" si="1923"/>
        <v/>
      </c>
      <c r="C2743">
        <v>8</v>
      </c>
      <c r="D2743" t="s">
        <v>1156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1985"/>
        <v>e</v>
      </c>
      <c r="N2743" t="str">
        <f t="shared" si="1986"/>
        <v>11/2</v>
      </c>
      <c r="O2743">
        <v>69686.259999999995</v>
      </c>
      <c r="P2743" t="str">
        <f t="shared" si="1987"/>
        <v>o</v>
      </c>
      <c r="Q2743" t="str">
        <f t="shared" si="1988"/>
        <v>9/2</v>
      </c>
      <c r="R2743">
        <v>27</v>
      </c>
      <c r="AA2743" s="10">
        <f t="shared" si="1924"/>
        <v>2760.143</v>
      </c>
      <c r="AB2743" s="3">
        <f t="shared" si="1925"/>
        <v>36219.300000000003</v>
      </c>
      <c r="AC2743" s="3" cm="1">
        <f t="array" ref="AC2743">100000000/LvacE(AA2743)</f>
        <v>36219.304916554742</v>
      </c>
      <c r="AD2743" s="10">
        <f t="shared" si="1926"/>
        <v>1.1561128339465519E-2</v>
      </c>
      <c r="AE2743" s="10" t="b">
        <f t="shared" si="1927"/>
        <v>1</v>
      </c>
      <c r="AJ2743" t="s">
        <v>4774</v>
      </c>
      <c r="AK2743" t="s">
        <v>4838</v>
      </c>
      <c r="AL2743">
        <v>33466.410000000003</v>
      </c>
      <c r="AM2743">
        <v>69686.259999999995</v>
      </c>
      <c r="AN2743" s="10" cm="1">
        <f t="array" ref="AN2743">Lair(100000000/($AM2743-$AL2743))</f>
        <v>2760.1014567655666</v>
      </c>
      <c r="AO2743" s="10">
        <f t="shared" si="1989"/>
        <v>2760.9170109760262</v>
      </c>
      <c r="AP2743" s="12">
        <v>62200000</v>
      </c>
      <c r="AQ2743" s="3">
        <v>0.64500000000000002</v>
      </c>
      <c r="AR2743" s="3">
        <f t="shared" si="1990"/>
        <v>-8.0341985067470691</v>
      </c>
      <c r="AS2743" s="13">
        <f t="shared" si="1991"/>
        <v>10.66571994041438</v>
      </c>
      <c r="AT2743" s="3">
        <f t="shared" si="1992"/>
        <v>0.28759331292661899</v>
      </c>
      <c r="AU2743" s="16" cm="1">
        <f t="array" ref="AU2743">$C2743*EXP(poly_from_str(100000000/$E2743,AU$4342))</f>
        <v>7.3034650292583958</v>
      </c>
      <c r="AV2743" s="13">
        <f t="shared" si="1993"/>
        <v>0.37868595752601841</v>
      </c>
    </row>
    <row r="2744" spans="1:48" x14ac:dyDescent="0.25">
      <c r="A2744">
        <v>2759.3139999999999</v>
      </c>
      <c r="B2744" s="2" t="str">
        <f t="shared" si="1923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1985"/>
        <v>e</v>
      </c>
      <c r="N2744" t="str">
        <f t="shared" si="1986"/>
        <v>11/2</v>
      </c>
      <c r="O2744">
        <v>66735.88</v>
      </c>
      <c r="P2744" t="str">
        <f t="shared" si="1987"/>
        <v>o</v>
      </c>
      <c r="Q2744" t="str">
        <f t="shared" si="1988"/>
        <v>13/2</v>
      </c>
      <c r="R2744">
        <v>27</v>
      </c>
      <c r="AA2744" s="10">
        <f t="shared" si="1924"/>
        <v>2759.3139999999999</v>
      </c>
      <c r="AB2744" s="3">
        <f t="shared" si="1925"/>
        <v>36230.19</v>
      </c>
      <c r="AC2744" s="3" cm="1">
        <f t="array" ref="AC2744">100000000/LvacE(AA2744)</f>
        <v>36230.185963956923</v>
      </c>
      <c r="AD2744" s="10">
        <f t="shared" si="1926"/>
        <v>1.1565071239437941E-2</v>
      </c>
      <c r="AE2744" s="10" t="b">
        <f t="shared" si="1927"/>
        <v>1</v>
      </c>
      <c r="AJ2744" t="s">
        <v>4706</v>
      </c>
      <c r="AK2744" t="s">
        <v>4909</v>
      </c>
      <c r="AL2744">
        <v>30505.72</v>
      </c>
      <c r="AM2744">
        <v>66735.88</v>
      </c>
      <c r="AN2744" s="10" cm="1">
        <f t="array" ref="AN2744">Lair(100000000/($AM2744-$AL2744))</f>
        <v>2759.3159747163832</v>
      </c>
      <c r="AO2744" s="10">
        <f t="shared" si="1989"/>
        <v>2760.1313380895913</v>
      </c>
      <c r="AP2744" s="12">
        <v>5450000</v>
      </c>
      <c r="AQ2744" s="3">
        <v>3.1E-2</v>
      </c>
      <c r="AR2744" s="3"/>
      <c r="AS2744" s="13">
        <f t="shared" si="1991"/>
        <v>1.1664868425626587</v>
      </c>
      <c r="AT2744" s="3"/>
      <c r="AU2744" s="16" cm="1">
        <f t="array" ref="AU2744">$C2744*EXP(poly_from_str(100000000/$E2744,AU$4342))</f>
        <v>1.8177155929935085</v>
      </c>
    </row>
    <row r="2745" spans="1:48" x14ac:dyDescent="0.25">
      <c r="A2745">
        <v>2758.16</v>
      </c>
      <c r="B2745" s="2" t="str">
        <f t="shared" si="1923"/>
        <v/>
      </c>
      <c r="C2745">
        <v>6</v>
      </c>
      <c r="D2745" t="s">
        <v>1156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1985"/>
        <v>e</v>
      </c>
      <c r="N2745" t="str">
        <f t="shared" si="1986"/>
        <v>9/2</v>
      </c>
      <c r="O2745">
        <v>67240.350000000006</v>
      </c>
      <c r="P2745" t="str">
        <f t="shared" si="1987"/>
        <v>o</v>
      </c>
      <c r="Q2745" t="str">
        <f t="shared" si="1988"/>
        <v>7/2</v>
      </c>
      <c r="R2745">
        <v>27</v>
      </c>
      <c r="AA2745" s="10">
        <f t="shared" si="1924"/>
        <v>2758.16</v>
      </c>
      <c r="AB2745" s="3">
        <f t="shared" si="1925"/>
        <v>36245.339999999997</v>
      </c>
      <c r="AC2745" s="3" cm="1">
        <f t="array" ref="AC2745">100000000/LvacE(AA2745)</f>
        <v>36245.343690848866</v>
      </c>
      <c r="AD2745" s="10">
        <f t="shared" si="1926"/>
        <v>1.157056582845971E-2</v>
      </c>
      <c r="AE2745" s="10" t="b">
        <f t="shared" si="1927"/>
        <v>1</v>
      </c>
      <c r="AJ2745" t="s">
        <v>4788</v>
      </c>
      <c r="AK2745" t="s">
        <v>4852</v>
      </c>
      <c r="AL2745">
        <v>30994.55</v>
      </c>
      <c r="AM2745">
        <v>67240.350000000006</v>
      </c>
      <c r="AN2745" s="10" cm="1">
        <f t="array" ref="AN2745">Lair(100000000/($AM2745-$AL2745))</f>
        <v>2758.1252720697539</v>
      </c>
      <c r="AO2745" s="10">
        <f t="shared" si="1989"/>
        <v>2758.9403461918346</v>
      </c>
      <c r="AP2745" s="12">
        <v>70200000</v>
      </c>
      <c r="AQ2745" s="3">
        <v>0.34300000000000003</v>
      </c>
      <c r="AR2745" s="3">
        <f>LN(AU2745*100000000/($AM2745-$AL2745)/AP2745)</f>
        <v>-8.4543090040763911</v>
      </c>
      <c r="AS2745" s="13">
        <f t="shared" si="1991"/>
        <v>14.473248114731687</v>
      </c>
      <c r="AT2745" s="3">
        <f t="shared" si="1992"/>
        <v>0.88054251856324894</v>
      </c>
      <c r="AU2745" s="16" cm="1">
        <f t="array" ref="AU2745">$C2745*EXP(poly_from_str(100000000/$E2745,AU$4342))</f>
        <v>5.4191984251115661</v>
      </c>
      <c r="AV2745" s="13">
        <f>LN(AS2745/AU2745)</f>
        <v>0.98235407532269259</v>
      </c>
    </row>
    <row r="2746" spans="1:48" x14ac:dyDescent="0.25">
      <c r="A2746">
        <v>2757.1289999999999</v>
      </c>
      <c r="B2746" s="2" t="str">
        <f t="shared" si="1923"/>
        <v/>
      </c>
      <c r="C2746">
        <v>8</v>
      </c>
      <c r="D2746" t="s">
        <v>1156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1985"/>
        <v>e</v>
      </c>
      <c r="N2746" t="str">
        <f t="shared" si="1986"/>
        <v>9/2</v>
      </c>
      <c r="O2746">
        <v>64979.55</v>
      </c>
      <c r="P2746" t="str">
        <f t="shared" si="1987"/>
        <v>o</v>
      </c>
      <c r="Q2746" t="str">
        <f t="shared" si="1988"/>
        <v>7/2</v>
      </c>
      <c r="R2746">
        <v>27</v>
      </c>
      <c r="AA2746" s="10">
        <f t="shared" si="1924"/>
        <v>2757.1289999999999</v>
      </c>
      <c r="AB2746" s="3">
        <f t="shared" si="1925"/>
        <v>36258.9</v>
      </c>
      <c r="AC2746" s="3" cm="1">
        <f t="array" ref="AC2746">100000000/LvacE(AA2746)</f>
        <v>36258.896550454629</v>
      </c>
      <c r="AD2746" s="10">
        <f t="shared" si="1926"/>
        <v>1.1575480608715556E-2</v>
      </c>
      <c r="AE2746" s="10" t="b">
        <f t="shared" si="1927"/>
        <v>1</v>
      </c>
      <c r="AJ2746" t="s">
        <v>4708</v>
      </c>
      <c r="AK2746" t="s">
        <v>4912</v>
      </c>
      <c r="AL2746">
        <v>28720.71</v>
      </c>
      <c r="AM2746">
        <v>64979.55</v>
      </c>
      <c r="AN2746" s="10" cm="1">
        <f t="array" ref="AN2746">Lair(100000000/($AM2746-$AL2746))</f>
        <v>2757.1332975371311</v>
      </c>
      <c r="AO2746" s="10">
        <f t="shared" si="1989"/>
        <v>2757.9481307179158</v>
      </c>
      <c r="AP2746" s="12">
        <v>17100000</v>
      </c>
      <c r="AQ2746" s="3">
        <v>0.04</v>
      </c>
      <c r="AR2746" s="3"/>
      <c r="AS2746" s="13">
        <f t="shared" si="1991"/>
        <v>4.178939708616916</v>
      </c>
      <c r="AT2746" s="3"/>
      <c r="AU2746" s="16" cm="1">
        <f t="array" ref="AU2746">$C2746*EXP(poly_from_str(100000000/$E2746,AU$4342))</f>
        <v>7.1851758688745422</v>
      </c>
    </row>
    <row r="2747" spans="1:48" x14ac:dyDescent="0.25">
      <c r="A2747">
        <v>2755.6990000000001</v>
      </c>
      <c r="B2747" s="2" t="str">
        <f t="shared" si="1923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1924"/>
        <v>2755.6990000000001</v>
      </c>
      <c r="AB2747" s="3">
        <f t="shared" si="1925"/>
        <v>36277.71</v>
      </c>
      <c r="AC2747" s="3" cm="1">
        <f t="array" ref="AC2747">100000000/LvacE(AA2747)</f>
        <v>36277.711192135364</v>
      </c>
      <c r="AD2747" s="10">
        <f t="shared" si="1926"/>
        <v>1.1582306556727597E-2</v>
      </c>
      <c r="AE2747" s="10" t="b">
        <f t="shared" si="1927"/>
        <v>1</v>
      </c>
      <c r="AP2747"/>
      <c r="AQ2747"/>
      <c r="AU2747" s="16" cm="1">
        <f t="array" ref="AU2747">$C2747*EXP(poly_from_str(100000000/$E2747,AU$4342))</f>
        <v>1.7823124594145443</v>
      </c>
    </row>
    <row r="2748" spans="1:48" x14ac:dyDescent="0.25">
      <c r="A2748">
        <v>2755.5360000000001</v>
      </c>
      <c r="B2748" s="2" t="str">
        <f t="shared" si="1923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1924"/>
        <v>2755.5360000000001</v>
      </c>
      <c r="AB2748" s="3">
        <f t="shared" si="1925"/>
        <v>36279.86</v>
      </c>
      <c r="AC2748" s="3" cm="1">
        <f t="array" ref="AC2748">100000000/LvacE(AA2748)</f>
        <v>36279.857037842012</v>
      </c>
      <c r="AD2748" s="10">
        <f t="shared" si="1926"/>
        <v>1.158308529408471E-2</v>
      </c>
      <c r="AE2748" s="10" t="b">
        <f t="shared" si="1927"/>
        <v>1</v>
      </c>
      <c r="AP2748"/>
      <c r="AQ2748"/>
      <c r="AU2748" s="16" cm="1">
        <f t="array" ref="AU2748">$C2748*EXP(poly_from_str(100000000/$E2748,AU$4342))</f>
        <v>0.89035854782972823</v>
      </c>
    </row>
    <row r="2749" spans="1:48" x14ac:dyDescent="0.25">
      <c r="A2749">
        <v>2754.97</v>
      </c>
      <c r="B2749" s="2" t="str">
        <f t="shared" si="1923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1924"/>
        <v>2754.97</v>
      </c>
      <c r="AB2749" s="3">
        <f t="shared" si="1925"/>
        <v>36287.31</v>
      </c>
      <c r="AC2749" s="3" cm="1">
        <f t="array" ref="AC2749">100000000/LvacE(AA2749)</f>
        <v>36287.310228173686</v>
      </c>
      <c r="AD2749" s="10">
        <f t="shared" si="1926"/>
        <v>1.1585790449292314E-2</v>
      </c>
      <c r="AE2749" s="10" t="b">
        <f t="shared" si="1927"/>
        <v>1</v>
      </c>
      <c r="AJ2749" t="s">
        <v>4694</v>
      </c>
      <c r="AK2749" t="s">
        <v>4950</v>
      </c>
      <c r="AL2749">
        <v>66148.399999999994</v>
      </c>
      <c r="AM2749">
        <v>102435.67</v>
      </c>
      <c r="AN2749" s="10" cm="1">
        <f t="array" ref="AN2749">Lair(100000000/($AM2749-$AL2749))</f>
        <v>2754.9730515562687</v>
      </c>
      <c r="AO2749" s="10">
        <f>100000000/($AM2749-$AL2749)</f>
        <v>2755.7873601403462</v>
      </c>
      <c r="AP2749" s="12">
        <v>133000000</v>
      </c>
      <c r="AQ2749" s="3">
        <v>0.17699999999999999</v>
      </c>
      <c r="AR2749" s="3">
        <f>LN(AU2749*100000000/($AM2749-$AL2749)/AP2749)</f>
        <v>-9.8050267539003144</v>
      </c>
      <c r="AS2749" s="13">
        <f>EXP(AR$4341*$AM2749+AR$4342)*$AP2749/(100000000/($AM2749-$AL2749))</f>
        <v>1.9564890275495548</v>
      </c>
      <c r="AT2749" s="3">
        <f>LN(AS2749/$C2749)</f>
        <v>-0.42746073421915765</v>
      </c>
      <c r="AU2749" s="16" cm="1">
        <f t="array" ref="AU2749">$C2749*EXP(poly_from_str(100000000/$E2749,AU$4342))</f>
        <v>2.6627900348384204</v>
      </c>
      <c r="AV2749" s="13">
        <f>LN(AS2749/AU2749)</f>
        <v>-0.30822290392643947</v>
      </c>
    </row>
    <row r="2750" spans="1:48" x14ac:dyDescent="0.25">
      <c r="A2750">
        <v>2753.8389999999999</v>
      </c>
      <c r="B2750" s="2" t="str">
        <f t="shared" si="1923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1924"/>
        <v>2753.8389999999999</v>
      </c>
      <c r="AB2750" s="3">
        <f t="shared" si="1925"/>
        <v>36302.21</v>
      </c>
      <c r="AC2750" s="3" cm="1">
        <f t="array" ref="AC2750">100000000/LvacE(AA2750)</f>
        <v>36302.212617427685</v>
      </c>
      <c r="AD2750" s="10">
        <f t="shared" si="1926"/>
        <v>1.1591200977513153E-2</v>
      </c>
      <c r="AE2750" s="10" t="b">
        <f t="shared" si="1927"/>
        <v>1</v>
      </c>
      <c r="AP2750"/>
      <c r="AQ2750"/>
      <c r="AU2750" s="16" cm="1">
        <f t="array" ref="AU2750">$C2750*EXP(poly_from_str(100000000/$E2750,AU$4342))</f>
        <v>2.6462496652404801</v>
      </c>
    </row>
    <row r="2751" spans="1:48" x14ac:dyDescent="0.25">
      <c r="A2751">
        <v>2752.7649999999999</v>
      </c>
      <c r="B2751" s="2" t="str">
        <f t="shared" si="1923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1924"/>
        <v>2752.7649999999999</v>
      </c>
      <c r="AB2751" s="3">
        <f t="shared" si="1925"/>
        <v>36316.370000000003</v>
      </c>
      <c r="AC2751" s="3" cm="1">
        <f t="array" ref="AC2751">100000000/LvacE(AA2751)</f>
        <v>36316.375292199933</v>
      </c>
      <c r="AD2751" s="10">
        <f t="shared" si="1926"/>
        <v>1.1596345000790102E-2</v>
      </c>
      <c r="AE2751" s="10" t="b">
        <f t="shared" si="1927"/>
        <v>1</v>
      </c>
      <c r="AP2751"/>
      <c r="AQ2751"/>
      <c r="AU2751" s="16" cm="1">
        <f t="array" ref="AU2751">$C2751*EXP(poly_from_str(100000000/$E2751,AU$4342))</f>
        <v>4.384282208257301</v>
      </c>
    </row>
    <row r="2752" spans="1:48" x14ac:dyDescent="0.25">
      <c r="A2752">
        <v>2752.3679999999999</v>
      </c>
      <c r="B2752" s="2" t="str">
        <f t="shared" si="1923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1994">$G2752&amp;""</f>
        <v>e</v>
      </c>
      <c r="N2752" t="str">
        <f t="shared" ref="N2752:N2753" si="1995">$H2752&amp;""</f>
        <v>9/2</v>
      </c>
      <c r="O2752">
        <v>60166.2</v>
      </c>
      <c r="P2752" t="str">
        <f t="shared" ref="P2752:P2753" si="1996">$J2752&amp;""</f>
        <v>o</v>
      </c>
      <c r="Q2752" t="str">
        <f t="shared" ref="Q2752:Q2753" si="1997">$K2752&amp;""</f>
        <v>9/2</v>
      </c>
      <c r="R2752">
        <v>27</v>
      </c>
      <c r="AA2752" s="10">
        <f t="shared" si="1924"/>
        <v>2752.3679999999999</v>
      </c>
      <c r="AB2752" s="3">
        <f t="shared" si="1925"/>
        <v>36321.61</v>
      </c>
      <c r="AC2752" s="3" cm="1">
        <f t="array" ref="AC2752">100000000/LvacE(AA2752)</f>
        <v>36321.613268529218</v>
      </c>
      <c r="AD2752" s="10">
        <f t="shared" si="1926"/>
        <v>1.1598247993823722E-2</v>
      </c>
      <c r="AE2752" s="10" t="b">
        <f t="shared" si="1927"/>
        <v>1</v>
      </c>
      <c r="AJ2752" t="s">
        <v>4763</v>
      </c>
      <c r="AK2752" t="s">
        <v>4726</v>
      </c>
      <c r="AL2752">
        <v>23844.58</v>
      </c>
      <c r="AM2752">
        <v>60166.2</v>
      </c>
      <c r="AN2752" s="10" cm="1">
        <f t="array" ref="AN2752">Lair(100000000/($AM2752-$AL2752))</f>
        <v>2752.3674871339658</v>
      </c>
      <c r="AO2752" s="10">
        <f t="shared" ref="AO2752:AO2753" si="1998">100000000/($AM2752-$AL2752)</f>
        <v>2753.1811631749911</v>
      </c>
      <c r="AP2752" s="12">
        <v>6970000</v>
      </c>
      <c r="AQ2752" s="3">
        <v>2.3E-2</v>
      </c>
      <c r="AR2752" s="3"/>
      <c r="AS2752" s="13">
        <f t="shared" ref="AS2752:AS2753" si="1999">EXP(AR$4341*$AM2752+AR$4342)*$AP2752/(100000000/($AM2752-$AL2752))</f>
        <v>2.4486836187906214</v>
      </c>
      <c r="AT2752" s="3"/>
      <c r="AU2752" s="16" cm="1">
        <f t="array" ref="AU2752">$C2752*EXP(poly_from_str(100000000/$E2752,AU$4342))</f>
        <v>4.3746272360678002</v>
      </c>
    </row>
    <row r="2753" spans="1:51" x14ac:dyDescent="0.25">
      <c r="A2753">
        <v>2752.2510000000002</v>
      </c>
      <c r="B2753" s="2" t="str">
        <f t="shared" si="1923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1994"/>
        <v>e</v>
      </c>
      <c r="N2753" t="str">
        <f t="shared" si="1995"/>
        <v>9/2</v>
      </c>
      <c r="O2753">
        <v>61357.04</v>
      </c>
      <c r="P2753" t="str">
        <f t="shared" si="1996"/>
        <v>o</v>
      </c>
      <c r="Q2753" t="str">
        <f t="shared" si="1997"/>
        <v>9/2</v>
      </c>
      <c r="R2753">
        <v>27</v>
      </c>
      <c r="AA2753" s="10">
        <f t="shared" si="1924"/>
        <v>2752.2510000000002</v>
      </c>
      <c r="AB2753" s="3">
        <f t="shared" si="1925"/>
        <v>36323.160000000003</v>
      </c>
      <c r="AC2753" s="3" cm="1">
        <f t="array" ref="AC2753">100000000/LvacE(AA2753)</f>
        <v>36323.157242513545</v>
      </c>
      <c r="AD2753" s="10">
        <f t="shared" si="1926"/>
        <v>1.1598808982631589E-2</v>
      </c>
      <c r="AE2753" s="10" t="b">
        <f t="shared" si="1927"/>
        <v>1</v>
      </c>
      <c r="AJ2753" t="s">
        <v>4746</v>
      </c>
      <c r="AK2753" t="s">
        <v>4903</v>
      </c>
      <c r="AL2753">
        <v>25033.91</v>
      </c>
      <c r="AM2753">
        <v>61357.04</v>
      </c>
      <c r="AN2753" s="10" cm="1">
        <f t="array" ref="AN2753">Lair(100000000/($AM2753-$AL2753))</f>
        <v>2752.2530615674809</v>
      </c>
      <c r="AO2753" s="10">
        <f t="shared" si="1998"/>
        <v>2753.0667098347521</v>
      </c>
      <c r="AP2753" s="12">
        <v>10100000</v>
      </c>
      <c r="AQ2753" s="3">
        <v>3.3000000000000002E-2</v>
      </c>
      <c r="AR2753" s="3"/>
      <c r="AS2753" s="13">
        <f t="shared" si="1999"/>
        <v>3.2450918972916116</v>
      </c>
      <c r="AT2753" s="3"/>
      <c r="AU2753" s="16" cm="1">
        <f t="array" ref="AU2753">$C2753*EXP(poly_from_str(100000000/$E2753,AU$4342))</f>
        <v>2.6230637715814904</v>
      </c>
    </row>
    <row r="2754" spans="1:51" x14ac:dyDescent="0.25">
      <c r="A2754">
        <v>2746.2489999999998</v>
      </c>
      <c r="B2754" s="2" t="str">
        <f t="shared" ref="B2754:B2817" si="2000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1924"/>
        <v>2746.2489999999998</v>
      </c>
      <c r="AB2754" s="3">
        <f t="shared" si="1925"/>
        <v>36402.54</v>
      </c>
      <c r="AC2754" s="3" cm="1">
        <f t="array" ref="AC2754">100000000/LvacE(AA2754)</f>
        <v>36402.53824922628</v>
      </c>
      <c r="AD2754" s="10">
        <f t="shared" si="1926"/>
        <v>1.1627683478305551E-2</v>
      </c>
      <c r="AE2754" s="10" t="b">
        <f t="shared" si="1927"/>
        <v>1</v>
      </c>
      <c r="AP2754"/>
      <c r="AQ2754"/>
      <c r="AU2754" s="13" cm="1">
        <f t="array" ref="AU2754">$C2754*EXP(poly_from_str(100000000/$E2754,AU$4343))</f>
        <v>5.2551788162436006</v>
      </c>
    </row>
    <row r="2755" spans="1:51" x14ac:dyDescent="0.25">
      <c r="A2755">
        <v>2745.5940000000001</v>
      </c>
      <c r="B2755" s="2" t="str">
        <f t="shared" si="2000"/>
        <v/>
      </c>
      <c r="C2755">
        <v>4</v>
      </c>
      <c r="D2755" t="s">
        <v>1156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2001">$G2755&amp;""</f>
        <v>e</v>
      </c>
      <c r="N2755" t="str">
        <f t="shared" ref="N2755:N2764" si="2002">$H2755&amp;""</f>
        <v>9/2</v>
      </c>
      <c r="O2755">
        <v>65295.9</v>
      </c>
      <c r="P2755" t="str">
        <f t="shared" ref="P2755:P2764" si="2003">$J2755&amp;""</f>
        <v>o</v>
      </c>
      <c r="Q2755" t="str">
        <f t="shared" ref="Q2755:Q2764" si="2004">$K2755&amp;""</f>
        <v>7/2</v>
      </c>
      <c r="R2755">
        <v>27</v>
      </c>
      <c r="AA2755" s="10">
        <f t="shared" ref="AA2755:AA2818" si="2005">ROUND($A2755,3)+0</f>
        <v>2745.5940000000001</v>
      </c>
      <c r="AB2755" s="3">
        <f t="shared" ref="AB2755:AB2818" si="2006">ROUND($E2755,2)+0</f>
        <v>36411.22</v>
      </c>
      <c r="AC2755" s="3" cm="1">
        <f t="array" ref="AC2755">100000000/LvacE(AA2755)</f>
        <v>36411.22212356847</v>
      </c>
      <c r="AD2755" s="10">
        <f t="shared" ref="AD2755:AD2818" si="2007">0.0005/$AA2755*AC2755+0.005</f>
        <v>1.1630846025225957E-2</v>
      </c>
      <c r="AE2755" s="10" t="b">
        <f t="shared" ref="AE2755:AE2818" si="2008">ABS(AB2755-AC2755)&lt;AD2755</f>
        <v>1</v>
      </c>
      <c r="AJ2755" t="s">
        <v>4742</v>
      </c>
      <c r="AK2755" t="s">
        <v>4825</v>
      </c>
      <c r="AL2755">
        <v>28885.14</v>
      </c>
      <c r="AM2755">
        <v>65295.9</v>
      </c>
      <c r="AN2755" s="10" cm="1">
        <f t="array" ref="AN2755">Lair(100000000/($AM2755-$AL2755))</f>
        <v>2745.6288461305935</v>
      </c>
      <c r="AO2755" s="10">
        <f t="shared" ref="AO2755:AO2764" si="2009">100000000/($AM2755-$AL2755)</f>
        <v>2746.4408872542072</v>
      </c>
      <c r="AP2755" s="12">
        <v>57300000</v>
      </c>
      <c r="AQ2755" s="3">
        <v>3.3000000000000002E-2</v>
      </c>
      <c r="AR2755" s="3"/>
      <c r="AS2755" s="13">
        <f t="shared" ref="AS2755:AS2762" si="2010">EXP(AR$4341*$AM2755+AR$4342)*$AP2755/(100000000/($AM2755-$AL2755))</f>
        <v>13.731875313697868</v>
      </c>
      <c r="AT2755" s="3"/>
      <c r="AU2755" s="13" cm="1">
        <f t="array" ref="AU2755">$C2755*EXP(poly_from_str(100000000/$E2755,AU$4343))</f>
        <v>3.0309175999799929</v>
      </c>
      <c r="AV2755" s="13"/>
      <c r="AW2755" s="13"/>
      <c r="AX2755" s="13"/>
      <c r="AY2755" s="13"/>
    </row>
    <row r="2756" spans="1:51" x14ac:dyDescent="0.25">
      <c r="A2756">
        <v>2745.09</v>
      </c>
      <c r="B2756" s="2" t="str">
        <f t="shared" si="2000"/>
        <v/>
      </c>
      <c r="C2756">
        <v>5</v>
      </c>
      <c r="D2756" t="s">
        <v>1156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2001"/>
        <v>e</v>
      </c>
      <c r="N2756" t="str">
        <f t="shared" si="2002"/>
        <v>7/2</v>
      </c>
      <c r="O2756">
        <v>64817.53</v>
      </c>
      <c r="P2756" t="str">
        <f t="shared" si="2003"/>
        <v>o</v>
      </c>
      <c r="Q2756" t="str">
        <f t="shared" si="2004"/>
        <v>5/2</v>
      </c>
      <c r="R2756">
        <v>27</v>
      </c>
      <c r="AA2756" s="10">
        <f t="shared" si="2005"/>
        <v>2745.09</v>
      </c>
      <c r="AB2756" s="3">
        <f t="shared" si="2006"/>
        <v>36417.910000000003</v>
      </c>
      <c r="AC2756" s="3" cm="1">
        <f t="array" ref="AC2756">100000000/LvacE(AA2756)</f>
        <v>36417.906887471967</v>
      </c>
      <c r="AD2756" s="10">
        <f t="shared" si="2007"/>
        <v>1.1633281037684004E-2</v>
      </c>
      <c r="AE2756" s="10" t="b">
        <f t="shared" si="2008"/>
        <v>1</v>
      </c>
      <c r="AJ2756" t="s">
        <v>4975</v>
      </c>
      <c r="AK2756" t="s">
        <v>4882</v>
      </c>
      <c r="AL2756">
        <v>28399.43</v>
      </c>
      <c r="AM2756">
        <v>64817.53</v>
      </c>
      <c r="AN2756" s="10" cm="1">
        <f t="array" ref="AN2756">Lair(100000000/($AM2756-$AL2756))</f>
        <v>2745.0754403041728</v>
      </c>
      <c r="AO2756" s="10">
        <f t="shared" si="2009"/>
        <v>2745.8873472256928</v>
      </c>
      <c r="AP2756" s="12">
        <v>17900000</v>
      </c>
      <c r="AQ2756" s="3">
        <v>0.27500000000000002</v>
      </c>
      <c r="AR2756" s="3">
        <f>LN(AU2756*100000000/($AM2756-$AL2756)/AP2756)</f>
        <v>-7.4433297666357623</v>
      </c>
      <c r="AS2756" s="13">
        <f t="shared" si="2010"/>
        <v>4.4474085208097085</v>
      </c>
      <c r="AT2756" s="3">
        <f t="shared" ref="AT2756:AT2761" si="2011">LN(AS2756/$C2756)</f>
        <v>-0.11711634076463558</v>
      </c>
      <c r="AU2756" s="13" cm="1">
        <f t="array" ref="AU2756">$C2756*EXP(poly_from_str(100000000/$E2756,AU$4343))</f>
        <v>3.8156916392852303</v>
      </c>
      <c r="AV2756" s="13">
        <f>LN(AS2756/AU2756)</f>
        <v>0.1531996286637029</v>
      </c>
      <c r="AW2756" s="13"/>
      <c r="AX2756" s="13"/>
      <c r="AY2756" s="13"/>
    </row>
    <row r="2757" spans="1:51" x14ac:dyDescent="0.25">
      <c r="A2757">
        <v>2744.59</v>
      </c>
      <c r="B2757" s="2" t="str">
        <f t="shared" si="2000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2001"/>
        <v>e</v>
      </c>
      <c r="N2757" t="str">
        <f t="shared" si="2002"/>
        <v>7/2</v>
      </c>
      <c r="O2757">
        <v>67679.210000000006</v>
      </c>
      <c r="P2757" t="str">
        <f t="shared" si="2003"/>
        <v>o</v>
      </c>
      <c r="Q2757" t="str">
        <f t="shared" si="2004"/>
        <v>7/2</v>
      </c>
      <c r="R2757">
        <v>27</v>
      </c>
      <c r="AA2757" s="10">
        <f t="shared" si="2005"/>
        <v>2744.59</v>
      </c>
      <c r="AB2757" s="3">
        <f t="shared" si="2006"/>
        <v>36424.54</v>
      </c>
      <c r="AC2757" s="3" cm="1">
        <f t="array" ref="AC2757">100000000/LvacE(AA2757)</f>
        <v>36424.541023407415</v>
      </c>
      <c r="AD2757" s="10">
        <f t="shared" si="2007"/>
        <v>1.1635698050238362E-2</v>
      </c>
      <c r="AE2757" s="10" t="b">
        <f t="shared" si="2008"/>
        <v>1</v>
      </c>
      <c r="AJ2757" t="s">
        <v>4735</v>
      </c>
      <c r="AK2757" t="s">
        <v>4861</v>
      </c>
      <c r="AL2757">
        <v>31254.71</v>
      </c>
      <c r="AM2757">
        <v>67679.210000000006</v>
      </c>
      <c r="AN2757" s="10" cm="1">
        <f t="array" ref="AN2757">Lair(100000000/($AM2757-$AL2757))</f>
        <v>2744.5930886262668</v>
      </c>
      <c r="AO2757" s="10">
        <f t="shared" si="2009"/>
        <v>2745.4048785844689</v>
      </c>
      <c r="AP2757" s="12">
        <v>11000000</v>
      </c>
      <c r="AQ2757" s="3">
        <v>2.7E-2</v>
      </c>
      <c r="AR2757" s="3"/>
      <c r="AS2757" s="13">
        <f t="shared" si="2010"/>
        <v>2.2052305056551518</v>
      </c>
      <c r="AT2757" s="3"/>
      <c r="AU2757" s="13" cm="1">
        <f t="array" ref="AU2757">$C2757*EXP(poly_from_str(100000000/$E2757,AU$4343))</f>
        <v>3.0740694982339885</v>
      </c>
      <c r="AV2757" s="13"/>
      <c r="AW2757" s="13"/>
      <c r="AX2757" s="13"/>
      <c r="AY2757" s="13"/>
    </row>
    <row r="2758" spans="1:51" x14ac:dyDescent="0.25">
      <c r="A2758">
        <v>2743.68</v>
      </c>
      <c r="B2758" s="2" t="str">
        <f t="shared" si="2000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2001"/>
        <v>e</v>
      </c>
      <c r="N2758" t="str">
        <f t="shared" si="2002"/>
        <v>11/2</v>
      </c>
      <c r="O2758">
        <v>63816.91</v>
      </c>
      <c r="P2758" t="str">
        <f t="shared" si="2003"/>
        <v>o</v>
      </c>
      <c r="Q2758" t="str">
        <f t="shared" si="2004"/>
        <v>11/2</v>
      </c>
      <c r="R2758">
        <v>27</v>
      </c>
      <c r="AA2758" s="10">
        <f t="shared" si="2005"/>
        <v>2743.68</v>
      </c>
      <c r="AB2758" s="3">
        <f t="shared" si="2006"/>
        <v>36436.620000000003</v>
      </c>
      <c r="AC2758" s="3" cm="1">
        <f t="array" ref="AC2758">100000000/LvacE(AA2758)</f>
        <v>36436.621355200747</v>
      </c>
      <c r="AD2758" s="10">
        <f t="shared" si="2007"/>
        <v>1.1640100404420477E-2</v>
      </c>
      <c r="AE2758" s="10" t="b">
        <f t="shared" si="2008"/>
        <v>1</v>
      </c>
      <c r="AJ2758" t="s">
        <v>4712</v>
      </c>
      <c r="AK2758" t="s">
        <v>4928</v>
      </c>
      <c r="AL2758">
        <v>27380.31</v>
      </c>
      <c r="AM2758">
        <v>63816.91</v>
      </c>
      <c r="AN2758" s="10" cm="1">
        <f t="array" ref="AN2758">Lair(100000000/($AM2758-$AL2758))</f>
        <v>2743.6816054884257</v>
      </c>
      <c r="AO2758" s="10">
        <f t="shared" si="2009"/>
        <v>2744.4931744454748</v>
      </c>
      <c r="AP2758" s="12">
        <v>33900000</v>
      </c>
      <c r="AQ2758" s="3">
        <v>0.114</v>
      </c>
      <c r="AR2758" s="3">
        <f t="shared" ref="AR2758:AR2761" si="2012">LN(AU2758*100000000/($AM2758-$AL2758)/AP2758)</f>
        <v>-7.4749083732100559</v>
      </c>
      <c r="AS2758" s="13">
        <f t="shared" si="2010"/>
        <v>9.084203465866727</v>
      </c>
      <c r="AT2758" s="3">
        <f t="shared" si="2011"/>
        <v>9.3124449242789342E-3</v>
      </c>
      <c r="AU2758" s="13" cm="1">
        <f t="array" ref="AU2758">$C2758*EXP(poly_from_str(100000000/$E2758,AU$4343))</f>
        <v>7.0052894410816773</v>
      </c>
      <c r="AV2758" s="13">
        <f t="shared" ref="AV2758:AV2761" si="2013">LN(AS2758/AU2758)</f>
        <v>0.25987152411291214</v>
      </c>
      <c r="AW2758" s="13"/>
      <c r="AX2758" s="13"/>
      <c r="AY2758" s="13"/>
    </row>
    <row r="2759" spans="1:51" x14ac:dyDescent="0.25">
      <c r="A2759">
        <v>2743.5949999999998</v>
      </c>
      <c r="B2759" s="2" t="str">
        <f t="shared" si="2000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2001"/>
        <v>e</v>
      </c>
      <c r="N2759" t="str">
        <f t="shared" si="2002"/>
        <v>7/2</v>
      </c>
      <c r="O2759">
        <v>63576.27</v>
      </c>
      <c r="P2759" t="str">
        <f t="shared" si="2003"/>
        <v>o</v>
      </c>
      <c r="Q2759" t="str">
        <f t="shared" si="2004"/>
        <v>5/2</v>
      </c>
      <c r="R2759">
        <v>27</v>
      </c>
      <c r="AA2759" s="10">
        <f t="shared" si="2005"/>
        <v>2743.5949999999998</v>
      </c>
      <c r="AB2759" s="3">
        <f t="shared" si="2006"/>
        <v>36437.75</v>
      </c>
      <c r="AC2759" s="3" cm="1">
        <f t="array" ref="AC2759">100000000/LvacE(AA2759)</f>
        <v>36437.750147023413</v>
      </c>
      <c r="AD2759" s="10">
        <f t="shared" si="2007"/>
        <v>1.1640511837028317E-2</v>
      </c>
      <c r="AE2759" s="10" t="b">
        <f t="shared" si="2008"/>
        <v>1</v>
      </c>
      <c r="AJ2759" t="s">
        <v>4723</v>
      </c>
      <c r="AK2759" t="s">
        <v>4843</v>
      </c>
      <c r="AL2759">
        <v>27138.55</v>
      </c>
      <c r="AM2759">
        <v>63576.27</v>
      </c>
      <c r="AN2759" s="10" cm="1">
        <f t="array" ref="AN2759">Lair(100000000/($AM2759-$AL2759))</f>
        <v>2743.5972674098157</v>
      </c>
      <c r="AO2759" s="10">
        <f t="shared" si="2009"/>
        <v>2744.4088159193275</v>
      </c>
      <c r="AP2759" s="12">
        <v>40100000</v>
      </c>
      <c r="AQ2759" s="3">
        <v>0.114</v>
      </c>
      <c r="AR2759" s="3">
        <f t="shared" si="2012"/>
        <v>-7.6417135996734995</v>
      </c>
      <c r="AS2759" s="13">
        <f t="shared" si="2010"/>
        <v>10.941778281158257</v>
      </c>
      <c r="AT2759" s="3">
        <f t="shared" si="2011"/>
        <v>0.19536375499997433</v>
      </c>
      <c r="AU2759" s="13" cm="1">
        <f t="array" ref="AU2759">$C2759*EXP(poly_from_str(100000000/$E2759,AU$4343))</f>
        <v>7.0136084736203657</v>
      </c>
      <c r="AV2759" s="13">
        <f t="shared" si="2013"/>
        <v>0.44473600287479126</v>
      </c>
      <c r="AW2759" s="13"/>
      <c r="AX2759" s="13"/>
      <c r="AY2759" s="13"/>
    </row>
    <row r="2760" spans="1:51" x14ac:dyDescent="0.25">
      <c r="A2760">
        <v>2743.4059999999999</v>
      </c>
      <c r="B2760" s="2" t="str">
        <f t="shared" si="2000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2001"/>
        <v>e</v>
      </c>
      <c r="N2760" t="str">
        <f t="shared" si="2002"/>
        <v>3/2</v>
      </c>
      <c r="O2760">
        <v>75560.75</v>
      </c>
      <c r="P2760" t="str">
        <f t="shared" si="2003"/>
        <v>o</v>
      </c>
      <c r="Q2760" t="str">
        <f t="shared" si="2004"/>
        <v>5/2</v>
      </c>
      <c r="R2760">
        <v>27</v>
      </c>
      <c r="AA2760" s="10">
        <f t="shared" si="2005"/>
        <v>2743.4059999999999</v>
      </c>
      <c r="AB2760" s="3">
        <f t="shared" si="2006"/>
        <v>36440.26</v>
      </c>
      <c r="AC2760" s="3" cm="1">
        <f t="array" ref="AC2760">100000000/LvacE(AA2760)</f>
        <v>36440.260299495028</v>
      </c>
      <c r="AD2760" s="10">
        <f t="shared" si="2007"/>
        <v>1.1641426806585507E-2</v>
      </c>
      <c r="AE2760" s="10" t="b">
        <f t="shared" si="2008"/>
        <v>1</v>
      </c>
      <c r="AJ2760" t="s">
        <v>4733</v>
      </c>
      <c r="AK2760" t="s">
        <v>4943</v>
      </c>
      <c r="AL2760">
        <v>39120.400000000001</v>
      </c>
      <c r="AM2760">
        <v>75560.75</v>
      </c>
      <c r="AN2760" s="10" cm="1">
        <f t="array" ref="AN2760">Lair(100000000/($AM2760-$AL2760))</f>
        <v>2743.3992439081767</v>
      </c>
      <c r="AO2760" s="10">
        <f t="shared" si="2009"/>
        <v>2744.2107444083276</v>
      </c>
      <c r="AP2760" s="12">
        <v>11400000</v>
      </c>
      <c r="AQ2760" s="3">
        <v>7.0999999999999994E-2</v>
      </c>
      <c r="AR2760" s="3">
        <f t="shared" si="2012"/>
        <v>-8.5786137363794008</v>
      </c>
      <c r="AS2760" s="13">
        <f t="shared" si="2010"/>
        <v>1.2655428187601871</v>
      </c>
      <c r="AT2760" s="3">
        <f t="shared" si="2011"/>
        <v>0.23550113587922306</v>
      </c>
      <c r="AU2760" s="13" cm="1">
        <f t="array" ref="AU2760">$C2760*EXP(poly_from_str(100000000/$E2760,AU$4343))</f>
        <v>0.78134490195276507</v>
      </c>
      <c r="AV2760" s="13">
        <f t="shared" si="2013"/>
        <v>0.48223974668863917</v>
      </c>
      <c r="AW2760" s="13"/>
      <c r="AX2760" s="13"/>
      <c r="AY2760" s="13"/>
    </row>
    <row r="2761" spans="1:51" x14ac:dyDescent="0.25">
      <c r="A2761">
        <v>2742.3119999999999</v>
      </c>
      <c r="B2761" s="2" t="str">
        <f t="shared" si="2000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2001"/>
        <v>e</v>
      </c>
      <c r="N2761" t="str">
        <f t="shared" si="2002"/>
        <v>7/2</v>
      </c>
      <c r="O2761">
        <v>63593.35</v>
      </c>
      <c r="P2761" t="str">
        <f t="shared" si="2003"/>
        <v>o</v>
      </c>
      <c r="Q2761" t="str">
        <f t="shared" si="2004"/>
        <v>9/2</v>
      </c>
      <c r="R2761">
        <v>27</v>
      </c>
      <c r="AA2761" s="10">
        <f t="shared" si="2005"/>
        <v>2742.3119999999999</v>
      </c>
      <c r="AB2761" s="3">
        <f t="shared" si="2006"/>
        <v>36454.800000000003</v>
      </c>
      <c r="AC2761" s="3" cm="1">
        <f t="array" ref="AC2761">100000000/LvacE(AA2761)</f>
        <v>36454.796762215374</v>
      </c>
      <c r="AD2761" s="10">
        <f t="shared" si="2007"/>
        <v>1.1646726696709816E-2</v>
      </c>
      <c r="AE2761" s="10" t="b">
        <f t="shared" si="2008"/>
        <v>1</v>
      </c>
      <c r="AJ2761" t="s">
        <v>4723</v>
      </c>
      <c r="AK2761" t="s">
        <v>4840</v>
      </c>
      <c r="AL2761">
        <v>27138.55</v>
      </c>
      <c r="AM2761">
        <v>63593.35</v>
      </c>
      <c r="AN2761" s="10" cm="1">
        <f t="array" ref="AN2761">Lair(100000000/($AM2761-$AL2761))</f>
        <v>2742.3117537939011</v>
      </c>
      <c r="AO2761" s="10">
        <f t="shared" si="2009"/>
        <v>2743.1229906624089</v>
      </c>
      <c r="AP2761" s="12">
        <v>17800000</v>
      </c>
      <c r="AQ2761" s="3">
        <v>0.14899999999999999</v>
      </c>
      <c r="AR2761" s="3">
        <f t="shared" si="2012"/>
        <v>-7.063499287821756</v>
      </c>
      <c r="AS2761" s="13">
        <f t="shared" si="2010"/>
        <v>4.8530010746433101</v>
      </c>
      <c r="AT2761" s="3">
        <f t="shared" si="2011"/>
        <v>-0.36631285719329099</v>
      </c>
      <c r="AU2761" s="13" cm="1">
        <f t="array" ref="AU2761">$C2761*EXP(poly_from_str(100000000/$E2761,AU$4343))</f>
        <v>5.5531059369148839</v>
      </c>
      <c r="AV2761" s="13">
        <f t="shared" si="2013"/>
        <v>-0.13476010763576868</v>
      </c>
      <c r="AW2761" s="13"/>
      <c r="AX2761" s="13"/>
      <c r="AY2761" s="13"/>
    </row>
    <row r="2762" spans="1:51" x14ac:dyDescent="0.25">
      <c r="A2762">
        <v>2741.6619999999998</v>
      </c>
      <c r="B2762" s="2" t="str">
        <f t="shared" si="2000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2001"/>
        <v>e</v>
      </c>
      <c r="N2762" t="str">
        <f t="shared" si="2002"/>
        <v>11/2</v>
      </c>
      <c r="O2762">
        <v>62558.67</v>
      </c>
      <c r="P2762" t="str">
        <f t="shared" si="2003"/>
        <v>o</v>
      </c>
      <c r="Q2762" t="str">
        <f t="shared" si="2004"/>
        <v>11/2</v>
      </c>
      <c r="R2762">
        <v>27</v>
      </c>
      <c r="AA2762" s="10">
        <f t="shared" si="2005"/>
        <v>2741.6619999999998</v>
      </c>
      <c r="AB2762" s="3">
        <f t="shared" si="2006"/>
        <v>36463.440000000002</v>
      </c>
      <c r="AC2762" s="3" cm="1">
        <f t="array" ref="AC2762">100000000/LvacE(AA2762)</f>
        <v>36463.439093659421</v>
      </c>
      <c r="AD2762" s="10">
        <f t="shared" si="2007"/>
        <v>1.1649878630855922E-2</v>
      </c>
      <c r="AE2762" s="10" t="b">
        <f t="shared" si="2008"/>
        <v>1</v>
      </c>
      <c r="AJ2762" t="s">
        <v>4738</v>
      </c>
      <c r="AK2762" t="s">
        <v>4821</v>
      </c>
      <c r="AL2762">
        <v>26095.23</v>
      </c>
      <c r="AM2762">
        <v>62558.67</v>
      </c>
      <c r="AN2762" s="10" cm="1">
        <f t="array" ref="AN2762">Lair(100000000/($AM2762-$AL2762))</f>
        <v>2741.661929225836</v>
      </c>
      <c r="AO2762" s="10">
        <f t="shared" si="2009"/>
        <v>2742.4730085806495</v>
      </c>
      <c r="AP2762" s="12">
        <v>1540000</v>
      </c>
      <c r="AQ2762" s="3">
        <v>3.0000000000000001E-3</v>
      </c>
      <c r="AR2762" s="3"/>
      <c r="AS2762" s="13">
        <f t="shared" si="2010"/>
        <v>0.45387548088021085</v>
      </c>
      <c r="AT2762" s="3"/>
      <c r="AU2762" s="13" cm="1">
        <f t="array" ref="AU2762">$C2762*EXP(poly_from_str(100000000/$E2762,AU$4343))</f>
        <v>3.2017859398113626</v>
      </c>
      <c r="AV2762" s="13"/>
      <c r="AW2762" s="13"/>
      <c r="AX2762" s="13"/>
      <c r="AY2762" s="13"/>
    </row>
    <row r="2763" spans="1:51" x14ac:dyDescent="0.25">
      <c r="A2763">
        <v>2741.2620000000002</v>
      </c>
      <c r="B2763" s="2" t="str">
        <f t="shared" si="2000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2001"/>
        <v>o</v>
      </c>
      <c r="N2763" t="str">
        <f t="shared" si="2002"/>
        <v>13/2</v>
      </c>
      <c r="O2763">
        <v>102617.24</v>
      </c>
      <c r="P2763" t="str">
        <f t="shared" si="2003"/>
        <v>e</v>
      </c>
      <c r="Q2763" t="str">
        <f t="shared" si="2004"/>
        <v>11/2</v>
      </c>
      <c r="R2763">
        <v>27</v>
      </c>
      <c r="AA2763" s="10">
        <f t="shared" si="2005"/>
        <v>2741.2620000000002</v>
      </c>
      <c r="AB2763" s="3">
        <f t="shared" si="2006"/>
        <v>36468.76</v>
      </c>
      <c r="AC2763" s="3" cm="1">
        <f t="array" ref="AC2763">100000000/LvacE(AA2763)</f>
        <v>36468.759488390868</v>
      </c>
      <c r="AD2763" s="10">
        <f t="shared" si="2007"/>
        <v>1.1651819397122724E-2</v>
      </c>
      <c r="AE2763" s="10" t="b">
        <f t="shared" si="2008"/>
        <v>1</v>
      </c>
      <c r="AJ2763" t="s">
        <v>4694</v>
      </c>
      <c r="AK2763" t="s">
        <v>4845</v>
      </c>
      <c r="AL2763">
        <v>66148.399999999994</v>
      </c>
      <c r="AM2763">
        <v>102617.24</v>
      </c>
      <c r="AN2763" s="10" cm="1">
        <f t="array" ref="AN2763">Lair(100000000/($AM2763-$AL2763))</f>
        <v>2741.2559452223281</v>
      </c>
      <c r="AO2763" s="10">
        <f t="shared" si="2009"/>
        <v>2742.0669261758799</v>
      </c>
      <c r="AU2763" s="13" cm="1">
        <f t="array" ref="AU2763">$C2763*EXP(poly_from_str(100000000/$E2763,AU$4343))</f>
        <v>0.80486148503264787</v>
      </c>
    </row>
    <row r="2764" spans="1:51" x14ac:dyDescent="0.25">
      <c r="A2764">
        <v>2738.596</v>
      </c>
      <c r="B2764" s="2" t="str">
        <f t="shared" si="2000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2001"/>
        <v>o</v>
      </c>
      <c r="N2764" t="str">
        <f t="shared" si="2002"/>
        <v>11/2</v>
      </c>
      <c r="O2764">
        <v>100321.12</v>
      </c>
      <c r="P2764" t="str">
        <f t="shared" si="2003"/>
        <v>e</v>
      </c>
      <c r="Q2764" t="str">
        <f t="shared" si="2004"/>
        <v>9/2</v>
      </c>
      <c r="R2764">
        <v>27</v>
      </c>
      <c r="AA2764" s="10">
        <f t="shared" si="2005"/>
        <v>2738.596</v>
      </c>
      <c r="AB2764" s="3">
        <f t="shared" si="2006"/>
        <v>36504.26</v>
      </c>
      <c r="AC2764" s="3" cm="1">
        <f t="array" ref="AC2764">100000000/LvacE(AA2764)</f>
        <v>36504.259615181523</v>
      </c>
      <c r="AD2764" s="10">
        <f t="shared" si="2007"/>
        <v>1.1664776333417108E-2</v>
      </c>
      <c r="AE2764" s="10" t="b">
        <f t="shared" si="2008"/>
        <v>1</v>
      </c>
      <c r="AJ2764" t="s">
        <v>4928</v>
      </c>
      <c r="AK2764" t="s">
        <v>4841</v>
      </c>
      <c r="AL2764">
        <v>63816.91</v>
      </c>
      <c r="AM2764">
        <v>100321.12</v>
      </c>
      <c r="AN2764" s="10" cm="1">
        <f t="array" ref="AN2764">Lair(100000000/($AM2764-$AL2764))</f>
        <v>2738.5997198102777</v>
      </c>
      <c r="AO2764" s="10">
        <f t="shared" si="2009"/>
        <v>2739.4100570865667</v>
      </c>
      <c r="AP2764" s="12">
        <v>197000000</v>
      </c>
      <c r="AQ2764" s="3">
        <v>0.16900000000000001</v>
      </c>
      <c r="AR2764" s="3">
        <f>LN(AU2764*100000000/($AM2764-$AL2764)/AP2764)</f>
        <v>-9.5722430191009913</v>
      </c>
      <c r="AS2764" s="13">
        <f>EXP(AR$4341*$AM2764+AR$4342)*$AP2764/(100000000/($AM2764-$AL2764))</f>
        <v>3.4166375209296618</v>
      </c>
      <c r="AT2764" s="3">
        <f>LN(AS2764/$C2764)</f>
        <v>-0.56310258280774317</v>
      </c>
      <c r="AU2764" s="13" cm="1">
        <f t="array" ref="AU2764">$C2764*EXP(poly_from_str(100000000/$E2764,AU$4343))</f>
        <v>5.0076833303143253</v>
      </c>
      <c r="AV2764" s="13">
        <f>LN(AS2764/AU2764)</f>
        <v>-0.38231651261349864</v>
      </c>
      <c r="AW2764" s="13"/>
      <c r="AX2764" s="13"/>
      <c r="AY2764" s="13"/>
    </row>
    <row r="2765" spans="1:51" x14ac:dyDescent="0.25">
      <c r="A2765">
        <v>2736.1370000000002</v>
      </c>
      <c r="B2765" s="2" t="str">
        <f t="shared" si="2000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2005"/>
        <v>2736.1370000000002</v>
      </c>
      <c r="AB2765" s="3">
        <f t="shared" si="2006"/>
        <v>36537.06</v>
      </c>
      <c r="AC2765" s="3" cm="1">
        <f t="array" ref="AC2765">100000000/LvacE(AA2765)</f>
        <v>36537.064681124408</v>
      </c>
      <c r="AD2765" s="10">
        <f t="shared" si="2007"/>
        <v>1.1676760827605564E-2</v>
      </c>
      <c r="AE2765" s="10" t="b">
        <f t="shared" si="2008"/>
        <v>1</v>
      </c>
      <c r="AP2765"/>
      <c r="AQ2765"/>
      <c r="AU2765" s="13" cm="1">
        <f t="array" ref="AU2765">$C2765*EXP(poly_from_str(100000000/$E2765,AU$4343))</f>
        <v>0.86254440848908087</v>
      </c>
    </row>
    <row r="2766" spans="1:51" x14ac:dyDescent="0.25">
      <c r="A2766">
        <v>2735.652</v>
      </c>
      <c r="B2766" s="2" t="str">
        <f t="shared" si="2000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2014">$G2766&amp;""</f>
        <v>e</v>
      </c>
      <c r="N2766" t="str">
        <f t="shared" ref="N2766:N2768" si="2015">$H2766&amp;""</f>
        <v>11/2</v>
      </c>
      <c r="O2766">
        <v>67049.179999999993</v>
      </c>
      <c r="P2766" t="str">
        <f t="shared" ref="P2766:P2768" si="2016">$J2766&amp;""</f>
        <v>o</v>
      </c>
      <c r="Q2766" t="str">
        <f t="shared" ref="Q2766:Q2768" si="2017">$K2766&amp;""</f>
        <v>9/2</v>
      </c>
      <c r="R2766">
        <v>27</v>
      </c>
      <c r="AA2766" s="10">
        <f t="shared" si="2005"/>
        <v>2735.652</v>
      </c>
      <c r="AB2766" s="3">
        <f t="shared" si="2006"/>
        <v>36543.54</v>
      </c>
      <c r="AC2766" s="3" cm="1">
        <f t="array" ref="AC2766">100000000/LvacE(AA2766)</f>
        <v>36543.541939157229</v>
      </c>
      <c r="AD2766" s="10">
        <f t="shared" si="2007"/>
        <v>1.1679128401411661E-2</v>
      </c>
      <c r="AE2766" s="10" t="b">
        <f t="shared" si="2008"/>
        <v>1</v>
      </c>
      <c r="AJ2766" t="s">
        <v>4706</v>
      </c>
      <c r="AK2766" t="s">
        <v>4862</v>
      </c>
      <c r="AL2766">
        <v>30505.72</v>
      </c>
      <c r="AM2766">
        <v>67049.179999999993</v>
      </c>
      <c r="AN2766" s="10" cm="1">
        <f t="array" ref="AN2766">Lair(100000000/($AM2766-$AL2766))</f>
        <v>2735.6581317598288</v>
      </c>
      <c r="AO2766" s="10">
        <f t="shared" ref="AO2766:AO2768" si="2018">100000000/($AM2766-$AL2766)</f>
        <v>2736.4677564740728</v>
      </c>
      <c r="AP2766" s="12">
        <v>16500000</v>
      </c>
      <c r="AQ2766" s="3">
        <v>1.2999999999999999E-2</v>
      </c>
      <c r="AR2766" s="3"/>
      <c r="AS2766" s="13">
        <f t="shared" ref="AS2766:AS2768" si="2019">EXP(AR$4341*$AM2766+AR$4342)*$AP2766/(100000000/($AM2766-$AL2766))</f>
        <v>3.4793290429616728</v>
      </c>
      <c r="AT2766" s="3"/>
      <c r="AU2766" s="13" cm="1">
        <f t="array" ref="AU2766">$C2766*EXP(poly_from_str(100000000/$E2766,AU$4343))</f>
        <v>1.7362227245736928</v>
      </c>
      <c r="AV2766" s="13"/>
      <c r="AW2766" s="13"/>
      <c r="AX2766" s="13"/>
      <c r="AY2766" s="13"/>
    </row>
    <row r="2767" spans="1:51" x14ac:dyDescent="0.25">
      <c r="A2767">
        <v>2735.402</v>
      </c>
      <c r="B2767" s="2" t="str">
        <f t="shared" si="2000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2014"/>
        <v>e</v>
      </c>
      <c r="N2767" t="str">
        <f t="shared" si="2015"/>
        <v>5/2</v>
      </c>
      <c r="O2767">
        <v>58158.080000000002</v>
      </c>
      <c r="P2767" t="str">
        <f t="shared" si="2016"/>
        <v>o</v>
      </c>
      <c r="Q2767" t="str">
        <f t="shared" si="2017"/>
        <v>7/2</v>
      </c>
      <c r="R2767">
        <v>27</v>
      </c>
      <c r="AA2767" s="10">
        <f t="shared" si="2005"/>
        <v>2735.402</v>
      </c>
      <c r="AB2767" s="3">
        <f t="shared" si="2006"/>
        <v>36546.879999999997</v>
      </c>
      <c r="AC2767" s="3" cm="1">
        <f t="array" ref="AC2767">100000000/LvacE(AA2767)</f>
        <v>36546.881629000025</v>
      </c>
      <c r="AD2767" s="10">
        <f t="shared" si="2007"/>
        <v>1.1680349292169857E-2</v>
      </c>
      <c r="AE2767" s="10" t="b">
        <f t="shared" si="2008"/>
        <v>1</v>
      </c>
      <c r="AJ2767" t="s">
        <v>4796</v>
      </c>
      <c r="AK2767" t="s">
        <v>4902</v>
      </c>
      <c r="AL2767">
        <v>21611.19</v>
      </c>
      <c r="AM2767">
        <v>58158.080000000002</v>
      </c>
      <c r="AN2767" s="10" cm="1">
        <f t="array" ref="AN2767">Lair(100000000/($AM2767-$AL2767))</f>
        <v>2735.4013708758275</v>
      </c>
      <c r="AO2767" s="10">
        <f t="shared" si="2018"/>
        <v>2736.2109334063721</v>
      </c>
      <c r="AP2767" s="12">
        <v>6760000</v>
      </c>
      <c r="AQ2767" s="3">
        <v>4.1000000000000002E-2</v>
      </c>
      <c r="AR2767" s="3"/>
      <c r="AS2767" s="13">
        <f t="shared" si="2019"/>
        <v>2.7783134858425353</v>
      </c>
      <c r="AT2767" s="3"/>
      <c r="AU2767" s="13" cm="1">
        <f t="array" ref="AU2767">$C2767*EXP(poly_from_str(100000000/$E2767,AU$4343))</f>
        <v>6.9678957945401923</v>
      </c>
      <c r="AV2767" s="13"/>
      <c r="AW2767" s="13"/>
      <c r="AX2767" s="13"/>
      <c r="AY2767" s="13"/>
    </row>
    <row r="2768" spans="1:51" x14ac:dyDescent="0.25">
      <c r="A2768">
        <v>2734.3679999999999</v>
      </c>
      <c r="B2768" s="2" t="str">
        <f t="shared" si="2000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2014"/>
        <v>e</v>
      </c>
      <c r="N2768" t="str">
        <f t="shared" si="2015"/>
        <v>5/2</v>
      </c>
      <c r="O2768">
        <v>85306.1</v>
      </c>
      <c r="P2768" t="str">
        <f t="shared" si="2016"/>
        <v>o</v>
      </c>
      <c r="Q2768" t="str">
        <f t="shared" si="2017"/>
        <v>5/2</v>
      </c>
      <c r="R2768">
        <v>27</v>
      </c>
      <c r="AA2768" s="10">
        <f t="shared" si="2005"/>
        <v>2734.3679999999999</v>
      </c>
      <c r="AB2768" s="3">
        <f t="shared" si="2006"/>
        <v>36560.699999999997</v>
      </c>
      <c r="AC2768" s="3" cm="1">
        <f t="array" ref="AC2768">100000000/LvacE(AA2768)</f>
        <v>36560.701071817341</v>
      </c>
      <c r="AD2768" s="10">
        <f t="shared" si="2007"/>
        <v>1.1685402453476882E-2</v>
      </c>
      <c r="AE2768" s="10" t="b">
        <f t="shared" si="2008"/>
        <v>1</v>
      </c>
      <c r="AJ2768" t="s">
        <v>4762</v>
      </c>
      <c r="AK2768" t="s">
        <v>4929</v>
      </c>
      <c r="AL2768">
        <v>48745.48</v>
      </c>
      <c r="AM2768">
        <v>85306.1</v>
      </c>
      <c r="AN2768" s="10" cm="1">
        <f t="array" ref="AN2768">Lair(100000000/($AM2768-$AL2768))</f>
        <v>2734.3740611462458</v>
      </c>
      <c r="AO2768" s="10">
        <f t="shared" si="2018"/>
        <v>2735.183374899003</v>
      </c>
      <c r="AP2768" s="12">
        <v>215000000</v>
      </c>
      <c r="AQ2768" s="3">
        <v>0.58799999999999997</v>
      </c>
      <c r="AR2768" s="3">
        <f>LN(AU2768*100000000/($AM2768-$AL2768)/AP2768)</f>
        <v>-9.3172624947521854</v>
      </c>
      <c r="AS2768" s="13">
        <f t="shared" si="2019"/>
        <v>11.524369668673835</v>
      </c>
      <c r="AT2768" s="3">
        <f t="shared" ref="AT2768" si="2020">LN(AS2768/$C2768)</f>
        <v>0.36502235318430803</v>
      </c>
      <c r="AU2768" s="13" cm="1">
        <f t="array" ref="AU2768">$C2768*EXP(poly_from_str(100000000/$E2768,AU$4343))</f>
        <v>7.063441033205903</v>
      </c>
      <c r="AV2768" s="13">
        <f>LN(AS2768/AU2768)</f>
        <v>0.48953156362795602</v>
      </c>
      <c r="AW2768" s="13"/>
      <c r="AX2768" s="13"/>
      <c r="AY2768" s="13"/>
    </row>
    <row r="2769" spans="1:51" x14ac:dyDescent="0.25">
      <c r="A2769">
        <v>2733.8270000000002</v>
      </c>
      <c r="B2769" s="2" t="str">
        <f t="shared" si="2000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2005"/>
        <v>2733.8270000000002</v>
      </c>
      <c r="AB2769" s="3">
        <f t="shared" si="2006"/>
        <v>36567.94</v>
      </c>
      <c r="AC2769" s="3" cm="1">
        <f t="array" ref="AC2769">100000000/LvacE(AA2769)</f>
        <v>36567.935719170215</v>
      </c>
      <c r="AD2769" s="10">
        <f t="shared" si="2007"/>
        <v>1.1688048607166842E-2</v>
      </c>
      <c r="AE2769" s="10" t="b">
        <f t="shared" si="2008"/>
        <v>1</v>
      </c>
      <c r="AP2769"/>
      <c r="AQ2769"/>
      <c r="AU2769" s="13" cm="1">
        <f t="array" ref="AU2769">$C2769*EXP(poly_from_str(100000000/$E2769,AU$4343))</f>
        <v>0.88921537386860927</v>
      </c>
    </row>
    <row r="2770" spans="1:51" x14ac:dyDescent="0.25">
      <c r="A2770">
        <v>2733.7460000000001</v>
      </c>
      <c r="B2770" s="2" t="str">
        <f t="shared" si="2000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2021">$G2770&amp;""</f>
        <v>e</v>
      </c>
      <c r="N2770" t="str">
        <f t="shared" ref="N2770:N2773" si="2022">$H2770&amp;""</f>
        <v>9/2</v>
      </c>
      <c r="O2770">
        <v>61357.04</v>
      </c>
      <c r="P2770" t="str">
        <f t="shared" ref="P2770:P2773" si="2023">$J2770&amp;""</f>
        <v>o</v>
      </c>
      <c r="Q2770" t="str">
        <f t="shared" ref="Q2770:Q2773" si="2024">$K2770&amp;""</f>
        <v>9/2</v>
      </c>
      <c r="R2770">
        <v>27</v>
      </c>
      <c r="AA2770" s="10">
        <f t="shared" si="2005"/>
        <v>2733.7460000000001</v>
      </c>
      <c r="AB2770" s="3">
        <f t="shared" si="2006"/>
        <v>36569.019999999997</v>
      </c>
      <c r="AC2770" s="3" cm="1">
        <f t="array" ref="AC2770">100000000/LvacE(AA2770)</f>
        <v>36569.0191567941</v>
      </c>
      <c r="AD2770" s="10">
        <f t="shared" si="2007"/>
        <v>1.1688444931751907E-2</v>
      </c>
      <c r="AE2770" s="10" t="b">
        <f t="shared" si="2008"/>
        <v>1</v>
      </c>
      <c r="AJ2770" t="s">
        <v>4705</v>
      </c>
      <c r="AK2770" t="s">
        <v>4903</v>
      </c>
      <c r="AL2770">
        <v>24788.02</v>
      </c>
      <c r="AM2770">
        <v>61357.04</v>
      </c>
      <c r="AN2770" s="10" cm="1">
        <f t="array" ref="AN2770">Lair(100000000/($AM2770-$AL2770))</f>
        <v>2733.745934429719</v>
      </c>
      <c r="AO2770" s="10">
        <f t="shared" ref="AO2770:AO2773" si="2025">100000000/($AM2770-$AL2770)</f>
        <v>2734.5550960895312</v>
      </c>
      <c r="AP2770" s="12">
        <v>8270000</v>
      </c>
      <c r="AQ2770" s="3">
        <v>2.5999999999999999E-2</v>
      </c>
      <c r="AR2770" s="3"/>
      <c r="AS2770" s="13">
        <f t="shared" ref="AS2770:AS2771" si="2026">EXP(AR$4341*$AM2770+AR$4342)*$AP2770/(100000000/($AM2770-$AL2770))</f>
        <v>2.6751072153468396</v>
      </c>
      <c r="AT2770" s="3"/>
      <c r="AU2770" s="13" cm="1">
        <f t="array" ref="AU2770">$C2770*EXP(poly_from_str(100000000/$E2770,AU$4343))</f>
        <v>2.6704638534848173</v>
      </c>
      <c r="AV2770" s="13"/>
      <c r="AW2770" s="13"/>
      <c r="AX2770" s="13"/>
      <c r="AY2770" s="13"/>
    </row>
    <row r="2771" spans="1:51" x14ac:dyDescent="0.25">
      <c r="A2771">
        <v>2733.2809999999999</v>
      </c>
      <c r="B2771" s="2" t="str">
        <f t="shared" si="2000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2021"/>
        <v>e</v>
      </c>
      <c r="N2771" t="str">
        <f t="shared" si="2022"/>
        <v>9/2</v>
      </c>
      <c r="O2771">
        <v>65295.9</v>
      </c>
      <c r="P2771" t="str">
        <f t="shared" si="2023"/>
        <v>o</v>
      </c>
      <c r="Q2771" t="str">
        <f t="shared" si="2024"/>
        <v>7/2</v>
      </c>
      <c r="R2771">
        <v>27</v>
      </c>
      <c r="AA2771" s="10">
        <f t="shared" si="2005"/>
        <v>2733.2809999999999</v>
      </c>
      <c r="AB2771" s="3">
        <f t="shared" si="2006"/>
        <v>36575.24</v>
      </c>
      <c r="AC2771" s="3" cm="1">
        <f t="array" ref="AC2771">100000000/LvacE(AA2771)</f>
        <v>36575.240133632811</v>
      </c>
      <c r="AD2771" s="10">
        <f t="shared" si="2007"/>
        <v>1.1690720810197125E-2</v>
      </c>
      <c r="AE2771" s="10" t="b">
        <f t="shared" si="2008"/>
        <v>1</v>
      </c>
      <c r="AJ2771" t="s">
        <v>4708</v>
      </c>
      <c r="AK2771" t="s">
        <v>4825</v>
      </c>
      <c r="AL2771">
        <v>28720.71</v>
      </c>
      <c r="AM2771">
        <v>65295.9</v>
      </c>
      <c r="AN2771" s="10" cm="1">
        <f t="array" ref="AN2771">Lair(100000000/($AM2771-$AL2771))</f>
        <v>2733.2847441846238</v>
      </c>
      <c r="AO2771" s="10">
        <f t="shared" si="2025"/>
        <v>2734.0937941812467</v>
      </c>
      <c r="AP2771" s="12">
        <v>1400000</v>
      </c>
      <c r="AQ2771" s="3">
        <v>1E-3</v>
      </c>
      <c r="AR2771" s="3"/>
      <c r="AS2771" s="13">
        <f t="shared" si="2026"/>
        <v>0.33702344369645426</v>
      </c>
      <c r="AT2771" s="3"/>
      <c r="AU2771" s="13" cm="1">
        <f t="array" ref="AU2771">$C2771*EXP(poly_from_str(100000000/$E2771,AU$4343))</f>
        <v>8.0601510957167992</v>
      </c>
      <c r="AV2771" s="13"/>
      <c r="AW2771" s="13"/>
      <c r="AX2771" s="13"/>
      <c r="AY2771" s="13"/>
    </row>
    <row r="2772" spans="1:51" x14ac:dyDescent="0.25">
      <c r="A2772">
        <v>2732.9520000000002</v>
      </c>
      <c r="B2772" s="2" t="str">
        <f t="shared" si="2000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2021"/>
        <v>o</v>
      </c>
      <c r="N2772" t="str">
        <f t="shared" si="2022"/>
        <v>7/2</v>
      </c>
      <c r="O2772">
        <v>105566.62</v>
      </c>
      <c r="P2772" t="str">
        <f t="shared" si="2023"/>
        <v>e</v>
      </c>
      <c r="Q2772" t="str">
        <f t="shared" si="2024"/>
        <v>9/2</v>
      </c>
      <c r="R2772">
        <v>27</v>
      </c>
      <c r="AA2772" s="10">
        <f t="shared" si="2005"/>
        <v>2732.9520000000002</v>
      </c>
      <c r="AB2772" s="3">
        <f t="shared" si="2006"/>
        <v>36579.64</v>
      </c>
      <c r="AC2772" s="3" cm="1">
        <f t="array" ref="AC2772">100000000/LvacE(AA2772)</f>
        <v>36579.642920613624</v>
      </c>
      <c r="AD2772" s="10">
        <f t="shared" si="2007"/>
        <v>1.1692331757128121E-2</v>
      </c>
      <c r="AE2772" s="10" t="b">
        <f t="shared" si="2008"/>
        <v>1</v>
      </c>
      <c r="AJ2772" t="s">
        <v>4920</v>
      </c>
      <c r="AK2772" t="s">
        <v>4878</v>
      </c>
      <c r="AL2772">
        <v>68987.070000000007</v>
      </c>
      <c r="AM2772">
        <v>105566.62</v>
      </c>
      <c r="AN2772" s="10" cm="1">
        <f t="array" ref="AN2772">Lair(100000000/($AM2772-$AL2772))</f>
        <v>2732.9589401883513</v>
      </c>
      <c r="AO2772" s="10">
        <f t="shared" si="2025"/>
        <v>2733.7679113056347</v>
      </c>
      <c r="AU2772" s="13" cm="1">
        <f t="array" ref="AU2772">$C2772*EXP(poly_from_str(100000000/$E2772,AU$4343))</f>
        <v>0.89941340459460217</v>
      </c>
    </row>
    <row r="2773" spans="1:51" x14ac:dyDescent="0.25">
      <c r="A2773">
        <v>2732.665</v>
      </c>
      <c r="B2773" s="2" t="str">
        <f t="shared" si="2000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2021"/>
        <v>e</v>
      </c>
      <c r="N2773" t="str">
        <f t="shared" si="2022"/>
        <v>11/2</v>
      </c>
      <c r="O2773">
        <v>62678.7</v>
      </c>
      <c r="P2773" t="str">
        <f t="shared" si="2023"/>
        <v>o</v>
      </c>
      <c r="Q2773" t="str">
        <f t="shared" si="2024"/>
        <v>13/2</v>
      </c>
      <c r="R2773">
        <v>27</v>
      </c>
      <c r="AA2773" s="10">
        <f t="shared" si="2005"/>
        <v>2732.665</v>
      </c>
      <c r="AB2773" s="3">
        <f t="shared" si="2006"/>
        <v>36583.480000000003</v>
      </c>
      <c r="AC2773" s="3" cm="1">
        <f t="array" ref="AC2773">100000000/LvacE(AA2773)</f>
        <v>36583.484515377495</v>
      </c>
      <c r="AD2773" s="10">
        <f t="shared" si="2007"/>
        <v>1.1693737526439849E-2</v>
      </c>
      <c r="AE2773" s="10" t="b">
        <f t="shared" si="2008"/>
        <v>1</v>
      </c>
      <c r="AJ2773" t="s">
        <v>4738</v>
      </c>
      <c r="AK2773" t="s">
        <v>4888</v>
      </c>
      <c r="AL2773">
        <v>26095.23</v>
      </c>
      <c r="AM2773">
        <v>62678.7</v>
      </c>
      <c r="AN2773" s="10" cm="1">
        <f t="array" ref="AN2773">Lair(100000000/($AM2773-$AL2773))</f>
        <v>2732.6660817896445</v>
      </c>
      <c r="AO2773" s="10">
        <f t="shared" si="2025"/>
        <v>2733.474982006901</v>
      </c>
      <c r="AP2773" s="12">
        <v>16700000</v>
      </c>
      <c r="AQ2773" s="3">
        <v>9.9000000000000005E-2</v>
      </c>
      <c r="AR2773" s="3">
        <f>LN(AU2773*100000000/($AM2773-$AL2773)/AP2773)</f>
        <v>-6.8739660903718924</v>
      </c>
      <c r="AS2773" s="13">
        <f>EXP(AR$4341*$AM2773+AR$4342)*$AP2773/(100000000/($AM2773-$AL2773))</f>
        <v>4.8938163311848824</v>
      </c>
      <c r="AT2773" s="3">
        <f>LN(AS2773/$C2773)</f>
        <v>-0.35793771412508524</v>
      </c>
      <c r="AU2773" s="13" cm="1">
        <f t="array" ref="AU2773">$C2773*EXP(poly_from_str(100000000/$E2773,AU$4343))</f>
        <v>6.3193997102240669</v>
      </c>
      <c r="AV2773" s="13">
        <f>LN(AS2773/AU2773)</f>
        <v>-0.25565178615792605</v>
      </c>
      <c r="AW2773" s="13"/>
      <c r="AX2773" s="13"/>
      <c r="AY2773" s="13"/>
    </row>
    <row r="2774" spans="1:51" x14ac:dyDescent="0.25">
      <c r="A2774">
        <v>2731.453</v>
      </c>
      <c r="B2774" s="2" t="str">
        <f t="shared" si="2000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2005"/>
        <v>2731.453</v>
      </c>
      <c r="AB2774" s="3">
        <f t="shared" si="2006"/>
        <v>36599.72</v>
      </c>
      <c r="AC2774" s="3" cm="1">
        <f t="array" ref="AC2774">100000000/LvacE(AA2774)</f>
        <v>36599.7164588792</v>
      </c>
      <c r="AD2774" s="10">
        <f t="shared" si="2007"/>
        <v>1.1699678972854229E-2</v>
      </c>
      <c r="AE2774" s="10" t="b">
        <f t="shared" si="2008"/>
        <v>1</v>
      </c>
      <c r="AP2774"/>
      <c r="AQ2774"/>
      <c r="AU2774" s="13" cm="1">
        <f t="array" ref="AU2774">$C2774*EXP(poly_from_str(100000000/$E2774,AU$4343))</f>
        <v>0.91703194937224863</v>
      </c>
    </row>
    <row r="2775" spans="1:51" x14ac:dyDescent="0.25">
      <c r="A2775">
        <v>2731.3339999999998</v>
      </c>
      <c r="B2775" s="2" t="str">
        <f t="shared" si="2000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2005"/>
        <v>2731.3339999999998</v>
      </c>
      <c r="AB2775" s="3">
        <f t="shared" si="2006"/>
        <v>36601.31</v>
      </c>
      <c r="AC2775" s="3" cm="1">
        <f t="array" ref="AC2775">100000000/LvacE(AA2775)</f>
        <v>36601.310965865894</v>
      </c>
      <c r="AD2775" s="10">
        <f t="shared" si="2007"/>
        <v>1.1700262759125377E-2</v>
      </c>
      <c r="AE2775" s="10" t="b">
        <f t="shared" si="2008"/>
        <v>1</v>
      </c>
      <c r="AP2775"/>
      <c r="AQ2775"/>
      <c r="AU2775" s="13" cm="1">
        <f t="array" ref="AU2775">$C2775*EXP(poly_from_str(100000000/$E2775,AU$4343))</f>
        <v>0.91843324697506379</v>
      </c>
    </row>
    <row r="2776" spans="1:51" x14ac:dyDescent="0.25">
      <c r="A2776">
        <v>2730.422</v>
      </c>
      <c r="B2776" s="2" t="str">
        <f t="shared" si="2000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2005"/>
        <v>2730.422</v>
      </c>
      <c r="AB2776" s="3">
        <f t="shared" si="2006"/>
        <v>36613.54</v>
      </c>
      <c r="AC2776" s="3" cm="1">
        <f t="array" ref="AC2776">100000000/LvacE(AA2776)</f>
        <v>36613.535666840369</v>
      </c>
      <c r="AD2776" s="10">
        <f t="shared" si="2007"/>
        <v>1.1704739352898631E-2</v>
      </c>
      <c r="AE2776" s="10" t="b">
        <f t="shared" si="2008"/>
        <v>1</v>
      </c>
      <c r="AP2776"/>
      <c r="AQ2776"/>
      <c r="AU2776" s="13" cm="1">
        <f t="array" ref="AU2776">$C2776*EXP(poly_from_str(100000000/$E2776,AU$4343))</f>
        <v>0.92924183542334315</v>
      </c>
    </row>
    <row r="2777" spans="1:51" x14ac:dyDescent="0.25">
      <c r="A2777">
        <v>2730.259</v>
      </c>
      <c r="B2777" s="2" t="str">
        <f t="shared" si="2000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2027">$G2777&amp;""</f>
        <v>e</v>
      </c>
      <c r="N2777" t="str">
        <f t="shared" ref="N2777:N2781" si="2028">$H2777&amp;""</f>
        <v>9/2</v>
      </c>
      <c r="O2777">
        <v>75640</v>
      </c>
      <c r="P2777" t="str">
        <f t="shared" ref="P2777:P2781" si="2029">$J2777&amp;""</f>
        <v>o</v>
      </c>
      <c r="Q2777" t="str">
        <f t="shared" ref="Q2777:Q2781" si="2030">$K2777&amp;""</f>
        <v>11/2</v>
      </c>
      <c r="R2777">
        <v>27</v>
      </c>
      <c r="AA2777" s="10">
        <f t="shared" si="2005"/>
        <v>2730.259</v>
      </c>
      <c r="AB2777" s="3">
        <f t="shared" si="2006"/>
        <v>36615.72</v>
      </c>
      <c r="AC2777" s="3" cm="1">
        <f t="array" ref="AC2777">100000000/LvacE(AA2777)</f>
        <v>36615.721424240633</v>
      </c>
      <c r="AD2777" s="10">
        <f t="shared" si="2007"/>
        <v>1.1705539918418113E-2</v>
      </c>
      <c r="AE2777" s="10" t="b">
        <f t="shared" si="2008"/>
        <v>1</v>
      </c>
      <c r="AJ2777" t="s">
        <v>4702</v>
      </c>
      <c r="AK2777" t="s">
        <v>4938</v>
      </c>
      <c r="AL2777">
        <v>39024.269999999997</v>
      </c>
      <c r="AM2777">
        <v>75640</v>
      </c>
      <c r="AN2777" s="10" cm="1">
        <f t="array" ref="AN2777">Lair(100000000/($AM2777-$AL2777))</f>
        <v>2730.2583580205446</v>
      </c>
      <c r="AO2777" s="10">
        <f t="shared" ref="AO2777:AO2781" si="2031">100000000/($AM2777-$AL2777)</f>
        <v>2731.0666754424942</v>
      </c>
      <c r="AP2777" s="12">
        <v>28300000</v>
      </c>
      <c r="AQ2777" s="3">
        <v>0.185</v>
      </c>
      <c r="AR2777" s="3">
        <f>LN(AU2777*100000000/($AM2777-$AL2777)/AP2777)</f>
        <v>-8.2186216393683544</v>
      </c>
      <c r="AS2777" s="13">
        <f t="shared" ref="AS2777:AS2781" si="2032">EXP(AR$4341*$AM2777+AR$4342)*$AP2777/(100000000/($AM2777-$AL2777))</f>
        <v>3.1380556291349988</v>
      </c>
      <c r="AT2777" s="3">
        <f t="shared" ref="AT2777:AT2780" si="2033">LN(AS2777/$C2777)</f>
        <v>4.4991093062080913E-2</v>
      </c>
      <c r="AU2777" s="13" cm="1">
        <f t="array" ref="AU2777">$C2777*EXP(poly_from_str(100000000/$E2777,AU$4343))</f>
        <v>2.7935220627487549</v>
      </c>
      <c r="AV2777" s="13">
        <f>LN(AS2777/AU2777)</f>
        <v>0.11630019395680398</v>
      </c>
      <c r="AW2777" s="13"/>
      <c r="AX2777" s="13"/>
      <c r="AY2777" s="13"/>
    </row>
    <row r="2778" spans="1:51" x14ac:dyDescent="0.25">
      <c r="A2778">
        <v>2729.7190000000001</v>
      </c>
      <c r="B2778" s="2" t="str">
        <f t="shared" si="2000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2027"/>
        <v>e</v>
      </c>
      <c r="N2778" t="str">
        <f t="shared" si="2028"/>
        <v>9/2</v>
      </c>
      <c r="O2778">
        <v>58158.080000000002</v>
      </c>
      <c r="P2778" t="str">
        <f t="shared" si="2029"/>
        <v>o</v>
      </c>
      <c r="Q2778" t="str">
        <f t="shared" si="2030"/>
        <v>7/2</v>
      </c>
      <c r="R2778">
        <v>27</v>
      </c>
      <c r="AA2778" s="10">
        <f t="shared" si="2005"/>
        <v>2729.7190000000001</v>
      </c>
      <c r="AB2778" s="3">
        <f t="shared" si="2006"/>
        <v>36622.959999999999</v>
      </c>
      <c r="AC2778" s="3" cm="1">
        <f t="array" ref="AC2778">100000000/LvacE(AA2778)</f>
        <v>36622.964448398496</v>
      </c>
      <c r="AD2778" s="10">
        <f t="shared" si="2007"/>
        <v>1.1708193123247942E-2</v>
      </c>
      <c r="AE2778" s="10" t="b">
        <f t="shared" si="2008"/>
        <v>1</v>
      </c>
      <c r="AJ2778" t="s">
        <v>4798</v>
      </c>
      <c r="AK2778" t="s">
        <v>4902</v>
      </c>
      <c r="AL2778">
        <v>21535.17</v>
      </c>
      <c r="AM2778">
        <v>58158.080000000002</v>
      </c>
      <c r="AN2778" s="10" cm="1">
        <f t="array" ref="AN2778">Lair(100000000/($AM2778-$AL2778))</f>
        <v>2729.7230560905518</v>
      </c>
      <c r="AO2778" s="10">
        <f t="shared" si="2031"/>
        <v>2730.5312439672321</v>
      </c>
      <c r="AP2778" s="12">
        <v>4530000</v>
      </c>
      <c r="AQ2778" s="3">
        <v>2.4E-2</v>
      </c>
      <c r="AR2778" s="3"/>
      <c r="AS2778" s="13">
        <f t="shared" si="2032"/>
        <v>1.8656714973437296</v>
      </c>
      <c r="AT2778" s="3"/>
      <c r="AU2778" s="13" cm="1">
        <f t="array" ref="AU2778">$C2778*EXP(poly_from_str(100000000/$E2778,AU$4343))</f>
        <v>6.5632207167841345</v>
      </c>
      <c r="AV2778" s="13"/>
      <c r="AW2778" s="13"/>
      <c r="AX2778" s="13"/>
      <c r="AY2778" s="13"/>
    </row>
    <row r="2779" spans="1:51" x14ac:dyDescent="0.25">
      <c r="A2779">
        <v>2729.1849999999999</v>
      </c>
      <c r="B2779" s="2" t="str">
        <f t="shared" si="2000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2027"/>
        <v>e</v>
      </c>
      <c r="N2779" t="str">
        <f t="shared" si="2028"/>
        <v>7/2</v>
      </c>
      <c r="O2779">
        <v>63768.66</v>
      </c>
      <c r="P2779" t="str">
        <f t="shared" si="2029"/>
        <v>o</v>
      </c>
      <c r="Q2779" t="str">
        <f t="shared" si="2030"/>
        <v>7/2</v>
      </c>
      <c r="R2779">
        <v>27</v>
      </c>
      <c r="AA2779" s="10">
        <f t="shared" si="2005"/>
        <v>2729.1849999999999</v>
      </c>
      <c r="AB2779" s="3">
        <f t="shared" si="2006"/>
        <v>36630.129999999997</v>
      </c>
      <c r="AC2779" s="3" cm="1">
        <f t="array" ref="AC2779">100000000/LvacE(AA2779)</f>
        <v>36630.129812865482</v>
      </c>
      <c r="AD2779" s="10">
        <f t="shared" si="2007"/>
        <v>1.1710818396859408E-2</v>
      </c>
      <c r="AE2779" s="10" t="b">
        <f t="shared" si="2008"/>
        <v>1</v>
      </c>
      <c r="AJ2779" t="s">
        <v>4723</v>
      </c>
      <c r="AK2779" t="s">
        <v>4850</v>
      </c>
      <c r="AL2779">
        <v>27138.55</v>
      </c>
      <c r="AM2779">
        <v>63768.66</v>
      </c>
      <c r="AN2779" s="10" cm="1">
        <f t="array" ref="AN2779">Lair(100000000/($AM2779-$AL2779))</f>
        <v>2729.1864737899423</v>
      </c>
      <c r="AO2779" s="10">
        <f t="shared" si="2031"/>
        <v>2729.9945318209529</v>
      </c>
      <c r="AP2779" s="12">
        <v>67900000</v>
      </c>
      <c r="AQ2779" s="3">
        <v>0.193</v>
      </c>
      <c r="AR2779" s="3">
        <f t="shared" ref="AR2779:AR2780" si="2034">LN(AU2779*100000000/($AM2779-$AL2779)/AP2779)</f>
        <v>-7.9819092342197644</v>
      </c>
      <c r="AS2779" s="13">
        <f t="shared" si="2032"/>
        <v>18.358191247632227</v>
      </c>
      <c r="AT2779" s="3">
        <f t="shared" si="2033"/>
        <v>0.71285128707894196</v>
      </c>
      <c r="AU2779" s="13" cm="1">
        <f t="array" ref="AU2779">$C2779*EXP(poly_from_str(100000000/$E2779,AU$4343))</f>
        <v>8.4958896260252477</v>
      </c>
      <c r="AV2779" s="13">
        <f t="shared" ref="AV2779:AV2780" si="2035">LN(AS2779/AU2779)</f>
        <v>0.77049339128701289</v>
      </c>
      <c r="AW2779" s="13"/>
      <c r="AX2779" s="13"/>
      <c r="AY2779" s="13"/>
    </row>
    <row r="2780" spans="1:51" x14ac:dyDescent="0.25">
      <c r="A2780">
        <v>2728.529</v>
      </c>
      <c r="B2780" s="2" t="str">
        <f t="shared" si="2000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2027"/>
        <v>e</v>
      </c>
      <c r="N2780" t="str">
        <f t="shared" si="2028"/>
        <v>9/2</v>
      </c>
      <c r="O2780">
        <v>58174.15</v>
      </c>
      <c r="P2780" t="str">
        <f t="shared" si="2029"/>
        <v>o</v>
      </c>
      <c r="Q2780" t="str">
        <f t="shared" si="2030"/>
        <v>9/2</v>
      </c>
      <c r="R2780">
        <v>27</v>
      </c>
      <c r="AA2780" s="10">
        <f t="shared" si="2005"/>
        <v>2728.529</v>
      </c>
      <c r="AB2780" s="3">
        <f t="shared" si="2006"/>
        <v>36638.94</v>
      </c>
      <c r="AC2780" s="3" cm="1">
        <f t="array" ref="AC2780">100000000/LvacE(AA2780)</f>
        <v>36638.936046795556</v>
      </c>
      <c r="AD2780" s="10">
        <f t="shared" si="2007"/>
        <v>1.1714045562058449E-2</v>
      </c>
      <c r="AE2780" s="10" t="b">
        <f t="shared" si="2008"/>
        <v>1</v>
      </c>
      <c r="AJ2780" t="s">
        <v>4798</v>
      </c>
      <c r="AK2780" t="s">
        <v>4698</v>
      </c>
      <c r="AL2780">
        <v>21535.17</v>
      </c>
      <c r="AM2780">
        <v>58174.15</v>
      </c>
      <c r="AN2780" s="10" cm="1">
        <f t="array" ref="AN2780">Lair(100000000/($AM2780-$AL2780))</f>
        <v>2728.5257241272498</v>
      </c>
      <c r="AO2780" s="10">
        <f t="shared" si="2031"/>
        <v>2729.3336222787857</v>
      </c>
      <c r="AP2780" s="12">
        <v>17500000</v>
      </c>
      <c r="AQ2780" s="3">
        <v>9.9000000000000005E-2</v>
      </c>
      <c r="AR2780" s="3">
        <f t="shared" si="2034"/>
        <v>-6.7357973803025217</v>
      </c>
      <c r="AS2780" s="13">
        <f t="shared" si="2032"/>
        <v>7.2018121411033942</v>
      </c>
      <c r="AT2780" s="3">
        <f t="shared" si="2033"/>
        <v>-0.1051088610611404</v>
      </c>
      <c r="AU2780" s="13" cm="1">
        <f t="array" ref="AU2780">$C2780*EXP(poly_from_str(100000000/$E2780,AU$4343))</f>
        <v>7.6148576637633081</v>
      </c>
      <c r="AV2780" s="13">
        <f t="shared" si="2035"/>
        <v>-5.5768613992782601E-2</v>
      </c>
      <c r="AW2780" s="13"/>
      <c r="AX2780" s="13"/>
      <c r="AY2780" s="13"/>
    </row>
    <row r="2781" spans="1:51" x14ac:dyDescent="0.25">
      <c r="A2781">
        <v>2728.3290000000002</v>
      </c>
      <c r="B2781" s="2" t="str">
        <f t="shared" si="2000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2027"/>
        <v>e</v>
      </c>
      <c r="N2781" t="str">
        <f t="shared" si="2028"/>
        <v>5/2</v>
      </c>
      <c r="O2781">
        <v>65909.440000000002</v>
      </c>
      <c r="P2781" t="str">
        <f t="shared" si="2029"/>
        <v>o</v>
      </c>
      <c r="Q2781" t="str">
        <f t="shared" si="2030"/>
        <v>5/2</v>
      </c>
      <c r="R2781">
        <v>27</v>
      </c>
      <c r="AA2781" s="10">
        <f t="shared" si="2005"/>
        <v>2728.3290000000002</v>
      </c>
      <c r="AB2781" s="3">
        <f t="shared" si="2006"/>
        <v>36641.620000000003</v>
      </c>
      <c r="AC2781" s="3" cm="1">
        <f t="array" ref="AC2781">100000000/LvacE(AA2781)</f>
        <v>36641.621716481379</v>
      </c>
      <c r="AD2781" s="10">
        <f t="shared" si="2007"/>
        <v>1.1715029916934757E-2</v>
      </c>
      <c r="AE2781" s="10" t="b">
        <f t="shared" si="2008"/>
        <v>1</v>
      </c>
      <c r="AJ2781" t="s">
        <v>4700</v>
      </c>
      <c r="AK2781" t="s">
        <v>4907</v>
      </c>
      <c r="AL2781">
        <v>29267.86</v>
      </c>
      <c r="AM2781">
        <v>65909.440000000002</v>
      </c>
      <c r="AN2781" s="10" cm="1">
        <f t="array" ref="AN2781">Lair(100000000/($AM2781-$AL2781))</f>
        <v>2728.3321039047582</v>
      </c>
      <c r="AO2781" s="10">
        <f t="shared" si="2031"/>
        <v>2729.1399552093549</v>
      </c>
      <c r="AP2781" s="12">
        <v>2890000</v>
      </c>
      <c r="AQ2781" s="3">
        <v>1.7999999999999999E-2</v>
      </c>
      <c r="AR2781" s="3"/>
      <c r="AS2781" s="13">
        <f t="shared" si="2032"/>
        <v>0.66561144854072418</v>
      </c>
      <c r="AT2781" s="3"/>
      <c r="AU2781" s="13" cm="1">
        <f t="array" ref="AU2781">$C2781*EXP(poly_from_str(100000000/$E2781,AU$4343))</f>
        <v>0.95425637524214679</v>
      </c>
      <c r="AV2781" s="13"/>
      <c r="AW2781" s="13"/>
      <c r="AX2781" s="13"/>
      <c r="AY2781" s="13"/>
    </row>
    <row r="2782" spans="1:51" x14ac:dyDescent="0.25">
      <c r="A2782">
        <v>2727.8879999999999</v>
      </c>
      <c r="B2782" s="2" t="str">
        <f t="shared" si="2000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2005"/>
        <v>2727.8879999999999</v>
      </c>
      <c r="AB2782" s="3">
        <f t="shared" si="2006"/>
        <v>36647.54</v>
      </c>
      <c r="AC2782" s="3" cm="1">
        <f t="array" ref="AC2782">100000000/LvacE(AA2782)</f>
        <v>36647.545009530986</v>
      </c>
      <c r="AD2782" s="10">
        <f t="shared" si="2007"/>
        <v>1.1717201184493459E-2</v>
      </c>
      <c r="AE2782" s="10" t="b">
        <f t="shared" si="2008"/>
        <v>1</v>
      </c>
      <c r="AP2782"/>
      <c r="AQ2782"/>
      <c r="AU2782" s="13" cm="1">
        <f t="array" ref="AU2782">$C2782*EXP(poly_from_str(100000000/$E2782,AU$4343))</f>
        <v>0.95956469004492428</v>
      </c>
    </row>
    <row r="2783" spans="1:51" x14ac:dyDescent="0.25">
      <c r="A2783">
        <v>2727.0039999999999</v>
      </c>
      <c r="B2783" s="2" t="str">
        <f t="shared" si="2000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2036">$G2783&amp;""</f>
        <v>e</v>
      </c>
      <c r="N2783" t="str">
        <f t="shared" ref="N2783:N2784" si="2037">$H2783&amp;""</f>
        <v>13/2</v>
      </c>
      <c r="O2783">
        <v>65922.42</v>
      </c>
      <c r="P2783" t="str">
        <f t="shared" ref="P2783:P2784" si="2038">$J2783&amp;""</f>
        <v>o</v>
      </c>
      <c r="Q2783" t="str">
        <f t="shared" ref="Q2783:Q2784" si="2039">$K2783&amp;""</f>
        <v>11/2</v>
      </c>
      <c r="R2783">
        <v>27</v>
      </c>
      <c r="AA2783" s="10">
        <f t="shared" si="2005"/>
        <v>2727.0039999999999</v>
      </c>
      <c r="AB2783" s="3">
        <f t="shared" si="2006"/>
        <v>36659.42</v>
      </c>
      <c r="AC2783" s="3" cm="1">
        <f t="array" ref="AC2783">100000000/LvacE(AA2783)</f>
        <v>36659.424227150594</v>
      </c>
      <c r="AD2783" s="10">
        <f t="shared" si="2007"/>
        <v>1.1721556739034963E-2</v>
      </c>
      <c r="AE2783" s="10" t="b">
        <f t="shared" si="2008"/>
        <v>1</v>
      </c>
      <c r="AJ2783" t="s">
        <v>4699</v>
      </c>
      <c r="AK2783" t="s">
        <v>4833</v>
      </c>
      <c r="AL2783">
        <v>29263.08</v>
      </c>
      <c r="AM2783">
        <v>65922.42</v>
      </c>
      <c r="AN2783" s="10" cm="1">
        <f t="array" ref="AN2783">Lair(100000000/($AM2783-$AL2783))</f>
        <v>2727.0102633501133</v>
      </c>
      <c r="AO2783" s="10">
        <f t="shared" ref="AO2783:AO2784" si="2040">100000000/($AM2783-$AL2783)</f>
        <v>2727.8177948648286</v>
      </c>
      <c r="AP2783" s="12">
        <v>101000000</v>
      </c>
      <c r="AQ2783" s="3">
        <v>0.187</v>
      </c>
      <c r="AR2783" s="3">
        <f t="shared" ref="AR2783:AR2784" si="2041">LN(AU2783*100000000/($AM2783-$AL2783)/AP2783)</f>
        <v>-8.3523478290268187</v>
      </c>
      <c r="AS2783" s="13">
        <f t="shared" ref="AS2783:AS2784" si="2042">EXP(AR$4341*$AM2783+AR$4342)*$AP2783/(100000000/($AM2783-$AL2783))</f>
        <v>23.250468824191589</v>
      </c>
      <c r="AT2783" s="3">
        <f t="shared" ref="AT2783:AT2784" si="2043">LN(AS2783/$C2783)</f>
        <v>0.94910071897520421</v>
      </c>
      <c r="AU2783" s="13" cm="1">
        <f t="array" ref="AU2783">$C2783*EXP(poly_from_str(100000000/$E2783,AU$4343))</f>
        <v>8.7322757704932386</v>
      </c>
      <c r="AV2783" s="13">
        <f t="shared" ref="AV2783:AV2784" si="2044">LN(AS2783/AU2783)</f>
        <v>0.97929927652676152</v>
      </c>
      <c r="AW2783" s="13"/>
      <c r="AX2783" s="13"/>
      <c r="AY2783" s="13"/>
    </row>
    <row r="2784" spans="1:51" x14ac:dyDescent="0.25">
      <c r="A2784">
        <v>2726.4169999999999</v>
      </c>
      <c r="B2784" s="2" t="str">
        <f t="shared" si="2000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2036"/>
        <v>e</v>
      </c>
      <c r="N2784" t="str">
        <f t="shared" si="2037"/>
        <v>5/2</v>
      </c>
      <c r="O2784">
        <v>65935.25</v>
      </c>
      <c r="P2784" t="str">
        <f t="shared" si="2038"/>
        <v>o</v>
      </c>
      <c r="Q2784" t="str">
        <f t="shared" si="2039"/>
        <v>7/2</v>
      </c>
      <c r="R2784">
        <v>27</v>
      </c>
      <c r="AA2784" s="10">
        <f t="shared" si="2005"/>
        <v>2726.4169999999999</v>
      </c>
      <c r="AB2784" s="3">
        <f t="shared" si="2006"/>
        <v>36667.32</v>
      </c>
      <c r="AC2784" s="3" cm="1">
        <f t="array" ref="AC2784">100000000/LvacE(AA2784)</f>
        <v>36667.316605666085</v>
      </c>
      <c r="AD2784" s="10">
        <f t="shared" si="2007"/>
        <v>1.1724451286370736E-2</v>
      </c>
      <c r="AE2784" s="10" t="b">
        <f t="shared" si="2008"/>
        <v>1</v>
      </c>
      <c r="AJ2784" t="s">
        <v>4700</v>
      </c>
      <c r="AK2784" t="s">
        <v>4858</v>
      </c>
      <c r="AL2784">
        <v>29267.86</v>
      </c>
      <c r="AM2784">
        <v>65935.25</v>
      </c>
      <c r="AN2784" s="10" cm="1">
        <f t="array" ref="AN2784">Lair(100000000/($AM2784-$AL2784))</f>
        <v>2726.411539995253</v>
      </c>
      <c r="AO2784" s="10">
        <f t="shared" si="2040"/>
        <v>2727.2189266811738</v>
      </c>
      <c r="AP2784" s="12">
        <v>15000000</v>
      </c>
      <c r="AQ2784" s="3">
        <v>6.2E-2</v>
      </c>
      <c r="AR2784" s="3">
        <f t="shared" si="2041"/>
        <v>-6.8436368355258423</v>
      </c>
      <c r="AS2784" s="13">
        <f t="shared" si="2042"/>
        <v>3.4504742862480513</v>
      </c>
      <c r="AT2784" s="3">
        <f t="shared" si="2043"/>
        <v>-0.55324777335871134</v>
      </c>
      <c r="AU2784" s="13" cm="1">
        <f t="array" ref="AU2784">$C2784*EXP(poly_from_str(100000000/$E2784,AU$4343))</f>
        <v>5.8643184132220156</v>
      </c>
      <c r="AV2784" s="13">
        <f t="shared" si="2044"/>
        <v>-0.53037456690352347</v>
      </c>
      <c r="AW2784" s="13"/>
      <c r="AX2784" s="13"/>
      <c r="AY2784" s="13"/>
    </row>
    <row r="2785" spans="1:51" x14ac:dyDescent="0.25">
      <c r="A2785">
        <v>2725.9659999999999</v>
      </c>
      <c r="B2785" s="2" t="str">
        <f t="shared" si="2000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2005"/>
        <v>2725.9659999999999</v>
      </c>
      <c r="AB2785" s="3">
        <f t="shared" si="2006"/>
        <v>36673.379999999997</v>
      </c>
      <c r="AC2785" s="3" cm="1">
        <f t="array" ref="AC2785">100000000/LvacE(AA2785)</f>
        <v>36673.382735064246</v>
      </c>
      <c r="AD2785" s="10">
        <f t="shared" si="2007"/>
        <v>1.1726676476350815E-2</v>
      </c>
      <c r="AE2785" s="10" t="b">
        <f t="shared" si="2008"/>
        <v>1</v>
      </c>
      <c r="AP2785"/>
      <c r="AQ2785"/>
      <c r="AU2785" s="13" cm="1">
        <f t="array" ref="AU2785">$C2785*EXP(poly_from_str(100000000/$E2785,AU$4343))</f>
        <v>4.9143621309895966</v>
      </c>
    </row>
    <row r="2786" spans="1:51" x14ac:dyDescent="0.25">
      <c r="A2786">
        <v>2725.4140000000002</v>
      </c>
      <c r="B2786" s="2" t="str">
        <f t="shared" si="2000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2005"/>
        <v>2725.4140000000002</v>
      </c>
      <c r="AB2786" s="3">
        <f t="shared" si="2006"/>
        <v>36680.81</v>
      </c>
      <c r="AC2786" s="3" cm="1">
        <f t="array" ref="AC2786">100000000/LvacE(AA2786)</f>
        <v>36680.810086756173</v>
      </c>
      <c r="AD2786" s="10">
        <f t="shared" si="2007"/>
        <v>1.1729401494003512E-2</v>
      </c>
      <c r="AE2786" s="10" t="b">
        <f t="shared" si="2008"/>
        <v>1</v>
      </c>
      <c r="AP2786"/>
      <c r="AQ2786"/>
      <c r="AU2786" s="13" cm="1">
        <f t="array" ref="AU2786">$C2786*EXP(poly_from_str(100000000/$E2786,AU$4343))</f>
        <v>1.9792301740252631</v>
      </c>
    </row>
    <row r="2787" spans="1:51" x14ac:dyDescent="0.25">
      <c r="A2787">
        <v>2724.03</v>
      </c>
      <c r="B2787" s="2" t="str">
        <f t="shared" si="2000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2005"/>
        <v>2724.03</v>
      </c>
      <c r="AB2787" s="3">
        <f t="shared" si="2006"/>
        <v>36699.449999999997</v>
      </c>
      <c r="AC2787" s="3" cm="1">
        <f t="array" ref="AC2787">100000000/LvacE(AA2787)</f>
        <v>36699.445521073525</v>
      </c>
      <c r="AD2787" s="10">
        <f t="shared" si="2007"/>
        <v>1.1736241069495109E-2</v>
      </c>
      <c r="AE2787" s="10" t="b">
        <f t="shared" si="2008"/>
        <v>1</v>
      </c>
      <c r="AJ2787" t="s">
        <v>4963</v>
      </c>
      <c r="AK2787" t="s">
        <v>4888</v>
      </c>
      <c r="AL2787">
        <v>25979.34</v>
      </c>
      <c r="AM2787">
        <v>62678.7</v>
      </c>
      <c r="AN2787" s="10" cm="1">
        <f t="array" ref="AN2787">Lair(100000000/($AM2787-$AL2787))</f>
        <v>2724.0363457749913</v>
      </c>
      <c r="AO2787" s="10">
        <f>100000000/($AM2787-$AL2787)</f>
        <v>2724.8431580278238</v>
      </c>
      <c r="AP2787" s="12">
        <v>304000000</v>
      </c>
      <c r="AQ2787" s="3">
        <v>0.315</v>
      </c>
      <c r="AR2787" s="3">
        <f>LN(AU2787*100000000/($AM2787-$AL2787)/AP2787)</f>
        <v>-7.010614560199623</v>
      </c>
      <c r="AS2787" s="13">
        <f>EXP(AR$4341*$AM2787+AR$4342)*$AP2787/(100000000/($AM2787-$AL2787))</f>
        <v>89.367245542288046</v>
      </c>
      <c r="AT2787" s="3">
        <f>LN(AS2787/$C2787)</f>
        <v>-0.11241595190127132</v>
      </c>
      <c r="AU2787" s="13" cm="1">
        <f t="array" ref="AU2787">$C2787*EXP(poly_from_str(100000000/$E2787,AU$4343))</f>
        <v>100.66091088338686</v>
      </c>
      <c r="AV2787" s="13">
        <f>LN(AS2787/AU2787)</f>
        <v>-0.11900331633019526</v>
      </c>
      <c r="AW2787" s="13"/>
      <c r="AX2787" s="13"/>
      <c r="AY2787" s="13"/>
    </row>
    <row r="2788" spans="1:51" x14ac:dyDescent="0.25">
      <c r="A2788">
        <v>2723.6559999999999</v>
      </c>
      <c r="B2788" s="2" t="str">
        <f t="shared" si="2000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2005"/>
        <v>2723.6559999999999</v>
      </c>
      <c r="AB2788" s="3">
        <f t="shared" si="2006"/>
        <v>36704.480000000003</v>
      </c>
      <c r="AC2788" s="3" cm="1">
        <f t="array" ref="AC2788">100000000/LvacE(AA2788)</f>
        <v>36704.484647222547</v>
      </c>
      <c r="AD2788" s="10">
        <f t="shared" si="2007"/>
        <v>1.1738091125902564E-2</v>
      </c>
      <c r="AE2788" s="10" t="b">
        <f t="shared" si="2008"/>
        <v>1</v>
      </c>
      <c r="AP2788"/>
      <c r="AQ2788"/>
      <c r="AU2788" s="13" cm="1">
        <f t="array" ref="AU2788">$C2788*EXP(poly_from_str(100000000/$E2788,AU$4343))</f>
        <v>3.0336416398633075</v>
      </c>
    </row>
    <row r="2789" spans="1:51" x14ac:dyDescent="0.25">
      <c r="A2789">
        <v>2722.1610000000001</v>
      </c>
      <c r="B2789" s="2" t="str">
        <f t="shared" si="2000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2045">$G2789&amp;""</f>
        <v>e</v>
      </c>
      <c r="N2789" t="str">
        <f t="shared" ref="N2789:N2790" si="2046">$H2789&amp;""</f>
        <v>7/2</v>
      </c>
      <c r="O2789">
        <v>81404.52</v>
      </c>
      <c r="P2789" t="str">
        <f t="shared" ref="P2789:P2790" si="2047">$J2789&amp;""</f>
        <v>o</v>
      </c>
      <c r="Q2789" t="str">
        <f t="shared" ref="Q2789:Q2790" si="2048">$K2789&amp;""</f>
        <v>5/2</v>
      </c>
      <c r="R2789">
        <v>27</v>
      </c>
      <c r="AA2789" s="10">
        <f t="shared" si="2005"/>
        <v>2722.1610000000001</v>
      </c>
      <c r="AB2789" s="3">
        <f t="shared" si="2006"/>
        <v>36724.639999999999</v>
      </c>
      <c r="AC2789" s="3" cm="1">
        <f t="array" ref="AC2789">100000000/LvacE(AA2789)</f>
        <v>36724.641506780201</v>
      </c>
      <c r="AD2789" s="10">
        <f t="shared" si="2007"/>
        <v>1.1745494022355805E-2</v>
      </c>
      <c r="AE2789" s="10" t="b">
        <f t="shared" si="2008"/>
        <v>1</v>
      </c>
      <c r="AJ2789" t="s">
        <v>4806</v>
      </c>
      <c r="AK2789" t="s">
        <v>4916</v>
      </c>
      <c r="AL2789">
        <v>44679.98</v>
      </c>
      <c r="AM2789">
        <v>81404.52</v>
      </c>
      <c r="AN2789" s="10" cm="1">
        <f t="array" ref="AN2789">Lair(100000000/($AM2789-$AL2789))</f>
        <v>2722.1685220778409</v>
      </c>
      <c r="AO2789" s="10">
        <f t="shared" ref="AO2789:AO2790" si="2049">100000000/($AM2789-$AL2789)</f>
        <v>2722.9748827350868</v>
      </c>
      <c r="AP2789" s="12">
        <v>239000000</v>
      </c>
      <c r="AQ2789" s="3">
        <v>0.32</v>
      </c>
      <c r="AR2789" s="3">
        <f t="shared" ref="AR2789:AR2790" si="2050">LN(AU2789*100000000/($AM2789-$AL2789)/AP2789)</f>
        <v>-9.1559544321758679</v>
      </c>
      <c r="AS2789" s="13">
        <f t="shared" ref="AS2789:AS2790" si="2051">EXP(AR$4341*$AM2789+AR$4342)*$AP2789/(100000000/($AM2789-$AL2789))</f>
        <v>17.245717429235093</v>
      </c>
      <c r="AT2789" s="3">
        <f t="shared" ref="AT2789:AT2790" si="2052">LN(AS2789/$C2789)</f>
        <v>0.65033927034642103</v>
      </c>
      <c r="AU2789" s="13" cm="1">
        <f t="array" ref="AU2789">$C2789*EXP(poly_from_str(100000000/$E2789,AU$4343))</f>
        <v>9.2677386704915623</v>
      </c>
      <c r="AV2789" s="13">
        <f t="shared" ref="AV2789:AV2790" si="2053">LN(AS2789/AU2789)</f>
        <v>0.62102443847902522</v>
      </c>
      <c r="AW2789" s="13"/>
      <c r="AX2789" s="13"/>
      <c r="AY2789" s="13"/>
    </row>
    <row r="2790" spans="1:51" x14ac:dyDescent="0.25">
      <c r="A2790">
        <v>2721.0770000000002</v>
      </c>
      <c r="B2790" s="2" t="str">
        <f t="shared" si="2000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2045"/>
        <v>e</v>
      </c>
      <c r="N2790" t="str">
        <f t="shared" si="2046"/>
        <v>5/2</v>
      </c>
      <c r="O2790">
        <v>58158.080000000002</v>
      </c>
      <c r="P2790" t="str">
        <f t="shared" si="2047"/>
        <v>o</v>
      </c>
      <c r="Q2790" t="str">
        <f t="shared" si="2048"/>
        <v>7/2</v>
      </c>
      <c r="R2790">
        <v>27</v>
      </c>
      <c r="AA2790" s="10">
        <f t="shared" si="2005"/>
        <v>2721.0770000000002</v>
      </c>
      <c r="AB2790" s="3">
        <f t="shared" si="2006"/>
        <v>36739.269999999997</v>
      </c>
      <c r="AC2790" s="3" cm="1">
        <f t="array" ref="AC2790">100000000/LvacE(AA2790)</f>
        <v>36739.270766218709</v>
      </c>
      <c r="AD2790" s="10">
        <f t="shared" si="2007"/>
        <v>1.1750869373821232E-2</v>
      </c>
      <c r="AE2790" s="10" t="b">
        <f t="shared" si="2008"/>
        <v>1</v>
      </c>
      <c r="AJ2790" t="s">
        <v>4792</v>
      </c>
      <c r="AK2790" t="s">
        <v>4902</v>
      </c>
      <c r="AL2790">
        <v>21418.84</v>
      </c>
      <c r="AM2790">
        <v>58158.080000000002</v>
      </c>
      <c r="AN2790" s="10" cm="1">
        <f t="array" ref="AN2790">Lair(100000000/($AM2790-$AL2790))</f>
        <v>2721.0792764285734</v>
      </c>
      <c r="AO2790" s="10">
        <f t="shared" si="2049"/>
        <v>2721.8853737856302</v>
      </c>
      <c r="AP2790" s="12">
        <v>23400000</v>
      </c>
      <c r="AQ2790" s="3">
        <v>0.13100000000000001</v>
      </c>
      <c r="AR2790" s="3">
        <f t="shared" si="2050"/>
        <v>-6.9373580229662339</v>
      </c>
      <c r="AS2790" s="13">
        <f t="shared" si="2051"/>
        <v>9.6678554966220709</v>
      </c>
      <c r="AT2790" s="3">
        <f t="shared" si="2052"/>
        <v>0.18936497448599163</v>
      </c>
      <c r="AU2790" s="13" cm="1">
        <f t="array" ref="AU2790">$C2790*EXP(poly_from_str(100000000/$E2790,AU$4343))</f>
        <v>8.3462178659445954</v>
      </c>
      <c r="AV2790" s="13">
        <f t="shared" si="2053"/>
        <v>0.14699803010226187</v>
      </c>
      <c r="AW2790" s="13"/>
      <c r="AX2790" s="13"/>
      <c r="AY2790" s="13"/>
    </row>
    <row r="2791" spans="1:51" x14ac:dyDescent="0.25">
      <c r="A2791">
        <v>2720.6889999999999</v>
      </c>
      <c r="B2791" s="2" t="str">
        <f t="shared" si="2000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2005"/>
        <v>2720.6889999999999</v>
      </c>
      <c r="AB2791" s="3">
        <f t="shared" si="2006"/>
        <v>36744.51</v>
      </c>
      <c r="AC2791" s="3" cm="1">
        <f t="array" ref="AC2791">100000000/LvacE(AA2791)</f>
        <v>36744.509902175785</v>
      </c>
      <c r="AD2791" s="10">
        <f t="shared" si="2007"/>
        <v>1.1752794954178112E-2</v>
      </c>
      <c r="AE2791" s="10" t="b">
        <f t="shared" si="2008"/>
        <v>1</v>
      </c>
      <c r="AP2791"/>
      <c r="AQ2791"/>
      <c r="AU2791" s="13" cm="1">
        <f t="array" ref="AU2791">$C2791*EXP(poly_from_str(100000000/$E2791,AU$4343))</f>
        <v>3.1444149706674089</v>
      </c>
    </row>
    <row r="2792" spans="1:51" x14ac:dyDescent="0.25">
      <c r="A2792">
        <v>2720.4090000000001</v>
      </c>
      <c r="B2792" s="2" t="str">
        <f t="shared" si="2000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2005"/>
        <v>2720.4090000000001</v>
      </c>
      <c r="AB2792" s="3">
        <f t="shared" si="2006"/>
        <v>36748.29</v>
      </c>
      <c r="AC2792" s="3" cm="1">
        <f t="array" ref="AC2792">100000000/LvacE(AA2792)</f>
        <v>36748.291650230996</v>
      </c>
      <c r="AD2792" s="10">
        <f t="shared" si="2007"/>
        <v>1.175418506008306E-2</v>
      </c>
      <c r="AE2792" s="10" t="b">
        <f t="shared" si="2008"/>
        <v>1</v>
      </c>
      <c r="AJ2792" t="s">
        <v>4909</v>
      </c>
      <c r="AK2792" t="s">
        <v>4961</v>
      </c>
      <c r="AL2792">
        <v>66735.88</v>
      </c>
      <c r="AM2792">
        <v>103484.19</v>
      </c>
      <c r="AN2792" s="10" cm="1">
        <f t="array" ref="AN2792">Lair(100000000/($AM2792-$AL2792))</f>
        <v>2720.4076391513809</v>
      </c>
      <c r="AO2792" s="10">
        <f>100000000/($AM2792-$AL2792)</f>
        <v>2721.2135741752481</v>
      </c>
      <c r="AP2792" s="12">
        <v>150000000</v>
      </c>
      <c r="AQ2792" s="3">
        <v>0.2</v>
      </c>
      <c r="AR2792" s="3">
        <f>LN(AU2792*100000000/($AM2792-$AL2792)/AP2792)</f>
        <v>-10.86695222681281</v>
      </c>
      <c r="AS2792" s="13">
        <f>EXP(AR$4341*$AM2792+AR$4342)*$AP2792/(100000000/($AM2792-$AL2792))</f>
        <v>2.0655053929085594</v>
      </c>
      <c r="AT2792" s="3">
        <f>LN(AS2792/$C2792)</f>
        <v>0.72537493879707826</v>
      </c>
      <c r="AU2792" s="13" cm="1">
        <f t="array" ref="AU2792">$C2792*EXP(poly_from_str(100000000/$E2792,AU$4343))</f>
        <v>1.0516500411672847</v>
      </c>
      <c r="AV2792" s="13">
        <f>LN(AS2792/AU2792)</f>
        <v>0.67501454031270625</v>
      </c>
      <c r="AW2792" s="13"/>
      <c r="AX2792" s="13"/>
      <c r="AY2792" s="13"/>
    </row>
    <row r="2793" spans="1:51" x14ac:dyDescent="0.25">
      <c r="A2793">
        <v>2720.1709999999998</v>
      </c>
      <c r="B2793" s="2" t="str">
        <f t="shared" si="2000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2005"/>
        <v>2720.1709999999998</v>
      </c>
      <c r="AB2793" s="3">
        <f t="shared" si="2006"/>
        <v>36751.51</v>
      </c>
      <c r="AC2793" s="3" cm="1">
        <f t="array" ref="AC2793">100000000/LvacE(AA2793)</f>
        <v>36751.506748148662</v>
      </c>
      <c r="AD2793" s="10">
        <f t="shared" si="2007"/>
        <v>1.1755366987617446E-2</v>
      </c>
      <c r="AE2793" s="10" t="b">
        <f t="shared" si="2008"/>
        <v>1</v>
      </c>
      <c r="AP2793"/>
      <c r="AQ2793"/>
      <c r="AU2793" s="13" cm="1">
        <f t="array" ref="AU2793">$C2793*EXP(poly_from_str(100000000/$E2793,AU$4343))</f>
        <v>7.3825137692704814</v>
      </c>
    </row>
    <row r="2794" spans="1:51" x14ac:dyDescent="0.25">
      <c r="A2794">
        <v>2720.087</v>
      </c>
      <c r="B2794" s="2" t="str">
        <f t="shared" si="2000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2005"/>
        <v>2720.087</v>
      </c>
      <c r="AB2794" s="3">
        <f t="shared" si="2006"/>
        <v>36752.639999999999</v>
      </c>
      <c r="AC2794" s="3" cm="1">
        <f t="array" ref="AC2794">100000000/LvacE(AA2794)</f>
        <v>36752.641622905692</v>
      </c>
      <c r="AD2794" s="10">
        <f t="shared" si="2007"/>
        <v>1.1755784212583218E-2</v>
      </c>
      <c r="AE2794" s="10" t="b">
        <f t="shared" si="2008"/>
        <v>1</v>
      </c>
      <c r="AP2794"/>
      <c r="AQ2794"/>
      <c r="AU2794" s="13" cm="1">
        <f t="array" ref="AU2794">$C2794*EXP(poly_from_str(100000000/$E2794,AU$4343))</f>
        <v>5.2784825469422101</v>
      </c>
    </row>
    <row r="2795" spans="1:51" x14ac:dyDescent="0.25">
      <c r="A2795">
        <v>2718.89</v>
      </c>
      <c r="B2795" s="2" t="str">
        <f t="shared" si="2000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2005"/>
        <v>2718.89</v>
      </c>
      <c r="AB2795" s="3">
        <f t="shared" si="2006"/>
        <v>36768.82</v>
      </c>
      <c r="AC2795" s="3" cm="1">
        <f t="array" ref="AC2795">100000000/LvacE(AA2795)</f>
        <v>36768.821206821689</v>
      </c>
      <c r="AD2795" s="10">
        <f t="shared" si="2007"/>
        <v>1.1761733870590882E-2</v>
      </c>
      <c r="AE2795" s="10" t="b">
        <f t="shared" si="2008"/>
        <v>1</v>
      </c>
      <c r="AP2795"/>
      <c r="AQ2795"/>
      <c r="AU2795" s="13" cm="1">
        <f t="array" ref="AU2795">$C2795*EXP(poly_from_str(100000000/$E2795,AU$4343))</f>
        <v>3.2123873929236111</v>
      </c>
    </row>
    <row r="2796" spans="1:51" x14ac:dyDescent="0.25">
      <c r="A2796">
        <v>2718.7550000000001</v>
      </c>
      <c r="B2796" s="2" t="str">
        <f t="shared" si="2000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2054">$G2796&amp;""</f>
        <v>e</v>
      </c>
      <c r="N2796" t="str">
        <f t="shared" ref="N2796:N2797" si="2055">$H2796&amp;""</f>
        <v>11/2</v>
      </c>
      <c r="O2796">
        <v>64150.94</v>
      </c>
      <c r="P2796" t="str">
        <f t="shared" ref="P2796:P2797" si="2056">$J2796&amp;""</f>
        <v>o</v>
      </c>
      <c r="Q2796" t="str">
        <f t="shared" ref="Q2796:Q2797" si="2057">$K2796&amp;""</f>
        <v>11/2</v>
      </c>
      <c r="R2796">
        <v>27</v>
      </c>
      <c r="AA2796" s="10">
        <f t="shared" si="2005"/>
        <v>2718.7550000000001</v>
      </c>
      <c r="AB2796" s="3">
        <f t="shared" si="2006"/>
        <v>36770.65</v>
      </c>
      <c r="AC2796" s="3" cm="1">
        <f t="array" ref="AC2796">100000000/LvacE(AA2796)</f>
        <v>36770.646865842806</v>
      </c>
      <c r="AD2796" s="10">
        <f t="shared" si="2007"/>
        <v>1.1762405377800281E-2</v>
      </c>
      <c r="AE2796" s="10" t="b">
        <f t="shared" si="2008"/>
        <v>1</v>
      </c>
      <c r="AJ2796" t="s">
        <v>4712</v>
      </c>
      <c r="AK2796" t="s">
        <v>4931</v>
      </c>
      <c r="AL2796">
        <v>27380.31</v>
      </c>
      <c r="AM2796">
        <v>64150.94</v>
      </c>
      <c r="AN2796" s="10" cm="1">
        <f t="array" ref="AN2796">Lair(100000000/($AM2796-$AL2796))</f>
        <v>2718.7562447431219</v>
      </c>
      <c r="AO2796" s="10">
        <f t="shared" ref="AO2796:AO2797" si="2058">100000000/($AM2796-$AL2796)</f>
        <v>2719.5617806929058</v>
      </c>
      <c r="AP2796" s="12">
        <v>29300000</v>
      </c>
      <c r="AQ2796" s="3">
        <v>0.216</v>
      </c>
      <c r="AR2796" s="3">
        <f t="shared" ref="AR2796:AR2797" si="2059">LN(AU2796*100000000/($AM2796-$AL2796)/AP2796)</f>
        <v>-7.1354303840003652</v>
      </c>
      <c r="AS2796" s="13">
        <f t="shared" ref="AS2796:AS2797" si="2060">EXP(AR$4341*$AM2796+AR$4342)*$AP2796/(100000000/($AM2796-$AL2796))</f>
        <v>7.7273603219936993</v>
      </c>
      <c r="AT2796" s="3">
        <f t="shared" ref="AT2796:AT2797" si="2061">LN(AS2796/$C2796)</f>
        <v>-3.4674222264719667E-2</v>
      </c>
      <c r="AU2796" s="13" cm="1">
        <f t="array" ref="AU2796">$C2796*EXP(poly_from_str(100000000/$E2796,AU$4343))</f>
        <v>8.5800664113103515</v>
      </c>
      <c r="AV2796" s="13">
        <f t="shared" ref="AV2796:AV2797" si="2062">LN(AS2796/AU2796)</f>
        <v>-0.10467433430076084</v>
      </c>
      <c r="AW2796" s="13"/>
      <c r="AX2796" s="13"/>
      <c r="AY2796" s="13"/>
    </row>
    <row r="2797" spans="1:51" x14ac:dyDescent="0.25">
      <c r="A2797">
        <v>2718.654</v>
      </c>
      <c r="B2797" s="2" t="str">
        <f t="shared" si="2000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2054"/>
        <v>e</v>
      </c>
      <c r="N2797" t="str">
        <f t="shared" si="2055"/>
        <v>13/2</v>
      </c>
      <c r="O2797">
        <v>60419.73</v>
      </c>
      <c r="P2797" t="str">
        <f t="shared" si="2056"/>
        <v>o</v>
      </c>
      <c r="Q2797" t="str">
        <f t="shared" si="2057"/>
        <v>11/2</v>
      </c>
      <c r="R2797">
        <v>27</v>
      </c>
      <c r="AA2797" s="10">
        <f t="shared" si="2005"/>
        <v>2718.654</v>
      </c>
      <c r="AB2797" s="3">
        <f t="shared" si="2006"/>
        <v>36772.01</v>
      </c>
      <c r="AC2797" s="3" cm="1">
        <f t="array" ref="AC2797">100000000/LvacE(AA2797)</f>
        <v>36772.012847814134</v>
      </c>
      <c r="AD2797" s="10">
        <f t="shared" si="2007"/>
        <v>1.1762907830090577E-2</v>
      </c>
      <c r="AE2797" s="10" t="b">
        <f t="shared" si="2008"/>
        <v>1</v>
      </c>
      <c r="AJ2797" t="s">
        <v>4966</v>
      </c>
      <c r="AK2797" t="s">
        <v>4849</v>
      </c>
      <c r="AL2797">
        <v>23647.77</v>
      </c>
      <c r="AM2797">
        <v>60419.73</v>
      </c>
      <c r="AN2797" s="10" cm="1">
        <f t="array" ref="AN2797">Lair(100000000/($AM2797-$AL2797))</f>
        <v>2718.6579050462105</v>
      </c>
      <c r="AO2797" s="10">
        <f t="shared" si="2058"/>
        <v>2719.463417234218</v>
      </c>
      <c r="AP2797" s="12">
        <v>102000000</v>
      </c>
      <c r="AQ2797" s="3">
        <v>0.33900000000000002</v>
      </c>
      <c r="AR2797" s="3">
        <f t="shared" si="2059"/>
        <v>-7.4653746086978554</v>
      </c>
      <c r="AS2797" s="13">
        <f t="shared" si="2060"/>
        <v>35.594958303474542</v>
      </c>
      <c r="AT2797" s="3">
        <f t="shared" si="2061"/>
        <v>0.57647173358591974</v>
      </c>
      <c r="AU2797" s="13" cm="1">
        <f t="array" ref="AU2797">$C2797*EXP(poly_from_str(100000000/$E2797,AU$4343))</f>
        <v>21.475631974028452</v>
      </c>
      <c r="AV2797" s="13">
        <f t="shared" si="2062"/>
        <v>0.50528511134271603</v>
      </c>
      <c r="AW2797" s="13"/>
      <c r="AX2797" s="13"/>
      <c r="AY2797" s="13"/>
    </row>
    <row r="2798" spans="1:51" x14ac:dyDescent="0.25">
      <c r="A2798">
        <v>2718.5160000000001</v>
      </c>
      <c r="B2798" s="2" t="str">
        <f t="shared" si="2000"/>
        <v/>
      </c>
      <c r="C2798">
        <v>3</v>
      </c>
      <c r="D2798" t="s">
        <v>1156</v>
      </c>
      <c r="E2798">
        <v>36773.879999999997</v>
      </c>
      <c r="R2798">
        <v>27</v>
      </c>
      <c r="S2798" t="s">
        <v>22</v>
      </c>
      <c r="AA2798" s="10">
        <f t="shared" si="2005"/>
        <v>2718.5160000000001</v>
      </c>
      <c r="AB2798" s="3">
        <f t="shared" si="2006"/>
        <v>36773.879999999997</v>
      </c>
      <c r="AC2798" s="3" cm="1">
        <f t="array" ref="AC2798">100000000/LvacE(AA2798)</f>
        <v>36773.879403090963</v>
      </c>
      <c r="AD2798" s="10">
        <f t="shared" si="2007"/>
        <v>1.1763594439593322E-2</v>
      </c>
      <c r="AE2798" s="10" t="b">
        <f t="shared" si="2008"/>
        <v>1</v>
      </c>
      <c r="AP2798"/>
      <c r="AQ2798"/>
      <c r="AU2798" s="13" cm="1">
        <f t="array" ref="AU2798">$C2798*EXP(poly_from_str(100000000/$E2798,AU$4343))</f>
        <v>3.2265997169835918</v>
      </c>
    </row>
    <row r="2799" spans="1:51" x14ac:dyDescent="0.25">
      <c r="A2799">
        <v>2715.944</v>
      </c>
      <c r="B2799" s="2" t="str">
        <f t="shared" si="2000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2005"/>
        <v>2715.944</v>
      </c>
      <c r="AB2799" s="3">
        <f t="shared" si="2006"/>
        <v>36808.699999999997</v>
      </c>
      <c r="AC2799" s="3" cm="1">
        <f t="array" ref="AC2799">100000000/LvacE(AA2799)</f>
        <v>36808.702373846136</v>
      </c>
      <c r="AD2799" s="10">
        <f t="shared" si="2007"/>
        <v>1.1776410407181838E-2</v>
      </c>
      <c r="AE2799" s="10" t="b">
        <f t="shared" si="2008"/>
        <v>1</v>
      </c>
      <c r="AP2799"/>
      <c r="AQ2799"/>
      <c r="AU2799" s="13" cm="1">
        <f t="array" ref="AU2799">$C2799*EXP(poly_from_str(100000000/$E2799,AU$4343))</f>
        <v>5.5416338308494337</v>
      </c>
    </row>
    <row r="2800" spans="1:51" x14ac:dyDescent="0.25">
      <c r="A2800">
        <v>2715.4589999999998</v>
      </c>
      <c r="B2800" s="2" t="str">
        <f t="shared" si="2000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2063">$G2800&amp;""</f>
        <v>o</v>
      </c>
      <c r="N2800" t="str">
        <f t="shared" ref="N2800:N2804" si="2064">$H2800&amp;""</f>
        <v>11/2</v>
      </c>
      <c r="O2800">
        <v>101680.38</v>
      </c>
      <c r="P2800" t="str">
        <f t="shared" ref="P2800:P2804" si="2065">$J2800&amp;""</f>
        <v>e</v>
      </c>
      <c r="Q2800" t="str">
        <f t="shared" ref="Q2800:Q2804" si="2066">$K2800&amp;""</f>
        <v>13/2</v>
      </c>
      <c r="R2800">
        <v>27</v>
      </c>
      <c r="AA2800" s="10">
        <f t="shared" si="2005"/>
        <v>2715.4589999999998</v>
      </c>
      <c r="AB2800" s="3">
        <f t="shared" si="2006"/>
        <v>36815.279999999999</v>
      </c>
      <c r="AC2800" s="3" cm="1">
        <f t="array" ref="AC2800">100000000/LvacE(AA2800)</f>
        <v>36815.276305534593</v>
      </c>
      <c r="AD2800" s="10">
        <f t="shared" si="2007"/>
        <v>1.1778831185728563E-2</v>
      </c>
      <c r="AE2800" s="10" t="b">
        <f t="shared" si="2008"/>
        <v>1</v>
      </c>
      <c r="AJ2800" t="s">
        <v>4896</v>
      </c>
      <c r="AK2800" t="s">
        <v>4942</v>
      </c>
      <c r="AL2800">
        <v>64865.15</v>
      </c>
      <c r="AM2800">
        <v>101680.38</v>
      </c>
      <c r="AN2800" s="10" cm="1">
        <f t="array" ref="AN2800">Lair(100000000/($AM2800-$AL2800))</f>
        <v>2715.4624133270181</v>
      </c>
      <c r="AO2800" s="10">
        <f t="shared" ref="AO2800:AO2804" si="2067">100000000/($AM2800-$AL2800)</f>
        <v>2716.2671535666082</v>
      </c>
      <c r="AP2800" s="12">
        <v>140000000</v>
      </c>
      <c r="AQ2800" s="3">
        <v>0.28199999999999997</v>
      </c>
      <c r="AR2800" s="3">
        <f t="shared" ref="AR2800:AR2801" si="2068">LN(AU2800*100000000/($AM2800-$AL2800)/AP2800)</f>
        <v>-10.741678762990011</v>
      </c>
      <c r="AS2800" s="13">
        <f t="shared" ref="AS2800:AS2804" si="2069">EXP(AR$4341*$AM2800+AR$4342)*$AP2800/(100000000/($AM2800-$AL2800))</f>
        <v>2.21128002192936</v>
      </c>
      <c r="AT2800" s="3">
        <f t="shared" ref="AT2800:AT2804" si="2070">LN(AS2800/$C2800)</f>
        <v>0.79357154330386903</v>
      </c>
      <c r="AU2800" s="13" cm="1">
        <f t="array" ref="AU2800">$C2800*EXP(poly_from_str(100000000/$E2800,AU$4343))</f>
        <v>1.1145607385884935</v>
      </c>
      <c r="AV2800" s="13">
        <f t="shared" ref="AV2800:AV2801" si="2071">LN(AS2800/AU2800)</f>
        <v>0.68511117243588127</v>
      </c>
      <c r="AW2800" s="13"/>
      <c r="AX2800" s="13"/>
      <c r="AY2800" s="13"/>
    </row>
    <row r="2801" spans="1:51" x14ac:dyDescent="0.25">
      <c r="A2801">
        <v>2714.1109999999999</v>
      </c>
      <c r="B2801" s="2">
        <f t="shared" si="2000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2063"/>
        <v>o</v>
      </c>
      <c r="N2801" t="str">
        <f t="shared" si="2064"/>
        <v>13/2</v>
      </c>
      <c r="O2801">
        <v>102981.94</v>
      </c>
      <c r="P2801" t="str">
        <f t="shared" si="2065"/>
        <v>e</v>
      </c>
      <c r="Q2801" t="str">
        <f t="shared" si="2066"/>
        <v>13/2</v>
      </c>
      <c r="R2801">
        <v>27</v>
      </c>
      <c r="AA2801" s="10">
        <f t="shared" si="2005"/>
        <v>2714.1109999999999</v>
      </c>
      <c r="AB2801" s="3">
        <f t="shared" si="2006"/>
        <v>36833.56</v>
      </c>
      <c r="AC2801" s="3" cm="1">
        <f t="array" ref="AC2801">100000000/LvacE(AA2801)</f>
        <v>36833.560107838392</v>
      </c>
      <c r="AD2801" s="10">
        <f t="shared" si="2007"/>
        <v>1.1785566269735908E-2</v>
      </c>
      <c r="AE2801" s="10" t="b">
        <f t="shared" si="2008"/>
        <v>1</v>
      </c>
      <c r="AJ2801" t="s">
        <v>4694</v>
      </c>
      <c r="AK2801" t="s">
        <v>4846</v>
      </c>
      <c r="AL2801">
        <v>66148.399999999994</v>
      </c>
      <c r="AM2801">
        <v>102981.94</v>
      </c>
      <c r="AN2801" s="10" cm="1">
        <f t="array" ref="AN2801">Lair(100000000/($AM2801-$AL2801))</f>
        <v>2714.1124794452389</v>
      </c>
      <c r="AO2801" s="10">
        <f t="shared" si="2067"/>
        <v>2714.916893678967</v>
      </c>
      <c r="AP2801" s="12">
        <v>183000000</v>
      </c>
      <c r="AQ2801" s="3">
        <v>0.14099999999999999</v>
      </c>
      <c r="AR2801" s="3">
        <f t="shared" si="2068"/>
        <v>-9.6082537231196934</v>
      </c>
      <c r="AS2801" s="13">
        <f t="shared" si="2069"/>
        <v>2.6227795113260068</v>
      </c>
      <c r="AT2801" s="3">
        <f t="shared" si="2070"/>
        <v>-0.42205972349921111</v>
      </c>
      <c r="AU2801" s="13" cm="1">
        <f t="array" ref="AU2801">$C2801*EXP(poly_from_str(100000000/$E2801,AU$4343))</f>
        <v>4.527755607562761</v>
      </c>
      <c r="AV2801" s="13">
        <f t="shared" si="2071"/>
        <v>-0.54599172822877884</v>
      </c>
      <c r="AW2801" s="13"/>
      <c r="AX2801" s="13"/>
      <c r="AY2801" s="13"/>
    </row>
    <row r="2802" spans="1:51" x14ac:dyDescent="0.25">
      <c r="A2802">
        <v>2714.1109999999999</v>
      </c>
      <c r="B2802" s="2">
        <f t="shared" si="2000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2063"/>
        <v>o</v>
      </c>
      <c r="N2802" t="str">
        <f t="shared" si="2064"/>
        <v>9/2</v>
      </c>
      <c r="O2802">
        <v>107854.46</v>
      </c>
      <c r="P2802" t="str">
        <f t="shared" si="2065"/>
        <v>e</v>
      </c>
      <c r="Q2802" t="str">
        <f t="shared" si="2066"/>
        <v>9/2</v>
      </c>
      <c r="R2802">
        <v>27</v>
      </c>
      <c r="AA2802" s="10">
        <f t="shared" si="2005"/>
        <v>2714.1109999999999</v>
      </c>
      <c r="AB2802" s="3">
        <f t="shared" si="2006"/>
        <v>36833.56</v>
      </c>
      <c r="AC2802" s="3" cm="1">
        <f t="array" ref="AC2802">100000000/LvacE(AA2802)</f>
        <v>36833.560107838392</v>
      </c>
      <c r="AD2802" s="10">
        <f t="shared" si="2007"/>
        <v>1.1785566269735908E-2</v>
      </c>
      <c r="AE2802" s="10" t="b">
        <f t="shared" si="2008"/>
        <v>1</v>
      </c>
      <c r="AJ2802" t="s">
        <v>4922</v>
      </c>
      <c r="AK2802" t="s">
        <v>4898</v>
      </c>
      <c r="AL2802">
        <v>71021.100000000006</v>
      </c>
      <c r="AM2802">
        <v>107854.46</v>
      </c>
      <c r="AN2802" s="10" cm="1">
        <f t="array" ref="AN2802">Lair(100000000/($AM2802-$AL2802))</f>
        <v>2714.1257436998199</v>
      </c>
      <c r="AO2802" s="10">
        <f t="shared" si="2067"/>
        <v>2714.9301611365349</v>
      </c>
      <c r="AP2802" s="12">
        <v>1050000</v>
      </c>
      <c r="AQ2802" s="3">
        <v>5.0000000000000001E-3</v>
      </c>
      <c r="AR2802" s="3"/>
      <c r="AS2802" s="13">
        <f t="shared" si="2069"/>
        <v>1.0439766356928627E-2</v>
      </c>
      <c r="AT2802" s="3"/>
      <c r="AU2802" s="13" cm="1">
        <f t="array" ref="AU2802">$C2802*EXP(poly_from_str(100000000/$E2802,AU$4343))</f>
        <v>4.527755607562761</v>
      </c>
      <c r="AV2802" s="13"/>
      <c r="AW2802" s="13"/>
      <c r="AX2802" s="13"/>
      <c r="AY2802" s="13"/>
    </row>
    <row r="2803" spans="1:51" x14ac:dyDescent="0.25">
      <c r="A2803">
        <v>2712.5039999999999</v>
      </c>
      <c r="B2803" s="2" t="str">
        <f t="shared" si="2000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2063"/>
        <v>e</v>
      </c>
      <c r="N2803" t="str">
        <f t="shared" si="2064"/>
        <v>11/2</v>
      </c>
      <c r="O2803">
        <v>64235.61</v>
      </c>
      <c r="P2803" t="str">
        <f t="shared" si="2065"/>
        <v>o</v>
      </c>
      <c r="Q2803" t="str">
        <f t="shared" si="2066"/>
        <v>9/2</v>
      </c>
      <c r="R2803">
        <v>27</v>
      </c>
      <c r="AA2803" s="10">
        <f t="shared" si="2005"/>
        <v>2712.5039999999999</v>
      </c>
      <c r="AB2803" s="3">
        <f t="shared" si="2006"/>
        <v>36855.379999999997</v>
      </c>
      <c r="AC2803" s="3" cm="1">
        <f t="array" ref="AC2803">100000000/LvacE(AA2803)</f>
        <v>36855.380638907045</v>
      </c>
      <c r="AD2803" s="10">
        <f t="shared" si="2007"/>
        <v>1.1793608532726044E-2</v>
      </c>
      <c r="AE2803" s="10" t="b">
        <f t="shared" si="2008"/>
        <v>1</v>
      </c>
      <c r="AJ2803" t="s">
        <v>4712</v>
      </c>
      <c r="AK2803" t="s">
        <v>4842</v>
      </c>
      <c r="AL2803">
        <v>27380.31</v>
      </c>
      <c r="AM2803">
        <v>64235.61</v>
      </c>
      <c r="AN2803" s="10" cm="1">
        <f t="array" ref="AN2803">Lair(100000000/($AM2803-$AL2803))</f>
        <v>2712.5099329691429</v>
      </c>
      <c r="AO2803" s="10">
        <f t="shared" si="2067"/>
        <v>2713.3139602716569</v>
      </c>
      <c r="AP2803" s="12">
        <v>4770000</v>
      </c>
      <c r="AQ2803" s="3">
        <v>2.3E-2</v>
      </c>
      <c r="AR2803" s="3"/>
      <c r="AS2803" s="13">
        <f t="shared" si="2069"/>
        <v>1.2529138330705059</v>
      </c>
      <c r="AT2803" s="3"/>
      <c r="AU2803" s="13" cm="1">
        <f t="array" ref="AU2803">$C2803*EXP(poly_from_str(100000000/$E2803,AU$4343))</f>
        <v>5.7639684547312875</v>
      </c>
      <c r="AV2803" s="13"/>
      <c r="AW2803" s="13"/>
      <c r="AX2803" s="13"/>
      <c r="AY2803" s="13"/>
    </row>
    <row r="2804" spans="1:51" x14ac:dyDescent="0.25">
      <c r="A2804">
        <v>2712.384</v>
      </c>
      <c r="B2804" s="2" t="str">
        <f t="shared" si="2000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2063"/>
        <v>e</v>
      </c>
      <c r="N2804" t="str">
        <f t="shared" si="2064"/>
        <v>3/2</v>
      </c>
      <c r="O2804">
        <v>71994.81</v>
      </c>
      <c r="P2804" t="str">
        <f t="shared" si="2065"/>
        <v>o</v>
      </c>
      <c r="Q2804" t="str">
        <f t="shared" si="2066"/>
        <v>5/2</v>
      </c>
      <c r="R2804">
        <v>27</v>
      </c>
      <c r="AA2804" s="10">
        <f t="shared" si="2005"/>
        <v>2712.384</v>
      </c>
      <c r="AB2804" s="3">
        <f t="shared" si="2006"/>
        <v>36857.01</v>
      </c>
      <c r="AC2804" s="3" cm="1">
        <f t="array" ref="AC2804">100000000/LvacE(AA2804)</f>
        <v>36857.0110874198</v>
      </c>
      <c r="AD2804" s="10">
        <f t="shared" si="2007"/>
        <v>1.179420964867434E-2</v>
      </c>
      <c r="AE2804" s="10" t="b">
        <f t="shared" si="2008"/>
        <v>1</v>
      </c>
      <c r="AJ2804" t="s">
        <v>4740</v>
      </c>
      <c r="AK2804" t="s">
        <v>4900</v>
      </c>
      <c r="AL2804">
        <v>35137.82</v>
      </c>
      <c r="AM2804">
        <v>71994.81</v>
      </c>
      <c r="AN2804" s="10" cm="1">
        <f t="array" ref="AN2804">Lair(100000000/($AM2804-$AL2804))</f>
        <v>2712.3855496748083</v>
      </c>
      <c r="AO2804" s="10">
        <f t="shared" si="2067"/>
        <v>2713.1895469488963</v>
      </c>
      <c r="AP2804" s="12">
        <v>15300000</v>
      </c>
      <c r="AQ2804" s="3">
        <v>7.5999999999999998E-2</v>
      </c>
      <c r="AR2804" s="3">
        <f>LN(AU2804*100000000/($AM2804-$AL2804)/AP2804)</f>
        <v>-7.8007931381151385</v>
      </c>
      <c r="AS2804" s="13">
        <f t="shared" si="2069"/>
        <v>2.2450357901164386</v>
      </c>
      <c r="AT2804" s="3">
        <f t="shared" si="2070"/>
        <v>0.11557428265260461</v>
      </c>
      <c r="AU2804" s="13" cm="1">
        <f t="array" ref="AU2804">$C2804*EXP(poly_from_str(100000000/$E2804,AU$4343))</f>
        <v>2.3087126431500473</v>
      </c>
      <c r="AV2804" s="13">
        <f>LN(AS2804/AU2804)</f>
        <v>-2.7968608635629808E-2</v>
      </c>
      <c r="AW2804" s="13"/>
      <c r="AX2804" s="13"/>
      <c r="AY2804" s="13"/>
    </row>
    <row r="2805" spans="1:51" x14ac:dyDescent="0.25">
      <c r="A2805">
        <v>2712.18</v>
      </c>
      <c r="B2805" s="2" t="str">
        <f t="shared" si="2000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2005"/>
        <v>2712.18</v>
      </c>
      <c r="AB2805" s="3">
        <f t="shared" si="2006"/>
        <v>36859.78</v>
      </c>
      <c r="AC2805" s="3" cm="1">
        <f t="array" ref="AC2805">100000000/LvacE(AA2805)</f>
        <v>36859.783180975828</v>
      </c>
      <c r="AD2805" s="10">
        <f t="shared" si="2007"/>
        <v>1.1795231728899968E-2</v>
      </c>
      <c r="AE2805" s="10" t="b">
        <f t="shared" si="2008"/>
        <v>1</v>
      </c>
      <c r="AP2805"/>
      <c r="AQ2805"/>
      <c r="AU2805" s="13" cm="1">
        <f t="array" ref="AU2805">$C2805*EXP(poly_from_str(100000000/$E2805,AU$4343))</f>
        <v>1.1570133188745555</v>
      </c>
    </row>
    <row r="2806" spans="1:51" x14ac:dyDescent="0.25">
      <c r="A2806">
        <v>2711.9279999999999</v>
      </c>
      <c r="B2806" s="2" t="str">
        <f t="shared" si="2000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2072">$G2806&amp;""</f>
        <v>e</v>
      </c>
      <c r="N2806" t="str">
        <f t="shared" ref="N2806:N2808" si="2073">$H2806&amp;""</f>
        <v>7/2</v>
      </c>
      <c r="O2806">
        <v>58158.080000000002</v>
      </c>
      <c r="P2806" t="str">
        <f t="shared" ref="P2806:P2808" si="2074">$J2806&amp;""</f>
        <v>o</v>
      </c>
      <c r="Q2806" t="str">
        <f t="shared" ref="Q2806:Q2808" si="2075">$K2806&amp;""</f>
        <v>7/2</v>
      </c>
      <c r="R2806">
        <v>27</v>
      </c>
      <c r="AA2806" s="10">
        <f t="shared" si="2005"/>
        <v>2711.9279999999999</v>
      </c>
      <c r="AB2806" s="3">
        <f t="shared" si="2006"/>
        <v>36863.21</v>
      </c>
      <c r="AC2806" s="3" cm="1">
        <f t="array" ref="AC2806">100000000/LvacE(AA2806)</f>
        <v>36863.208107572071</v>
      </c>
      <c r="AD2806" s="10">
        <f t="shared" si="2007"/>
        <v>1.1796494617034832E-2</v>
      </c>
      <c r="AE2806" s="10" t="b">
        <f t="shared" si="2008"/>
        <v>1</v>
      </c>
      <c r="AJ2806" t="s">
        <v>4791</v>
      </c>
      <c r="AK2806" t="s">
        <v>4902</v>
      </c>
      <c r="AL2806">
        <v>21294.89</v>
      </c>
      <c r="AM2806">
        <v>58158.080000000002</v>
      </c>
      <c r="AN2806" s="10" cm="1">
        <f t="array" ref="AN2806">Lair(100000000/($AM2806-$AL2806))</f>
        <v>2711.9293299268852</v>
      </c>
      <c r="AO2806" s="10">
        <f t="shared" ref="AO2806:AO2808" si="2076">100000000/($AM2806-$AL2806)</f>
        <v>2712.7332170655873</v>
      </c>
      <c r="AP2806" s="12">
        <v>37800000</v>
      </c>
      <c r="AQ2806" s="3">
        <v>0.128</v>
      </c>
      <c r="AR2806" s="3">
        <f t="shared" ref="AR2806:AR2807" si="2077">LN(AU2806*100000000/($AM2806-$AL2806)/AP2806)</f>
        <v>-7.1961993753585665</v>
      </c>
      <c r="AS2806" s="13">
        <f t="shared" ref="AS2806:AS2808" si="2078">EXP(AR$4341*$AM2806+AR$4342)*$AP2806/(100000000/($AM2806-$AL2806))</f>
        <v>15.669994336290442</v>
      </c>
      <c r="AT2806" s="3">
        <f t="shared" ref="AT2806:AT2807" si="2079">LN(AS2806/$C2806)</f>
        <v>0.55452311759517015</v>
      </c>
      <c r="AU2806" s="13" cm="1">
        <f t="array" ref="AU2806">$C2806*EXP(poly_from_str(100000000/$E2806,AU$4343))</f>
        <v>10.442753704116448</v>
      </c>
      <c r="AV2806" s="13">
        <f t="shared" ref="AV2806:AV2807" si="2080">LN(AS2806/AU2806)</f>
        <v>0.40583938249459411</v>
      </c>
      <c r="AW2806" s="13"/>
      <c r="AX2806" s="13"/>
      <c r="AY2806" s="13"/>
    </row>
    <row r="2807" spans="1:51" x14ac:dyDescent="0.25">
      <c r="A2807">
        <v>2711.7040000000002</v>
      </c>
      <c r="B2807" s="2" t="str">
        <f t="shared" si="2000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2072"/>
        <v>e</v>
      </c>
      <c r="N2807" t="str">
        <f t="shared" si="2073"/>
        <v>5/2</v>
      </c>
      <c r="O2807">
        <v>75560.75</v>
      </c>
      <c r="P2807" t="str">
        <f t="shared" si="2074"/>
        <v>o</v>
      </c>
      <c r="Q2807" t="str">
        <f t="shared" si="2075"/>
        <v>5/2</v>
      </c>
      <c r="R2807">
        <v>27</v>
      </c>
      <c r="AA2807" s="10">
        <f t="shared" si="2005"/>
        <v>2711.7040000000002</v>
      </c>
      <c r="AB2807" s="3">
        <f t="shared" si="2006"/>
        <v>36866.25</v>
      </c>
      <c r="AC2807" s="3" cm="1">
        <f t="array" ref="AC2807">100000000/LvacE(AA2807)</f>
        <v>36866.25302111097</v>
      </c>
      <c r="AD2807" s="10">
        <f t="shared" si="2007"/>
        <v>1.1797617479841267E-2</v>
      </c>
      <c r="AE2807" s="10" t="b">
        <f t="shared" si="2008"/>
        <v>1</v>
      </c>
      <c r="AJ2807" t="s">
        <v>4794</v>
      </c>
      <c r="AK2807" t="s">
        <v>4943</v>
      </c>
      <c r="AL2807">
        <v>38694.51</v>
      </c>
      <c r="AM2807">
        <v>75560.75</v>
      </c>
      <c r="AN2807" s="10" cm="1">
        <f t="array" ref="AN2807">Lair(100000000/($AM2807-$AL2807))</f>
        <v>2711.704955553093</v>
      </c>
      <c r="AO2807" s="10">
        <f t="shared" si="2076"/>
        <v>2712.5087885284752</v>
      </c>
      <c r="AP2807" s="12">
        <v>42400000</v>
      </c>
      <c r="AQ2807" s="3">
        <v>0.124</v>
      </c>
      <c r="AR2807" s="3">
        <f t="shared" si="2077"/>
        <v>-7.8963940741318925</v>
      </c>
      <c r="AS2807" s="13">
        <f t="shared" si="2078"/>
        <v>4.7619425924969017</v>
      </c>
      <c r="AT2807" s="3">
        <f t="shared" si="2079"/>
        <v>-4.8782219776639428E-2</v>
      </c>
      <c r="AU2807" s="13" cm="1">
        <f t="array" ref="AU2807">$C2807*EXP(poly_from_str(100000000/$E2807,AU$4343))</f>
        <v>5.8161330017221458</v>
      </c>
      <c r="AV2807" s="13">
        <f t="shared" si="2080"/>
        <v>-0.19997991555886918</v>
      </c>
      <c r="AW2807" s="13"/>
      <c r="AX2807" s="13"/>
      <c r="AY2807" s="13"/>
    </row>
    <row r="2808" spans="1:51" x14ac:dyDescent="0.25">
      <c r="A2808">
        <v>2711.5459999999998</v>
      </c>
      <c r="B2808" s="2" t="str">
        <f t="shared" si="2000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2072"/>
        <v>e</v>
      </c>
      <c r="N2808" t="str">
        <f t="shared" si="2073"/>
        <v>7/2</v>
      </c>
      <c r="O2808">
        <v>60520.32</v>
      </c>
      <c r="P2808" t="str">
        <f t="shared" si="2074"/>
        <v>o</v>
      </c>
      <c r="Q2808" t="str">
        <f t="shared" si="2075"/>
        <v>7/2</v>
      </c>
      <c r="R2808">
        <v>27</v>
      </c>
      <c r="AA2808" s="10">
        <f t="shared" si="2005"/>
        <v>2711.5459999999998</v>
      </c>
      <c r="AB2808" s="3">
        <f t="shared" si="2006"/>
        <v>36868.400000000001</v>
      </c>
      <c r="AC2808" s="3" cm="1">
        <f t="array" ref="AC2808">100000000/LvacE(AA2808)</f>
        <v>36868.401075167611</v>
      </c>
      <c r="AD2808" s="10">
        <f t="shared" si="2007"/>
        <v>1.1798409666508998E-2</v>
      </c>
      <c r="AE2808" s="10" t="b">
        <f t="shared" si="2008"/>
        <v>1</v>
      </c>
      <c r="AJ2808" t="s">
        <v>4759</v>
      </c>
      <c r="AK2808" t="s">
        <v>4730</v>
      </c>
      <c r="AL2808">
        <v>23651.88</v>
      </c>
      <c r="AM2808">
        <v>60520.32</v>
      </c>
      <c r="AN2808" s="10" cm="1">
        <f t="array" ref="AN2808">Lair(100000000/($AM2808-$AL2808))</f>
        <v>2711.5431347876965</v>
      </c>
      <c r="AO2808" s="10">
        <f t="shared" si="2076"/>
        <v>2712.3469287010785</v>
      </c>
      <c r="AP2808" s="12">
        <v>8350000</v>
      </c>
      <c r="AQ2808" s="3">
        <v>2.7E-2</v>
      </c>
      <c r="AR2808" s="3"/>
      <c r="AS2808" s="13">
        <f t="shared" si="2078"/>
        <v>2.8995747301236414</v>
      </c>
      <c r="AT2808" s="3"/>
      <c r="AU2808" s="13" cm="1">
        <f t="array" ref="AU2808">$C2808*EXP(poly_from_str(100000000/$E2808,AU$4343))</f>
        <v>2.330587030537453</v>
      </c>
      <c r="AV2808" s="13"/>
      <c r="AW2808" s="13"/>
      <c r="AX2808" s="13"/>
      <c r="AY2808" s="13"/>
    </row>
    <row r="2809" spans="1:51" x14ac:dyDescent="0.25">
      <c r="A2809">
        <v>2711.0050000000001</v>
      </c>
      <c r="B2809" s="2" t="str">
        <f t="shared" si="2000"/>
        <v/>
      </c>
      <c r="C2809">
        <v>3</v>
      </c>
      <c r="D2809" t="s">
        <v>1156</v>
      </c>
      <c r="E2809">
        <v>36875.760000000002</v>
      </c>
      <c r="R2809">
        <v>27</v>
      </c>
      <c r="S2809" t="s">
        <v>3427</v>
      </c>
      <c r="U2809" s="4" t="s">
        <v>4644</v>
      </c>
      <c r="W2809">
        <f>$E2809-V2810</f>
        <v>-0.44999999998981366</v>
      </c>
      <c r="AA2809" s="10">
        <f t="shared" si="2005"/>
        <v>2711.0050000000001</v>
      </c>
      <c r="AB2809" s="3">
        <f t="shared" si="2006"/>
        <v>36875.760000000002</v>
      </c>
      <c r="AC2809" s="3" cm="1">
        <f t="array" ref="AC2809">100000000/LvacE(AA2809)</f>
        <v>36875.758017237953</v>
      </c>
      <c r="AD2809" s="10">
        <f t="shared" si="2007"/>
        <v>1.1801123202878259E-2</v>
      </c>
      <c r="AE2809" s="10" t="b">
        <f t="shared" si="2008"/>
        <v>1</v>
      </c>
      <c r="AP2809"/>
      <c r="AQ2809"/>
      <c r="AU2809" s="13" cm="1">
        <f t="array" ref="AU2809">$C2809*EXP(poly_from_str(100000000/$E2809,AU$4343))</f>
        <v>3.5171322005237098</v>
      </c>
    </row>
    <row r="2810" spans="1:51" x14ac:dyDescent="0.25">
      <c r="A2810">
        <v>2710.9969999999998</v>
      </c>
      <c r="B2810" s="2" t="str">
        <f t="shared" si="2000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2081">$G2810&amp;""</f>
        <v>e</v>
      </c>
      <c r="N2810" t="str">
        <f t="shared" ref="N2810:N2815" si="2082">$H2810&amp;""</f>
        <v>9/2</v>
      </c>
      <c r="O2810">
        <v>67870.759999999995</v>
      </c>
      <c r="P2810" t="str">
        <f t="shared" ref="P2810:P2815" si="2083">$J2810&amp;""</f>
        <v>o</v>
      </c>
      <c r="Q2810" t="str">
        <f t="shared" ref="Q2810:Q2815" si="2084">$K2810&amp;""</f>
        <v>9/2</v>
      </c>
      <c r="R2810">
        <v>27</v>
      </c>
      <c r="S2810" t="s">
        <v>3428</v>
      </c>
      <c r="U2810" s="4" t="s">
        <v>4644</v>
      </c>
      <c r="V2810">
        <f>$O2810-$L2810</f>
        <v>36876.209999999992</v>
      </c>
      <c r="W2810">
        <f>$E2810-V2810</f>
        <v>-0.33999999998923158</v>
      </c>
      <c r="AA2810" s="10">
        <f t="shared" si="2005"/>
        <v>2710.9969999999998</v>
      </c>
      <c r="AB2810" s="3">
        <f t="shared" si="2006"/>
        <v>36875.870000000003</v>
      </c>
      <c r="AC2810" s="3" cm="1">
        <f t="array" ref="AC2810">100000000/LvacE(AA2810)</f>
        <v>36875.86682953759</v>
      </c>
      <c r="AD2810" s="10">
        <f t="shared" si="2007"/>
        <v>1.1801163341297979E-2</v>
      </c>
      <c r="AE2810" s="10" t="b">
        <f t="shared" si="2008"/>
        <v>1</v>
      </c>
      <c r="AJ2810" t="s">
        <v>4788</v>
      </c>
      <c r="AK2810" t="s">
        <v>4755</v>
      </c>
      <c r="AL2810">
        <v>30994.55</v>
      </c>
      <c r="AM2810">
        <v>67870.759999999995</v>
      </c>
      <c r="AN2810" s="10" cm="1">
        <f t="array" ref="AN2810">Lair(100000000/($AM2810-$AL2810))</f>
        <v>2710.9717677780118</v>
      </c>
      <c r="AO2810" s="10">
        <f t="shared" ref="AO2810:AO2815" si="2085">100000000/($AM2810-$AL2810)</f>
        <v>2711.7754237759254</v>
      </c>
      <c r="AP2810" s="12">
        <v>18600000</v>
      </c>
      <c r="AQ2810" s="3">
        <v>0.14399999999999999</v>
      </c>
      <c r="AR2810" s="3">
        <f t="shared" ref="AR2810:AR2813" si="2086">LN(AU2810*100000000/($AM2810-$AL2810)/AP2810)</f>
        <v>-7.2878949021236687</v>
      </c>
      <c r="AS2810" s="13">
        <f t="shared" ref="AS2810:AS2813" si="2087">EXP(AR$4341*$AM2810+AR$4342)*$AP2810/(100000000/($AM2810-$AL2810))</f>
        <v>3.7212072482715048</v>
      </c>
      <c r="AT2810" s="3">
        <f t="shared" ref="AT2810:AT2813" si="2088">LN(AS2810/$C2810)</f>
        <v>-7.2246216377771996E-2</v>
      </c>
      <c r="AU2810" s="13" cm="1">
        <f t="array" ref="AU2810">$C2810*EXP(poly_from_str(100000000/$E2810,AU$4343))</f>
        <v>4.689933481321396</v>
      </c>
      <c r="AV2810" s="13">
        <f t="shared" ref="AV2810:AV2813" si="2089">LN(AS2810/AU2810)</f>
        <v>-0.23137025452836604</v>
      </c>
      <c r="AW2810" s="13"/>
      <c r="AX2810" s="13"/>
      <c r="AY2810" s="13"/>
    </row>
    <row r="2811" spans="1:51" x14ac:dyDescent="0.25">
      <c r="A2811">
        <v>2710.7449999999999</v>
      </c>
      <c r="B2811" s="2" t="str">
        <f t="shared" si="2000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2081"/>
        <v>e</v>
      </c>
      <c r="N2811" t="str">
        <f t="shared" si="2082"/>
        <v>7/2</v>
      </c>
      <c r="O2811">
        <v>58174.15</v>
      </c>
      <c r="P2811" t="str">
        <f t="shared" si="2083"/>
        <v>o</v>
      </c>
      <c r="Q2811" t="str">
        <f t="shared" si="2084"/>
        <v>9/2</v>
      </c>
      <c r="R2811">
        <v>27</v>
      </c>
      <c r="AA2811" s="10">
        <f t="shared" si="2005"/>
        <v>2710.7449999999999</v>
      </c>
      <c r="AB2811" s="3">
        <f t="shared" si="2006"/>
        <v>36879.29</v>
      </c>
      <c r="AC2811" s="3" cm="1">
        <f t="array" ref="AC2811">100000000/LvacE(AA2811)</f>
        <v>36879.294745698608</v>
      </c>
      <c r="AD2811" s="10">
        <f t="shared" si="2007"/>
        <v>1.1802427883422936E-2</v>
      </c>
      <c r="AE2811" s="10" t="b">
        <f t="shared" si="2008"/>
        <v>1</v>
      </c>
      <c r="AJ2811" t="s">
        <v>4791</v>
      </c>
      <c r="AK2811" t="s">
        <v>4698</v>
      </c>
      <c r="AL2811">
        <v>21294.89</v>
      </c>
      <c r="AM2811">
        <v>58174.15</v>
      </c>
      <c r="AN2811" s="10" cm="1">
        <f t="array" ref="AN2811">Lair(100000000/($AM2811-$AL2811))</f>
        <v>2710.7475518035435</v>
      </c>
      <c r="AO2811" s="10">
        <f t="shared" si="2085"/>
        <v>2711.5511536836693</v>
      </c>
      <c r="AP2811" s="12">
        <v>33500000</v>
      </c>
      <c r="AQ2811" s="3">
        <v>0.23599999999999999</v>
      </c>
      <c r="AR2811" s="3">
        <f t="shared" si="2086"/>
        <v>-7.0626239632496439</v>
      </c>
      <c r="AS2811" s="13">
        <f t="shared" si="2087"/>
        <v>13.876737415674226</v>
      </c>
      <c r="AT2811" s="3">
        <f t="shared" si="2088"/>
        <v>0.43298929360470778</v>
      </c>
      <c r="AU2811" s="13" cm="1">
        <f t="array" ref="AU2811">$C2811*EXP(poly_from_str(100000000/$E2811,AU$4343))</f>
        <v>10.582015423325419</v>
      </c>
      <c r="AV2811" s="13">
        <f t="shared" si="2089"/>
        <v>0.27105796895433965</v>
      </c>
      <c r="AW2811" s="13"/>
      <c r="AX2811" s="13"/>
      <c r="AY2811" s="13"/>
    </row>
    <row r="2812" spans="1:51" x14ac:dyDescent="0.25">
      <c r="A2812">
        <v>2710.3</v>
      </c>
      <c r="B2812" s="2" t="str">
        <f t="shared" si="2000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2081"/>
        <v>e</v>
      </c>
      <c r="N2812" t="str">
        <f t="shared" si="2082"/>
        <v>13/2</v>
      </c>
      <c r="O2812">
        <v>66148.399999999994</v>
      </c>
      <c r="P2812" t="str">
        <f t="shared" si="2083"/>
        <v>o</v>
      </c>
      <c r="Q2812" t="str">
        <f t="shared" si="2084"/>
        <v>13/2</v>
      </c>
      <c r="R2812">
        <v>27</v>
      </c>
      <c r="AA2812" s="10">
        <f t="shared" si="2005"/>
        <v>2710.3</v>
      </c>
      <c r="AB2812" s="3">
        <f t="shared" si="2006"/>
        <v>36885.35</v>
      </c>
      <c r="AC2812" s="3" cm="1">
        <f t="array" ref="AC2812">100000000/LvacE(AA2812)</f>
        <v>36885.349566890953</v>
      </c>
      <c r="AD2812" s="10">
        <f t="shared" si="2007"/>
        <v>1.180466176565158E-2</v>
      </c>
      <c r="AE2812" s="10" t="b">
        <f t="shared" si="2008"/>
        <v>1</v>
      </c>
      <c r="AJ2812" t="s">
        <v>4699</v>
      </c>
      <c r="AK2812" t="s">
        <v>4694</v>
      </c>
      <c r="AL2812">
        <v>29263.08</v>
      </c>
      <c r="AM2812">
        <v>66148.399999999994</v>
      </c>
      <c r="AN2812" s="10" cm="1">
        <f t="array" ref="AN2812">Lair(100000000/($AM2812-$AL2812))</f>
        <v>2710.3021704151452</v>
      </c>
      <c r="AO2812" s="10">
        <f t="shared" si="2085"/>
        <v>2711.1056648010649</v>
      </c>
      <c r="AP2812" s="12">
        <v>143000000</v>
      </c>
      <c r="AQ2812" s="3">
        <v>0.46600000000000003</v>
      </c>
      <c r="AR2812" s="3">
        <f t="shared" si="2086"/>
        <v>-7.0174718905274922</v>
      </c>
      <c r="AS2812" s="13">
        <f t="shared" si="2087"/>
        <v>32.564923533204393</v>
      </c>
      <c r="AT2812" s="3">
        <f t="shared" si="2088"/>
        <v>-0.20564371024655206</v>
      </c>
      <c r="AU2812" s="13" cm="1">
        <f t="array" ref="AU2812">$C2812*EXP(poly_from_str(100000000/$E2812,AU$4343))</f>
        <v>47.265066585142108</v>
      </c>
      <c r="AV2812" s="13">
        <f t="shared" si="2089"/>
        <v>-0.37253572877110186</v>
      </c>
      <c r="AW2812" s="13"/>
      <c r="AX2812" s="13"/>
      <c r="AY2812" s="13"/>
    </row>
    <row r="2813" spans="1:51" x14ac:dyDescent="0.25">
      <c r="A2813">
        <v>2710.1329999999998</v>
      </c>
      <c r="B2813" s="2" t="str">
        <f t="shared" si="2000"/>
        <v/>
      </c>
      <c r="C2813">
        <v>3</v>
      </c>
      <c r="D2813" t="s">
        <v>1156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2081"/>
        <v>e</v>
      </c>
      <c r="N2813" t="str">
        <f t="shared" si="2082"/>
        <v>7/2</v>
      </c>
      <c r="O2813">
        <v>75614.81</v>
      </c>
      <c r="P2813" t="str">
        <f t="shared" si="2083"/>
        <v>o</v>
      </c>
      <c r="Q2813" t="str">
        <f t="shared" si="2084"/>
        <v>5/2</v>
      </c>
      <c r="R2813">
        <v>27</v>
      </c>
      <c r="AA2813" s="10">
        <f t="shared" si="2005"/>
        <v>2710.1329999999998</v>
      </c>
      <c r="AB2813" s="3">
        <f t="shared" si="2006"/>
        <v>36887.620000000003</v>
      </c>
      <c r="AC2813" s="3" cm="1">
        <f t="array" ref="AC2813">100000000/LvacE(AA2813)</f>
        <v>36887.622338698195</v>
      </c>
      <c r="AD2813" s="10">
        <f t="shared" si="2007"/>
        <v>1.1805500382951353E-2</v>
      </c>
      <c r="AE2813" s="10" t="b">
        <f t="shared" si="2008"/>
        <v>1</v>
      </c>
      <c r="AJ2813" t="s">
        <v>4750</v>
      </c>
      <c r="AK2813" t="s">
        <v>4947</v>
      </c>
      <c r="AL2813">
        <v>38726.5</v>
      </c>
      <c r="AM2813">
        <v>75614.81</v>
      </c>
      <c r="AN2813" s="10" cm="1">
        <f t="array" ref="AN2813">Lair(100000000/($AM2813-$AL2813))</f>
        <v>2710.0824734422254</v>
      </c>
      <c r="AO2813" s="10">
        <f t="shared" si="2085"/>
        <v>2710.8859148060728</v>
      </c>
      <c r="AP2813" s="12">
        <v>35000000</v>
      </c>
      <c r="AQ2813" s="3">
        <v>0.13500000000000001</v>
      </c>
      <c r="AR2813" s="3">
        <f t="shared" si="2086"/>
        <v>-8.1984698080340142</v>
      </c>
      <c r="AS2813" s="13">
        <f t="shared" si="2087"/>
        <v>3.9172772588158393</v>
      </c>
      <c r="AT2813" s="3">
        <f t="shared" si="2088"/>
        <v>0.26678454697132437</v>
      </c>
      <c r="AU2813" s="13" cm="1">
        <f t="array" ref="AU2813">$C2813*EXP(poly_from_str(100000000/$E2813,AU$4343))</f>
        <v>3.5514573669125937</v>
      </c>
      <c r="AV2813" s="13">
        <f t="shared" si="2089"/>
        <v>9.8038790503936726E-2</v>
      </c>
      <c r="AW2813" s="13"/>
      <c r="AX2813" s="13"/>
      <c r="AY2813" s="13"/>
    </row>
    <row r="2814" spans="1:51" x14ac:dyDescent="0.25">
      <c r="A2814">
        <v>2709.7280000000001</v>
      </c>
      <c r="B2814" s="2" t="str">
        <f t="shared" si="2000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2081"/>
        <v>e</v>
      </c>
      <c r="N2814" t="str">
        <f t="shared" si="2082"/>
        <v>11/2</v>
      </c>
      <c r="O2814">
        <v>67398.789999999994</v>
      </c>
      <c r="P2814" t="str">
        <f t="shared" si="2083"/>
        <v>o</v>
      </c>
      <c r="Q2814" t="str">
        <f t="shared" si="2084"/>
        <v>9/2</v>
      </c>
      <c r="R2814">
        <v>27</v>
      </c>
      <c r="AA2814" s="10">
        <f t="shared" si="2005"/>
        <v>2709.7280000000001</v>
      </c>
      <c r="AB2814" s="3">
        <f t="shared" si="2006"/>
        <v>36893.129999999997</v>
      </c>
      <c r="AC2814" s="3" cm="1">
        <f t="array" ref="AC2814">100000000/LvacE(AA2814)</f>
        <v>36893.135313943683</v>
      </c>
      <c r="AD2814" s="10">
        <f t="shared" si="2007"/>
        <v>1.1807534799423352E-2</v>
      </c>
      <c r="AE2814" s="10" t="b">
        <f t="shared" si="2008"/>
        <v>1</v>
      </c>
      <c r="AJ2814" t="s">
        <v>4706</v>
      </c>
      <c r="AK2814" t="s">
        <v>4863</v>
      </c>
      <c r="AL2814">
        <v>30505.72</v>
      </c>
      <c r="AM2814">
        <v>67398.789999999994</v>
      </c>
      <c r="AN2814" s="10" cm="1">
        <f t="array" ref="AN2814">Lair(100000000/($AM2814-$AL2814))</f>
        <v>2709.7327952072624</v>
      </c>
      <c r="AO2814" s="10">
        <f t="shared" si="2085"/>
        <v>2710.5361521825107</v>
      </c>
      <c r="AU2814" s="13" cm="1">
        <f t="array" ref="AU2814">$C2814*EXP(poly_from_str(100000000/$E2814,AU$4343))</f>
        <v>4.756583186598391</v>
      </c>
    </row>
    <row r="2815" spans="1:51" x14ac:dyDescent="0.25">
      <c r="A2815">
        <v>2709.5320000000002</v>
      </c>
      <c r="B2815" s="2" t="str">
        <f t="shared" si="2000"/>
        <v/>
      </c>
      <c r="C2815">
        <v>2</v>
      </c>
      <c r="D2815" t="s">
        <v>1156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2081"/>
        <v>e</v>
      </c>
      <c r="N2815" t="str">
        <f t="shared" si="2082"/>
        <v>7/2</v>
      </c>
      <c r="O2815">
        <v>65295.9</v>
      </c>
      <c r="P2815" t="str">
        <f t="shared" si="2083"/>
        <v>o</v>
      </c>
      <c r="Q2815" t="str">
        <f t="shared" si="2084"/>
        <v>7/2</v>
      </c>
      <c r="R2815">
        <v>27</v>
      </c>
      <c r="AA2815" s="10">
        <f t="shared" si="2005"/>
        <v>2709.5320000000002</v>
      </c>
      <c r="AB2815" s="3">
        <f t="shared" si="2006"/>
        <v>36895.800000000003</v>
      </c>
      <c r="AC2815" s="3" cm="1">
        <f t="array" ref="AC2815">100000000/LvacE(AA2815)</f>
        <v>36895.803913446369</v>
      </c>
      <c r="AD2815" s="10">
        <f t="shared" si="2007"/>
        <v>1.1808519684108985E-2</v>
      </c>
      <c r="AE2815" s="10" t="b">
        <f t="shared" si="2008"/>
        <v>1</v>
      </c>
      <c r="AJ2815" t="s">
        <v>4975</v>
      </c>
      <c r="AK2815" t="s">
        <v>4825</v>
      </c>
      <c r="AL2815">
        <v>28399.43</v>
      </c>
      <c r="AM2815">
        <v>65295.9</v>
      </c>
      <c r="AN2815" s="10" cm="1">
        <f t="array" ref="AN2815">Lair(100000000/($AM2815-$AL2815))</f>
        <v>2709.4830802758938</v>
      </c>
      <c r="AO2815" s="10">
        <f t="shared" si="2085"/>
        <v>2710.2863769894516</v>
      </c>
      <c r="AP2815" s="12">
        <v>5080000</v>
      </c>
      <c r="AQ2815" s="3">
        <v>1.7999999999999999E-2</v>
      </c>
      <c r="AR2815" s="3"/>
      <c r="AS2815" s="13">
        <f>EXP(AR$4341*$AM2815+AR$4342)*$AP2815/(100000000/($AM2815-$AL2815))</f>
        <v>1.2336558300192408</v>
      </c>
      <c r="AT2815" s="3"/>
      <c r="AU2815" s="13" cm="1">
        <f t="array" ref="AU2815">$C2815*EXP(poly_from_str(100000000/$E2815,AU$4343))</f>
        <v>2.3834588733065449</v>
      </c>
      <c r="AV2815" s="13"/>
      <c r="AW2815" s="13"/>
      <c r="AX2815" s="13"/>
      <c r="AY2815" s="13"/>
    </row>
    <row r="2816" spans="1:51" x14ac:dyDescent="0.25">
      <c r="A2816">
        <v>2708.66</v>
      </c>
      <c r="B2816" s="2" t="str">
        <f t="shared" si="2000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2005"/>
        <v>2708.66</v>
      </c>
      <c r="AB2816" s="3">
        <f t="shared" si="2006"/>
        <v>36907.68</v>
      </c>
      <c r="AC2816" s="3" cm="1">
        <f t="array" ref="AC2816">100000000/LvacE(AA2816)</f>
        <v>36907.681138934284</v>
      </c>
      <c r="AD2816" s="10">
        <f t="shared" si="2007"/>
        <v>1.1812904007689095E-2</v>
      </c>
      <c r="AE2816" s="10" t="b">
        <f t="shared" si="2008"/>
        <v>1</v>
      </c>
      <c r="AP2816"/>
      <c r="AQ2816"/>
      <c r="AU2816" s="13" cm="1">
        <f t="array" ref="AU2816">$C2816*EXP(poly_from_str(100000000/$E2816,AU$4343))</f>
        <v>1.2032444863560487</v>
      </c>
    </row>
    <row r="2817" spans="1:51" x14ac:dyDescent="0.25">
      <c r="A2817">
        <v>2708.1550000000002</v>
      </c>
      <c r="B2817" s="2" t="str">
        <f t="shared" si="2000"/>
        <v/>
      </c>
      <c r="C2817">
        <v>9</v>
      </c>
      <c r="D2817" t="s">
        <v>1156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2090">$G2817&amp;""</f>
        <v>e</v>
      </c>
      <c r="N2817" t="str">
        <f t="shared" ref="N2817:N2819" si="2091">$H2817&amp;""</f>
        <v>11/2</v>
      </c>
      <c r="O2817">
        <v>70381.48</v>
      </c>
      <c r="P2817" t="str">
        <f t="shared" ref="P2817:P2819" si="2092">$J2817&amp;""</f>
        <v>o</v>
      </c>
      <c r="Q2817" t="str">
        <f t="shared" ref="Q2817:Q2819" si="2093">$K2817&amp;""</f>
        <v>13/2</v>
      </c>
      <c r="R2817">
        <v>27</v>
      </c>
      <c r="AA2817" s="10">
        <f t="shared" si="2005"/>
        <v>2708.1550000000002</v>
      </c>
      <c r="AB2817" s="3">
        <f t="shared" si="2006"/>
        <v>36914.559999999998</v>
      </c>
      <c r="AC2817" s="3" cm="1">
        <f t="array" ref="AC2817">100000000/LvacE(AA2817)</f>
        <v>36914.563075092439</v>
      </c>
      <c r="AD2817" s="10">
        <f t="shared" si="2007"/>
        <v>1.1815445030859097E-2</v>
      </c>
      <c r="AE2817" s="10" t="b">
        <f t="shared" si="2008"/>
        <v>1</v>
      </c>
      <c r="AJ2817" t="s">
        <v>4774</v>
      </c>
      <c r="AK2817" t="s">
        <v>4876</v>
      </c>
      <c r="AL2817">
        <v>33466.410000000003</v>
      </c>
      <c r="AM2817">
        <v>70381.48</v>
      </c>
      <c r="AN2817" s="10" cm="1">
        <f t="array" ref="AN2817">Lair(100000000/($AM2817-$AL2817))</f>
        <v>2708.1178068096301</v>
      </c>
      <c r="AO2817" s="10">
        <f t="shared" ref="AO2817:AO2819" si="2094">100000000/($AM2817-$AL2817)</f>
        <v>2708.9207740903653</v>
      </c>
      <c r="AP2817" s="12">
        <v>130000000</v>
      </c>
      <c r="AQ2817" s="3">
        <v>0.36399999999999999</v>
      </c>
      <c r="AR2817" s="3">
        <f>LN(AU2817*100000000/($AM2817-$AL2817)/AP2817)</f>
        <v>-8.3909545415879343</v>
      </c>
      <c r="AS2817" s="13">
        <f>EXP(AR$4341*$AM2817+AR$4342)*$AP2817/(100000000/($AM2817-$AL2817))</f>
        <v>21.564595109708609</v>
      </c>
      <c r="AT2817" s="3">
        <f>LN(AS2817/$C2817)</f>
        <v>0.87382827724341927</v>
      </c>
      <c r="AU2817" s="13" cm="1">
        <f t="array" ref="AU2817">$C2817*EXP(poly_from_str(100000000/$E2817,AU$4343))</f>
        <v>10.889345897358016</v>
      </c>
      <c r="AV2817" s="13">
        <f>LN(AS2817/AU2817)</f>
        <v>0.68326798396047694</v>
      </c>
      <c r="AW2817" s="13"/>
      <c r="AX2817" s="13"/>
      <c r="AY2817" s="13"/>
    </row>
    <row r="2818" spans="1:51" x14ac:dyDescent="0.25">
      <c r="A2818">
        <v>2707.422</v>
      </c>
      <c r="B2818" s="2" t="str">
        <f t="shared" ref="B2818:B2881" si="2095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2090"/>
        <v>o</v>
      </c>
      <c r="N2818" t="str">
        <f t="shared" si="2091"/>
        <v>11/2</v>
      </c>
      <c r="O2818">
        <v>105450.18</v>
      </c>
      <c r="P2818" t="str">
        <f t="shared" si="2092"/>
        <v>e</v>
      </c>
      <c r="Q2818" t="str">
        <f t="shared" si="2093"/>
        <v>11/2</v>
      </c>
      <c r="R2818">
        <v>27</v>
      </c>
      <c r="AA2818" s="10">
        <f t="shared" si="2005"/>
        <v>2707.422</v>
      </c>
      <c r="AB2818" s="3">
        <f t="shared" si="2006"/>
        <v>36924.559999999998</v>
      </c>
      <c r="AC2818" s="3" cm="1">
        <f t="array" ref="AC2818">100000000/LvacE(AA2818)</f>
        <v>36924.556670353704</v>
      </c>
      <c r="AD2818" s="10">
        <f t="shared" si="2007"/>
        <v>1.1819135818197848E-2</v>
      </c>
      <c r="AE2818" s="10" t="b">
        <f t="shared" si="2008"/>
        <v>1</v>
      </c>
      <c r="AJ2818" t="s">
        <v>4869</v>
      </c>
      <c r="AK2818" t="s">
        <v>4883</v>
      </c>
      <c r="AL2818">
        <v>68525.62</v>
      </c>
      <c r="AM2818">
        <v>105450.18</v>
      </c>
      <c r="AN2818" s="10" cm="1">
        <f t="array" ref="AN2818">Lair(100000000/($AM2818-$AL2818))</f>
        <v>2707.4217536289366</v>
      </c>
      <c r="AO2818" s="10">
        <f t="shared" si="2094"/>
        <v>2708.2245529804554</v>
      </c>
      <c r="AU2818" s="13" cm="1">
        <f t="array" ref="AU2818">$C2818*EXP(poly_from_str(100000000/$E2818,AU$4343))</f>
        <v>2.4393178038402872</v>
      </c>
    </row>
    <row r="2819" spans="1:51" x14ac:dyDescent="0.25">
      <c r="A2819">
        <v>2707.0430000000001</v>
      </c>
      <c r="B2819" s="2" t="str">
        <f t="shared" si="2095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2090"/>
        <v>o</v>
      </c>
      <c r="N2819" t="str">
        <f t="shared" si="2091"/>
        <v>9/2</v>
      </c>
      <c r="O2819">
        <v>101165.33</v>
      </c>
      <c r="P2819" t="str">
        <f t="shared" si="2092"/>
        <v>e</v>
      </c>
      <c r="Q2819" t="str">
        <f t="shared" si="2093"/>
        <v>11/2</v>
      </c>
      <c r="R2819">
        <v>27</v>
      </c>
      <c r="AA2819" s="10">
        <f t="shared" ref="AA2819:AA2882" si="2096">ROUND($A2819,3)+0</f>
        <v>2707.0430000000001</v>
      </c>
      <c r="AB2819" s="3">
        <f t="shared" ref="AB2819:AB2882" si="2097">ROUND($E2819,2)+0</f>
        <v>36929.730000000003</v>
      </c>
      <c r="AC2819" s="3" cm="1">
        <f t="array" ref="AC2819">100000000/LvacE(AA2819)</f>
        <v>36929.726013199841</v>
      </c>
      <c r="AD2819" s="10">
        <f t="shared" ref="AD2819:AD2882" si="2098">0.0005/$AA2819*AC2819+0.005</f>
        <v>1.1821045327540022E-2</v>
      </c>
      <c r="AE2819" s="10" t="b">
        <f t="shared" ref="AE2819:AE2882" si="2099">ABS(AB2819-AC2819)&lt;AD2819</f>
        <v>1</v>
      </c>
      <c r="AJ2819" t="s">
        <v>4842</v>
      </c>
      <c r="AK2819" t="s">
        <v>4953</v>
      </c>
      <c r="AL2819">
        <v>64235.61</v>
      </c>
      <c r="AM2819">
        <v>101165.33</v>
      </c>
      <c r="AN2819" s="10" cm="1">
        <f t="array" ref="AN2819">Lair(100000000/($AM2819-$AL2819))</f>
        <v>2707.0434385942776</v>
      </c>
      <c r="AO2819" s="10">
        <f t="shared" si="2094"/>
        <v>2707.8461466807762</v>
      </c>
      <c r="AP2819" s="12">
        <v>94300000</v>
      </c>
      <c r="AQ2819" s="3">
        <v>9.5000000000000001E-2</v>
      </c>
      <c r="AR2819" s="3">
        <f>LN(AU2819*100000000/($AM2819-$AL2819)/AP2819)</f>
        <v>-10.255388301757533</v>
      </c>
      <c r="AS2819" s="13">
        <f>EXP(AR$4341*$AM2819+AR$4342)*$AP2819/(100000000/($AM2819-$AL2819))</f>
        <v>1.5529683634059244</v>
      </c>
      <c r="AT2819" s="3">
        <f>LN(AS2819/$C2819)</f>
        <v>0.44016817268147668</v>
      </c>
      <c r="AU2819" s="13" cm="1">
        <f t="array" ref="AU2819">$C2819*EXP(poly_from_str(100000000/$E2819,AU$4343))</f>
        <v>1.2246984222871493</v>
      </c>
      <c r="AV2819" s="13">
        <f>LN(AS2819/AU2819)</f>
        <v>0.2374735448815479</v>
      </c>
      <c r="AW2819" s="13"/>
      <c r="AX2819" s="13"/>
      <c r="AY2819" s="13"/>
    </row>
    <row r="2820" spans="1:51" x14ac:dyDescent="0.25">
      <c r="A2820">
        <v>2706.9189999999999</v>
      </c>
      <c r="B2820" s="2" t="str">
        <f t="shared" si="2095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2096"/>
        <v>2706.9189999999999</v>
      </c>
      <c r="AB2820" s="3">
        <f t="shared" si="2097"/>
        <v>36931.42</v>
      </c>
      <c r="AC2820" s="3" cm="1">
        <f t="array" ref="AC2820">100000000/LvacE(AA2820)</f>
        <v>36931.417616395694</v>
      </c>
      <c r="AD2820" s="10">
        <f t="shared" si="2098"/>
        <v>1.1821670248794977E-2</v>
      </c>
      <c r="AE2820" s="10" t="b">
        <f t="shared" si="2099"/>
        <v>1</v>
      </c>
      <c r="AP2820"/>
      <c r="AQ2820"/>
      <c r="AU2820" s="13" cm="1">
        <f t="array" ref="AU2820">$C2820*EXP(poly_from_str(100000000/$E2820,AU$4343))</f>
        <v>1.2263469801684246</v>
      </c>
    </row>
    <row r="2821" spans="1:51" x14ac:dyDescent="0.25">
      <c r="A2821">
        <v>2706.6109999999999</v>
      </c>
      <c r="B2821" s="2" t="str">
        <f t="shared" si="2095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2096"/>
        <v>2706.6109999999999</v>
      </c>
      <c r="AB2821" s="3">
        <f t="shared" si="2097"/>
        <v>36935.620000000003</v>
      </c>
      <c r="AC2821" s="3" cm="1">
        <f t="array" ref="AC2821">100000000/LvacE(AA2821)</f>
        <v>36935.620011028412</v>
      </c>
      <c r="AD2821" s="10">
        <f t="shared" si="2098"/>
        <v>1.182322284418197E-2</v>
      </c>
      <c r="AE2821" s="10" t="b">
        <f t="shared" si="2099"/>
        <v>1</v>
      </c>
      <c r="AJ2821" t="s">
        <v>4772</v>
      </c>
      <c r="AK2821" t="s">
        <v>4936</v>
      </c>
      <c r="AL2821">
        <v>36670.57</v>
      </c>
      <c r="AM2821">
        <v>73606.17</v>
      </c>
      <c r="AN2821" s="10" cm="1">
        <f t="array" ref="AN2821">Lair(100000000/($AM2821-$AL2821))</f>
        <v>2706.6124642654249</v>
      </c>
      <c r="AO2821" s="10">
        <f>100000000/($AM2821-$AL2821)</f>
        <v>2707.4150683893049</v>
      </c>
      <c r="AP2821" s="12">
        <v>46600000</v>
      </c>
      <c r="AQ2821" s="3">
        <v>0.184</v>
      </c>
      <c r="AR2821" s="3">
        <f>LN(AU2821*100000000/($AM2821-$AL2821)/AP2821)</f>
        <v>-7.9365464275749957</v>
      </c>
      <c r="AS2821" s="13">
        <f>EXP(AR$4341*$AM2821+AR$4342)*$AP2821/(100000000/($AM2821-$AL2821))</f>
        <v>6.071905009635838</v>
      </c>
      <c r="AT2821" s="3">
        <f>LN(AS2821/$C2821)</f>
        <v>0.19423448353749195</v>
      </c>
      <c r="AU2821" s="13" cm="1">
        <f t="array" ref="AU2821">$C2821*EXP(poly_from_str(100000000/$E2821,AU$4343))</f>
        <v>6.1522327342567635</v>
      </c>
      <c r="AV2821" s="13">
        <f>LN(AS2821/AU2821)</f>
        <v>-1.3142666182112872E-2</v>
      </c>
      <c r="AW2821" s="13"/>
      <c r="AX2821" s="13"/>
      <c r="AY2821" s="13"/>
    </row>
    <row r="2822" spans="1:51" x14ac:dyDescent="0.25">
      <c r="A2822">
        <v>2705.7820000000002</v>
      </c>
      <c r="B2822" s="2" t="str">
        <f t="shared" si="2095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2096"/>
        <v>2705.7820000000002</v>
      </c>
      <c r="AB2822" s="3">
        <f t="shared" si="2097"/>
        <v>36946.94</v>
      </c>
      <c r="AC2822" s="3" cm="1">
        <f t="array" ref="AC2822">100000000/LvacE(AA2822)</f>
        <v>36946.935754298604</v>
      </c>
      <c r="AD2822" s="10">
        <f t="shared" si="2098"/>
        <v>1.1827404379639344E-2</v>
      </c>
      <c r="AE2822" s="10" t="b">
        <f t="shared" si="2099"/>
        <v>1</v>
      </c>
      <c r="AP2822"/>
      <c r="AQ2822"/>
      <c r="AU2822" s="13" cm="1">
        <f t="array" ref="AU2822">$C2822*EXP(poly_from_str(100000000/$E2822,AU$4343))</f>
        <v>0</v>
      </c>
    </row>
    <row r="2823" spans="1:51" x14ac:dyDescent="0.25">
      <c r="A2823">
        <v>2705.7429999999999</v>
      </c>
      <c r="B2823" s="2" t="str">
        <f t="shared" si="2095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2096"/>
        <v>2705.7429999999999</v>
      </c>
      <c r="AB2823" s="3">
        <f t="shared" si="2097"/>
        <v>36947.47</v>
      </c>
      <c r="AC2823" s="3" cm="1">
        <f t="array" ref="AC2823">100000000/LvacE(AA2823)</f>
        <v>36947.468270035963</v>
      </c>
      <c r="AD2823" s="10">
        <f t="shared" si="2098"/>
        <v>1.1827601193098525E-2</v>
      </c>
      <c r="AE2823" s="10" t="b">
        <f t="shared" si="2099"/>
        <v>1</v>
      </c>
      <c r="AP2823"/>
      <c r="AQ2823"/>
      <c r="AU2823" s="13" cm="1">
        <f t="array" ref="AU2823">$C2823*EXP(poly_from_str(100000000/$E2823,AU$4343))</f>
        <v>2.4840651517944936</v>
      </c>
    </row>
    <row r="2824" spans="1:51" x14ac:dyDescent="0.25">
      <c r="A2824">
        <v>2705.6579999999999</v>
      </c>
      <c r="B2824" s="2" t="str">
        <f t="shared" si="2095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2100">$G2824&amp;""</f>
        <v>e</v>
      </c>
      <c r="N2824" t="str">
        <f t="shared" ref="N2824:N2826" si="2101">$H2824&amp;""</f>
        <v>5/2</v>
      </c>
      <c r="O2824">
        <v>64401.03</v>
      </c>
      <c r="P2824" t="str">
        <f t="shared" ref="P2824:P2826" si="2102">$J2824&amp;""</f>
        <v>o</v>
      </c>
      <c r="Q2824" t="str">
        <f t="shared" ref="Q2824:Q2826" si="2103">$K2824&amp;""</f>
        <v>5/2</v>
      </c>
      <c r="R2824">
        <v>27</v>
      </c>
      <c r="AA2824" s="10">
        <f t="shared" si="2096"/>
        <v>2705.6579999999999</v>
      </c>
      <c r="AB2824" s="3">
        <f t="shared" si="2097"/>
        <v>36948.629999999997</v>
      </c>
      <c r="AC2824" s="3" cm="1">
        <f t="array" ref="AC2824">100000000/LvacE(AA2824)</f>
        <v>36948.628934443674</v>
      </c>
      <c r="AD2824" s="10">
        <f t="shared" si="2098"/>
        <v>1.1828030174996926E-2</v>
      </c>
      <c r="AE2824" s="10" t="b">
        <f t="shared" si="2099"/>
        <v>1</v>
      </c>
      <c r="AJ2824" t="s">
        <v>4783</v>
      </c>
      <c r="AK2824" t="s">
        <v>4837</v>
      </c>
      <c r="AL2824">
        <v>27452.45</v>
      </c>
      <c r="AM2824">
        <v>64401.03</v>
      </c>
      <c r="AN2824" s="10" cm="1">
        <f t="array" ref="AN2824">Lair(100000000/($AM2824-$AL2824))</f>
        <v>2705.6615813571429</v>
      </c>
      <c r="AO2824" s="10">
        <f t="shared" ref="AO2824:AO2826" si="2104">100000000/($AM2824-$AL2824)</f>
        <v>2706.4639561249714</v>
      </c>
      <c r="AP2824" s="12">
        <v>6310000</v>
      </c>
      <c r="AQ2824" s="3">
        <v>2.3E-2</v>
      </c>
      <c r="AR2824" s="3"/>
      <c r="AS2824" s="13">
        <f t="shared" ref="AS2824:AS2826" si="2105">EXP(AR$4341*$AM2824+AR$4342)*$AP2824/(100000000/($AM2824-$AL2824))</f>
        <v>1.6411132514564335</v>
      </c>
      <c r="AT2824" s="3"/>
      <c r="AU2824" s="13" cm="1">
        <f t="array" ref="AU2824">$C2824*EXP(poly_from_str(100000000/$E2824,AU$4343))</f>
        <v>4.9726730124204099</v>
      </c>
      <c r="AV2824" s="13"/>
      <c r="AW2824" s="13"/>
      <c r="AX2824" s="13"/>
      <c r="AY2824" s="13"/>
    </row>
    <row r="2825" spans="1:51" x14ac:dyDescent="0.25">
      <c r="A2825">
        <v>2705.2620000000002</v>
      </c>
      <c r="B2825" s="2" t="str">
        <f t="shared" si="2095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2100"/>
        <v>e</v>
      </c>
      <c r="N2825" t="str">
        <f t="shared" si="2101"/>
        <v>7/2</v>
      </c>
      <c r="O2825">
        <v>71978.52</v>
      </c>
      <c r="P2825" t="str">
        <f t="shared" si="2102"/>
        <v>o</v>
      </c>
      <c r="Q2825" t="str">
        <f t="shared" si="2103"/>
        <v>7/2</v>
      </c>
      <c r="R2825">
        <v>27</v>
      </c>
      <c r="AA2825" s="10">
        <f t="shared" si="2096"/>
        <v>2705.2620000000002</v>
      </c>
      <c r="AB2825" s="3">
        <f t="shared" si="2097"/>
        <v>36954.04</v>
      </c>
      <c r="AC2825" s="3" cm="1">
        <f t="array" ref="AC2825">100000000/LvacE(AA2825)</f>
        <v>36954.037226430359</v>
      </c>
      <c r="AD2825" s="10">
        <f t="shared" si="2098"/>
        <v>1.1830029258983115E-2</v>
      </c>
      <c r="AE2825" s="10" t="b">
        <f t="shared" si="2099"/>
        <v>1</v>
      </c>
      <c r="AJ2825" t="s">
        <v>4770</v>
      </c>
      <c r="AK2825" t="s">
        <v>4716</v>
      </c>
      <c r="AL2825">
        <v>35024.49</v>
      </c>
      <c r="AM2825">
        <v>71978.52</v>
      </c>
      <c r="AN2825" s="10" cm="1">
        <f t="array" ref="AN2825">Lair(100000000/($AM2825-$AL2825))</f>
        <v>2705.2625268573438</v>
      </c>
      <c r="AO2825" s="10">
        <f t="shared" si="2104"/>
        <v>2706.0648053811719</v>
      </c>
      <c r="AP2825" s="12">
        <v>20900000</v>
      </c>
      <c r="AQ2825" s="3">
        <v>2.9000000000000001E-2</v>
      </c>
      <c r="AR2825" s="3"/>
      <c r="AS2825" s="13">
        <f t="shared" si="2105"/>
        <v>3.0785839189485613</v>
      </c>
      <c r="AT2825" s="3"/>
      <c r="AU2825" s="13" cm="1">
        <f t="array" ref="AU2825">$C2825*EXP(poly_from_str(100000000/$E2825,AU$4343))</f>
        <v>7.4908100162585018</v>
      </c>
      <c r="AV2825" s="13"/>
      <c r="AW2825" s="13"/>
      <c r="AX2825" s="13"/>
      <c r="AY2825" s="13"/>
    </row>
    <row r="2826" spans="1:51" x14ac:dyDescent="0.25">
      <c r="A2826">
        <v>2704.4029999999998</v>
      </c>
      <c r="B2826" s="2" t="str">
        <f t="shared" si="2095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2100"/>
        <v>e</v>
      </c>
      <c r="N2826" t="str">
        <f t="shared" si="2101"/>
        <v>7/2</v>
      </c>
      <c r="O2826">
        <v>73606.17</v>
      </c>
      <c r="P2826" t="str">
        <f t="shared" si="2102"/>
        <v>o</v>
      </c>
      <c r="Q2826" t="str">
        <f t="shared" si="2103"/>
        <v>9/2</v>
      </c>
      <c r="R2826">
        <v>27</v>
      </c>
      <c r="AA2826" s="10">
        <f t="shared" si="2096"/>
        <v>2704.4029999999998</v>
      </c>
      <c r="AB2826" s="3">
        <f t="shared" si="2097"/>
        <v>36965.769999999997</v>
      </c>
      <c r="AC2826" s="3" cm="1">
        <f t="array" ref="AC2826">100000000/LvacE(AA2826)</f>
        <v>36965.774293303926</v>
      </c>
      <c r="AD2826" s="10">
        <f t="shared" si="2098"/>
        <v>1.1834368674584358E-2</v>
      </c>
      <c r="AE2826" s="10" t="b">
        <f t="shared" si="2099"/>
        <v>1</v>
      </c>
      <c r="AJ2826" t="s">
        <v>4805</v>
      </c>
      <c r="AK2826" t="s">
        <v>4936</v>
      </c>
      <c r="AL2826">
        <v>36640.379999999997</v>
      </c>
      <c r="AM2826">
        <v>73606.17</v>
      </c>
      <c r="AN2826" s="10" cm="1">
        <f t="array" ref="AN2826">Lair(100000000/($AM2826-$AL2826))</f>
        <v>2704.4018486600512</v>
      </c>
      <c r="AO2826" s="10">
        <f t="shared" si="2104"/>
        <v>2705.203919624063</v>
      </c>
      <c r="AP2826" s="12">
        <v>7050000</v>
      </c>
      <c r="AQ2826" s="3">
        <v>4.2999999999999997E-2</v>
      </c>
      <c r="AR2826" s="3"/>
      <c r="AS2826" s="13">
        <f t="shared" si="2105"/>
        <v>0.9193544926830145</v>
      </c>
      <c r="AT2826" s="3"/>
      <c r="AU2826" s="13" cm="1">
        <f t="array" ref="AU2826">$C2826*EXP(poly_from_str(100000000/$E2826,AU$4343))</f>
        <v>1.2599796143273174</v>
      </c>
      <c r="AV2826" s="13"/>
      <c r="AW2826" s="13"/>
      <c r="AX2826" s="13"/>
      <c r="AY2826" s="13"/>
    </row>
    <row r="2827" spans="1:51" x14ac:dyDescent="0.25">
      <c r="A2827">
        <v>2704.299</v>
      </c>
      <c r="B2827" s="2" t="str">
        <f t="shared" si="2095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2096"/>
        <v>2704.299</v>
      </c>
      <c r="AB2827" s="3">
        <f t="shared" si="2097"/>
        <v>36967.199999999997</v>
      </c>
      <c r="AC2827" s="3" cm="1">
        <f t="array" ref="AC2827">100000000/LvacE(AA2827)</f>
        <v>36967.195817850319</v>
      </c>
      <c r="AD2827" s="10">
        <f t="shared" si="2098"/>
        <v>1.1834894332662608E-2</v>
      </c>
      <c r="AE2827" s="10" t="b">
        <f t="shared" si="2099"/>
        <v>1</v>
      </c>
      <c r="AP2827"/>
      <c r="AQ2827"/>
      <c r="AU2827" s="13" cm="1">
        <f t="array" ref="AU2827">$C2827*EXP(poly_from_str(100000000/$E2827,AU$4343))</f>
        <v>6.3069237781046059</v>
      </c>
    </row>
    <row r="2828" spans="1:51" x14ac:dyDescent="0.25">
      <c r="A2828">
        <v>2703.9340000000002</v>
      </c>
      <c r="B2828" s="2" t="str">
        <f t="shared" si="2095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2096"/>
        <v>2703.9340000000002</v>
      </c>
      <c r="AB2828" s="3">
        <f t="shared" si="2097"/>
        <v>36972.19</v>
      </c>
      <c r="AC2828" s="3" cm="1">
        <f t="array" ref="AC2828">100000000/LvacE(AA2828)</f>
        <v>36972.185687527417</v>
      </c>
      <c r="AD2828" s="10">
        <f t="shared" si="2098"/>
        <v>1.1836739670333562E-2</v>
      </c>
      <c r="AE2828" s="10" t="b">
        <f t="shared" si="2099"/>
        <v>1</v>
      </c>
      <c r="AP2828"/>
      <c r="AQ2828"/>
      <c r="AU2828" s="13" cm="1">
        <f t="array" ref="AU2828">$C2828*EXP(poly_from_str(100000000/$E2828,AU$4343))</f>
        <v>2.5325820720951979</v>
      </c>
    </row>
    <row r="2829" spans="1:51" x14ac:dyDescent="0.25">
      <c r="A2829">
        <v>2703.5439999999999</v>
      </c>
      <c r="B2829" s="2" t="str">
        <f t="shared" si="2095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2096"/>
        <v>2703.5439999999999</v>
      </c>
      <c r="AB2829" s="3">
        <f t="shared" si="2097"/>
        <v>36977.519999999997</v>
      </c>
      <c r="AC2829" s="3" cm="1">
        <f t="array" ref="AC2829">100000000/LvacE(AA2829)</f>
        <v>36977.518817878859</v>
      </c>
      <c r="AD2829" s="10">
        <f t="shared" si="2098"/>
        <v>1.183871222696558E-2</v>
      </c>
      <c r="AE2829" s="10" t="b">
        <f t="shared" si="2099"/>
        <v>1</v>
      </c>
      <c r="AJ2829" t="s">
        <v>4782</v>
      </c>
      <c r="AK2829" t="s">
        <v>4849</v>
      </c>
      <c r="AL2829">
        <v>23442.25</v>
      </c>
      <c r="AM2829">
        <v>60419.73</v>
      </c>
      <c r="AN2829" s="10" cm="1">
        <f t="array" ref="AN2829">Lair(100000000/($AM2829-$AL2829))</f>
        <v>2703.5468360892241</v>
      </c>
      <c r="AO2829" s="10">
        <f>100000000/($AM2829-$AL2829)</f>
        <v>2704.3487008849706</v>
      </c>
      <c r="AP2829" s="12">
        <v>19700000</v>
      </c>
      <c r="AQ2829" s="3">
        <v>0.13600000000000001</v>
      </c>
      <c r="AR2829" s="3">
        <f>LN(AU2829*100000000/($AM2829-$AL2829)/AP2829)</f>
        <v>-6.8615271280809997</v>
      </c>
      <c r="AS2829" s="13">
        <f>EXP(AR$4341*$AM2829+AR$4342)*$AP2829/(100000000/($AM2829-$AL2829))</f>
        <v>6.9131355867833681</v>
      </c>
      <c r="AT2829" s="3">
        <f>LN(AS2829/$C2829)</f>
        <v>0.14166384084858849</v>
      </c>
      <c r="AU2829" s="13" cm="1">
        <f t="array" ref="AU2829">$C2829*EXP(poly_from_str(100000000/$E2829,AU$4343))</f>
        <v>7.6292205136543618</v>
      </c>
      <c r="AV2829" s="13">
        <f>LN(AS2829/AU2829)</f>
        <v>-9.8562369274139403E-2</v>
      </c>
      <c r="AW2829" s="13"/>
      <c r="AX2829" s="13"/>
      <c r="AY2829" s="13"/>
    </row>
    <row r="2830" spans="1:51" x14ac:dyDescent="0.25">
      <c r="A2830">
        <v>2703.1559999999999</v>
      </c>
      <c r="B2830" s="2" t="str">
        <f t="shared" si="2095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2096"/>
        <v>2703.1559999999999</v>
      </c>
      <c r="AB2830" s="3">
        <f t="shared" si="2097"/>
        <v>36982.83</v>
      </c>
      <c r="AC2830" s="3" cm="1">
        <f t="array" ref="AC2830">100000000/LvacE(AA2830)</f>
        <v>36982.826125753942</v>
      </c>
      <c r="AD2830" s="10">
        <f t="shared" si="2098"/>
        <v>1.1840675515167076E-2</v>
      </c>
      <c r="AE2830" s="10" t="b">
        <f t="shared" si="2099"/>
        <v>1</v>
      </c>
      <c r="AP2830"/>
      <c r="AQ2830"/>
      <c r="AU2830" s="13" cm="1">
        <f t="array" ref="AU2830">$C2830*EXP(poly_from_str(100000000/$E2830,AU$4343))</f>
        <v>2.5535359809630265</v>
      </c>
    </row>
    <row r="2831" spans="1:51" x14ac:dyDescent="0.25">
      <c r="A2831">
        <v>2702.8180000000002</v>
      </c>
      <c r="B2831" s="2" t="str">
        <f t="shared" si="2095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2096"/>
        <v>2702.8180000000002</v>
      </c>
      <c r="AB2831" s="3">
        <f t="shared" si="2097"/>
        <v>36987.449999999997</v>
      </c>
      <c r="AC2831" s="3" cm="1">
        <f t="array" ref="AC2831">100000000/LvacE(AA2831)</f>
        <v>36987.45074395337</v>
      </c>
      <c r="AD2831" s="10">
        <f t="shared" si="2098"/>
        <v>1.1842386491423648E-2</v>
      </c>
      <c r="AE2831" s="10" t="b">
        <f t="shared" si="2099"/>
        <v>1</v>
      </c>
      <c r="AJ2831" t="s">
        <v>4756</v>
      </c>
      <c r="AK2831" t="s">
        <v>4730</v>
      </c>
      <c r="AL2831">
        <v>23532.86</v>
      </c>
      <c r="AM2831">
        <v>60520.32</v>
      </c>
      <c r="AN2831" s="10" cm="1">
        <f t="array" ref="AN2831">Lair(100000000/($AM2831-$AL2831))</f>
        <v>2702.8173214262811</v>
      </c>
      <c r="AO2831" s="10">
        <f>100000000/($AM2831-$AL2831)</f>
        <v>2703.619010334854</v>
      </c>
      <c r="AP2831" s="12">
        <v>20100000</v>
      </c>
      <c r="AQ2831" s="3">
        <v>0.192</v>
      </c>
      <c r="AR2831" s="3">
        <f>LN(AU2831*100000000/($AM2831-$AL2831)/AP2831)</f>
        <v>-6.8742307442709576</v>
      </c>
      <c r="AS2831" s="13">
        <f>EXP(AR$4341*$AM2831+AR$4342)*$AP2831/(100000000/($AM2831-$AL2831))</f>
        <v>7.0023471038632268</v>
      </c>
      <c r="AT2831" s="3">
        <f>LN(AS2831/$C2831)</f>
        <v>0.1544859241784802</v>
      </c>
      <c r="AU2831" s="13" cm="1">
        <f t="array" ref="AU2831">$C2831*EXP(poly_from_str(100000000/$E2831,AU$4343))</f>
        <v>7.6879417897552287</v>
      </c>
      <c r="AV2831" s="13">
        <f>LN(AS2831/AU2831)</f>
        <v>-9.3407706660891113E-2</v>
      </c>
      <c r="AW2831" s="13"/>
      <c r="AX2831" s="13"/>
      <c r="AY2831" s="13"/>
    </row>
    <row r="2832" spans="1:51" x14ac:dyDescent="0.25">
      <c r="A2832">
        <v>2702.2359999999999</v>
      </c>
      <c r="B2832" s="2" t="str">
        <f t="shared" si="2095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2096"/>
        <v>2702.2359999999999</v>
      </c>
      <c r="AB2832" s="3">
        <f t="shared" si="2097"/>
        <v>36995.42</v>
      </c>
      <c r="AC2832" s="3" cm="1">
        <f t="array" ref="AC2832">100000000/LvacE(AA2832)</f>
        <v>36995.416554760217</v>
      </c>
      <c r="AD2832" s="10">
        <f t="shared" si="2098"/>
        <v>1.1845334114925606E-2</v>
      </c>
      <c r="AE2832" s="10" t="b">
        <f t="shared" si="2099"/>
        <v>1</v>
      </c>
      <c r="AP2832"/>
      <c r="AQ2832"/>
      <c r="AU2832" s="13" cm="1">
        <f t="array" ref="AU2832">$C2832*EXP(poly_from_str(100000000/$E2832,AU$4343))</f>
        <v>7.7351494319708145</v>
      </c>
    </row>
    <row r="2833" spans="1:51" x14ac:dyDescent="0.25">
      <c r="A2833">
        <v>2702.029</v>
      </c>
      <c r="B2833" s="2" t="str">
        <f t="shared" si="2095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2096"/>
        <v>2702.029</v>
      </c>
      <c r="AB2833" s="3">
        <f t="shared" si="2097"/>
        <v>36998.25</v>
      </c>
      <c r="AC2833" s="3" cm="1">
        <f t="array" ref="AC2833">100000000/LvacE(AA2833)</f>
        <v>36998.25058272903</v>
      </c>
      <c r="AD2833" s="10">
        <f t="shared" si="2098"/>
        <v>1.1846382955684234E-2</v>
      </c>
      <c r="AE2833" s="10" t="b">
        <f t="shared" si="2099"/>
        <v>1</v>
      </c>
      <c r="AP2833"/>
      <c r="AQ2833"/>
      <c r="AU2833" s="13" cm="1">
        <f t="array" ref="AU2833">$C2833*EXP(poly_from_str(100000000/$E2833,AU$4343))</f>
        <v>5.1679520961051768</v>
      </c>
    </row>
    <row r="2834" spans="1:51" x14ac:dyDescent="0.25">
      <c r="A2834">
        <v>2701.41</v>
      </c>
      <c r="B2834" s="2" t="str">
        <f t="shared" si="2095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2096"/>
        <v>2701.41</v>
      </c>
      <c r="AB2834" s="3">
        <f t="shared" si="2097"/>
        <v>37006.730000000003</v>
      </c>
      <c r="AC2834" s="3" cm="1">
        <f t="array" ref="AC2834">100000000/LvacE(AA2834)</f>
        <v>37006.727875735443</v>
      </c>
      <c r="AD2834" s="10">
        <f t="shared" si="2098"/>
        <v>1.1849520782801472E-2</v>
      </c>
      <c r="AE2834" s="10" t="b">
        <f t="shared" si="2099"/>
        <v>1</v>
      </c>
      <c r="AP2834"/>
      <c r="AQ2834"/>
      <c r="AU2834" s="13" cm="1">
        <f t="array" ref="AU2834">$C2834*EXP(poly_from_str(100000000/$E2834,AU$4343))</f>
        <v>1.300375788983114</v>
      </c>
    </row>
    <row r="2835" spans="1:51" x14ac:dyDescent="0.25">
      <c r="A2835">
        <v>2700.8220000000001</v>
      </c>
      <c r="B2835" s="2" t="str">
        <f t="shared" si="2095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2106">$G2835&amp;""</f>
        <v>o</v>
      </c>
      <c r="N2835" t="str">
        <f t="shared" ref="N2835:N2836" si="2107">$H2835&amp;""</f>
        <v>13/2</v>
      </c>
      <c r="O2835">
        <v>102981.94</v>
      </c>
      <c r="P2835" t="str">
        <f t="shared" ref="P2835:P2836" si="2108">$J2835&amp;""</f>
        <v>e</v>
      </c>
      <c r="Q2835" t="str">
        <f t="shared" ref="Q2835:Q2836" si="2109">$K2835&amp;""</f>
        <v>13/2</v>
      </c>
      <c r="R2835">
        <v>27</v>
      </c>
      <c r="AA2835" s="10">
        <f t="shared" si="2096"/>
        <v>2700.8220000000001</v>
      </c>
      <c r="AB2835" s="3">
        <f t="shared" si="2097"/>
        <v>37014.78</v>
      </c>
      <c r="AC2835" s="3" cm="1">
        <f t="array" ref="AC2835">100000000/LvacE(AA2835)</f>
        <v>37014.784217745029</v>
      </c>
      <c r="AD2835" s="10">
        <f t="shared" si="2098"/>
        <v>1.1852503463342833E-2</v>
      </c>
      <c r="AE2835" s="10" t="b">
        <f t="shared" si="2099"/>
        <v>1</v>
      </c>
      <c r="AJ2835" t="s">
        <v>4935</v>
      </c>
      <c r="AK2835" t="s">
        <v>4846</v>
      </c>
      <c r="AL2835">
        <v>65967.149999999994</v>
      </c>
      <c r="AM2835">
        <v>102981.94</v>
      </c>
      <c r="AN2835" s="10" cm="1">
        <f t="array" ref="AN2835">Lair(100000000/($AM2835-$AL2835))</f>
        <v>2700.821575932523</v>
      </c>
      <c r="AO2835" s="10">
        <f t="shared" ref="AO2835:AO2836" si="2110">100000000/($AM2835-$AL2835)</f>
        <v>2701.6227837575188</v>
      </c>
      <c r="AP2835" s="12">
        <v>113000000</v>
      </c>
      <c r="AQ2835" s="3">
        <v>0.246</v>
      </c>
      <c r="AR2835" s="3">
        <f>LN(AU2835*100000000/($AM2835-$AL2835)/AP2835)</f>
        <v>-10.372524042740038</v>
      </c>
      <c r="AS2835" s="13">
        <f t="shared" ref="AS2835:AS2836" si="2111">EXP(AR$4341*$AM2835+AR$4342)*$AP2835/(100000000/($AM2835-$AL2835))</f>
        <v>1.6274998824304392</v>
      </c>
      <c r="AT2835" s="3">
        <f t="shared" ref="AT2835" si="2112">LN(AS2835/$C2835)</f>
        <v>0.48704502286122314</v>
      </c>
      <c r="AU2835" s="13" cm="1">
        <f t="array" ref="AU2835">$C2835*EXP(poly_from_str(100000000/$E2835,AU$4343))</f>
        <v>1.3083495160820238</v>
      </c>
      <c r="AV2835" s="13">
        <f>LN(AS2835/AU2835)</f>
        <v>0.21827859139156544</v>
      </c>
      <c r="AW2835" s="13"/>
      <c r="AX2835" s="13"/>
      <c r="AY2835" s="13"/>
    </row>
    <row r="2836" spans="1:51" x14ac:dyDescent="0.25">
      <c r="A2836">
        <v>2700.6010000000001</v>
      </c>
      <c r="B2836" s="2" t="str">
        <f t="shared" si="2095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2106"/>
        <v>e</v>
      </c>
      <c r="N2836" t="str">
        <f t="shared" si="2107"/>
        <v>9/2</v>
      </c>
      <c r="O2836">
        <v>66852.87</v>
      </c>
      <c r="P2836" t="str">
        <f t="shared" si="2108"/>
        <v>o</v>
      </c>
      <c r="Q2836" t="str">
        <f t="shared" si="2109"/>
        <v>7/2</v>
      </c>
      <c r="R2836">
        <v>27</v>
      </c>
      <c r="AA2836" s="10">
        <f t="shared" si="2096"/>
        <v>2700.6010000000001</v>
      </c>
      <c r="AB2836" s="3">
        <f t="shared" si="2097"/>
        <v>37017.81</v>
      </c>
      <c r="AC2836" s="3" cm="1">
        <f t="array" ref="AC2836">100000000/LvacE(AA2836)</f>
        <v>37017.813103606975</v>
      </c>
      <c r="AD2836" s="10">
        <f t="shared" si="2098"/>
        <v>1.1853625008582714E-2</v>
      </c>
      <c r="AE2836" s="10" t="b">
        <f t="shared" si="2099"/>
        <v>1</v>
      </c>
      <c r="AJ2836" t="s">
        <v>4697</v>
      </c>
      <c r="AK2836" t="s">
        <v>4830</v>
      </c>
      <c r="AL2836">
        <v>29835.09</v>
      </c>
      <c r="AM2836">
        <v>66852.87</v>
      </c>
      <c r="AN2836" s="10" cm="1">
        <f t="array" ref="AN2836">Lair(100000000/($AM2836-$AL2836))</f>
        <v>2700.603413047048</v>
      </c>
      <c r="AO2836" s="10">
        <f t="shared" si="2110"/>
        <v>2701.4045682912374</v>
      </c>
      <c r="AP2836" s="12">
        <v>6300000</v>
      </c>
      <c r="AQ2836" s="3">
        <v>2.1999999999999999E-2</v>
      </c>
      <c r="AR2836" s="3"/>
      <c r="AS2836" s="13">
        <f t="shared" si="2111"/>
        <v>1.3656865290986751</v>
      </c>
      <c r="AT2836" s="3"/>
      <c r="AU2836" s="13" cm="1">
        <f t="array" ref="AU2836">$C2836*EXP(poly_from_str(100000000/$E2836,AU$4343))</f>
        <v>5.2454143958748087</v>
      </c>
      <c r="AV2836" s="13"/>
      <c r="AW2836" s="13"/>
      <c r="AX2836" s="13"/>
      <c r="AY2836" s="13"/>
    </row>
    <row r="2837" spans="1:51" x14ac:dyDescent="0.25">
      <c r="A2837">
        <v>2699.3270000000002</v>
      </c>
      <c r="B2837" s="2" t="str">
        <f t="shared" si="2095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2096"/>
        <v>2699.3270000000002</v>
      </c>
      <c r="AB2837" s="3">
        <f t="shared" si="2097"/>
        <v>37035.279999999999</v>
      </c>
      <c r="AC2837" s="3" cm="1">
        <f t="array" ref="AC2837">100000000/LvacE(AA2837)</f>
        <v>37035.283409190124</v>
      </c>
      <c r="AD2837" s="10">
        <f t="shared" si="2098"/>
        <v>1.1860095758904001E-2</v>
      </c>
      <c r="AE2837" s="10" t="b">
        <f t="shared" si="2099"/>
        <v>1</v>
      </c>
      <c r="AP2837"/>
      <c r="AQ2837"/>
      <c r="AU2837" s="13" cm="1">
        <f t="array" ref="AU2837">$C2837*EXP(poly_from_str(100000000/$E2837,AU$4343))</f>
        <v>0</v>
      </c>
    </row>
    <row r="2838" spans="1:51" x14ac:dyDescent="0.25">
      <c r="A2838">
        <v>2699.3</v>
      </c>
      <c r="B2838" s="2" t="str">
        <f t="shared" si="2095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2096"/>
        <v>2699.3</v>
      </c>
      <c r="AB2838" s="3">
        <f t="shared" si="2097"/>
        <v>37035.65</v>
      </c>
      <c r="AC2838" s="3" cm="1">
        <f t="array" ref="AC2838">100000000/LvacE(AA2838)</f>
        <v>37035.653837427992</v>
      </c>
      <c r="AD2838" s="10">
        <f t="shared" si="2098"/>
        <v>1.1860232993262696E-2</v>
      </c>
      <c r="AE2838" s="10" t="b">
        <f t="shared" si="2099"/>
        <v>1</v>
      </c>
      <c r="AJ2838" t="s">
        <v>4750</v>
      </c>
      <c r="AK2838" t="s">
        <v>4932</v>
      </c>
      <c r="AL2838">
        <v>38726.5</v>
      </c>
      <c r="AM2838">
        <v>75762.23</v>
      </c>
      <c r="AN2838" s="10" cm="1">
        <f t="array" ref="AN2838">Lair(100000000/($AM2838-$AL2838))</f>
        <v>2699.2944465660444</v>
      </c>
      <c r="AO2838" s="10">
        <f>100000000/($AM2838-$AL2838)</f>
        <v>2700.0952863626562</v>
      </c>
      <c r="AP2838" s="12">
        <v>26000000</v>
      </c>
      <c r="AQ2838" s="3">
        <v>0.13300000000000001</v>
      </c>
      <c r="AR2838" s="3">
        <f>LN(AU2838*100000000/($AM2838-$AL2838)/AP2838)</f>
        <v>-7.2786465968454008</v>
      </c>
      <c r="AS2838" s="13">
        <f>EXP(AR$4341*$AM2838+AR$4342)*$AP2838/(100000000/($AM2838-$AL2838))</f>
        <v>2.8894620487552212</v>
      </c>
      <c r="AT2838" s="3">
        <f>LN(AS2838/$C2838)</f>
        <v>-0.54836756993561886</v>
      </c>
      <c r="AU2838" s="13" cm="1">
        <f t="array" ref="AU2838">$C2838*EXP(poly_from_str(100000000/$E2838,AU$4343))</f>
        <v>6.6453552801696603</v>
      </c>
      <c r="AV2838" s="13">
        <f>LN(AS2838/AU2838)</f>
        <v>-0.83284781402674701</v>
      </c>
      <c r="AW2838" s="13"/>
      <c r="AX2838" s="13"/>
      <c r="AY2838" s="13"/>
    </row>
    <row r="2839" spans="1:51" x14ac:dyDescent="0.25">
      <c r="A2839">
        <v>2699.1350000000002</v>
      </c>
      <c r="B2839" s="2" t="str">
        <f t="shared" si="2095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2096"/>
        <v>2699.1350000000002</v>
      </c>
      <c r="AB2839" s="3">
        <f t="shared" si="2097"/>
        <v>37037.919999999998</v>
      </c>
      <c r="AC2839" s="3" cm="1">
        <f t="array" ref="AC2839">100000000/LvacE(AA2839)</f>
        <v>37037.917726559579</v>
      </c>
      <c r="AD2839" s="10">
        <f t="shared" si="2098"/>
        <v>1.186107173716016E-2</v>
      </c>
      <c r="AE2839" s="10" t="b">
        <f t="shared" si="2099"/>
        <v>1</v>
      </c>
      <c r="AP2839"/>
      <c r="AQ2839"/>
      <c r="AU2839" s="13" cm="1">
        <f t="array" ref="AU2839">$C2839*EXP(poly_from_str(100000000/$E2839,AU$4343))</f>
        <v>2.6626581171913002</v>
      </c>
    </row>
    <row r="2840" spans="1:51" x14ac:dyDescent="0.25">
      <c r="A2840">
        <v>2698.1819999999998</v>
      </c>
      <c r="B2840" s="2" t="str">
        <f t="shared" si="2095"/>
        <v/>
      </c>
      <c r="C2840">
        <v>1</v>
      </c>
      <c r="D2840" t="s">
        <v>1156</v>
      </c>
      <c r="E2840">
        <v>37051</v>
      </c>
      <c r="R2840">
        <v>27</v>
      </c>
      <c r="S2840" t="s">
        <v>22</v>
      </c>
      <c r="AA2840" s="10">
        <f t="shared" si="2096"/>
        <v>2698.1819999999998</v>
      </c>
      <c r="AB2840" s="3">
        <f t="shared" si="2097"/>
        <v>37051</v>
      </c>
      <c r="AC2840" s="3" cm="1">
        <f t="array" ref="AC2840">100000000/LvacE(AA2840)</f>
        <v>37050.998818751694</v>
      </c>
      <c r="AD2840" s="10">
        <f t="shared" si="2098"/>
        <v>1.1865919129760649E-2</v>
      </c>
      <c r="AE2840" s="10" t="b">
        <f t="shared" si="2099"/>
        <v>1</v>
      </c>
      <c r="AP2840"/>
      <c r="AQ2840"/>
      <c r="AU2840" s="13" cm="1">
        <f t="array" ref="AU2840">$C2840*EXP(poly_from_str(100000000/$E2840,AU$4343))</f>
        <v>1.34435517574567</v>
      </c>
    </row>
    <row r="2841" spans="1:51" x14ac:dyDescent="0.25">
      <c r="A2841">
        <v>2696.9290000000001</v>
      </c>
      <c r="B2841" s="2" t="str">
        <f t="shared" si="2095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2096"/>
        <v>2696.9290000000001</v>
      </c>
      <c r="AB2841" s="3">
        <f t="shared" si="2097"/>
        <v>37068.21</v>
      </c>
      <c r="AC2841" s="3" cm="1">
        <f t="array" ref="AC2841">100000000/LvacE(AA2841)</f>
        <v>37068.211845112477</v>
      </c>
      <c r="AD2841" s="10">
        <f t="shared" si="2098"/>
        <v>1.1872300280265532E-2</v>
      </c>
      <c r="AE2841" s="10" t="b">
        <f t="shared" si="2099"/>
        <v>1</v>
      </c>
      <c r="AP2841"/>
      <c r="AQ2841"/>
      <c r="AU2841" s="13" cm="1">
        <f t="array" ref="AU2841">$C2841*EXP(poly_from_str(100000000/$E2841,AU$4343))</f>
        <v>1.3615324271470006</v>
      </c>
    </row>
    <row r="2842" spans="1:51" x14ac:dyDescent="0.25">
      <c r="A2842">
        <v>2695.6419999999998</v>
      </c>
      <c r="B2842" s="2" t="str">
        <f t="shared" si="2095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2096"/>
        <v>2695.6419999999998</v>
      </c>
      <c r="AB2842" s="3">
        <f t="shared" si="2097"/>
        <v>37085.910000000003</v>
      </c>
      <c r="AC2842" s="3" cm="1">
        <f t="array" ref="AC2842">100000000/LvacE(AA2842)</f>
        <v>37085.908602378535</v>
      </c>
      <c r="AD2842" s="10">
        <f t="shared" si="2098"/>
        <v>1.1878863848088606E-2</v>
      </c>
      <c r="AE2842" s="10" t="b">
        <f t="shared" si="2099"/>
        <v>1</v>
      </c>
      <c r="AP2842"/>
      <c r="AQ2842"/>
      <c r="AU2842" s="13" cm="1">
        <f t="array" ref="AU2842">$C2842*EXP(poly_from_str(100000000/$E2842,AU$4343))</f>
        <v>2.7584828862216444</v>
      </c>
    </row>
    <row r="2843" spans="1:51" x14ac:dyDescent="0.25">
      <c r="A2843">
        <v>2695.5990000000002</v>
      </c>
      <c r="B2843" s="2" t="str">
        <f t="shared" si="2095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2096"/>
        <v>2695.5990000000002</v>
      </c>
      <c r="AB2843" s="3">
        <f t="shared" si="2097"/>
        <v>37086.5</v>
      </c>
      <c r="AC2843" s="3" cm="1">
        <f t="array" ref="AC2843">100000000/LvacE(AA2843)</f>
        <v>37086.500161026001</v>
      </c>
      <c r="AD2843" s="10">
        <f t="shared" si="2098"/>
        <v>1.1879083305978744E-2</v>
      </c>
      <c r="AE2843" s="10" t="b">
        <f t="shared" si="2099"/>
        <v>1</v>
      </c>
      <c r="AP2843"/>
      <c r="AQ2843"/>
      <c r="AU2843" s="13" cm="1">
        <f t="array" ref="AU2843">$C2843*EXP(poly_from_str(100000000/$E2843,AU$4343))</f>
        <v>2.7596649133847295</v>
      </c>
    </row>
    <row r="2844" spans="1:51" x14ac:dyDescent="0.25">
      <c r="A2844">
        <v>2695.096</v>
      </c>
      <c r="B2844" s="2" t="str">
        <f t="shared" si="2095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2096"/>
        <v>2695.096</v>
      </c>
      <c r="AB2844" s="3">
        <f t="shared" si="2097"/>
        <v>37093.42</v>
      </c>
      <c r="AC2844" s="3" cm="1">
        <f t="array" ref="AC2844">100000000/LvacE(AA2844)</f>
        <v>37093.421423234831</v>
      </c>
      <c r="AD2844" s="10">
        <f t="shared" si="2098"/>
        <v>1.1881651233060869E-2</v>
      </c>
      <c r="AE2844" s="10" t="b">
        <f t="shared" si="2099"/>
        <v>1</v>
      </c>
      <c r="AP2844"/>
      <c r="AQ2844"/>
      <c r="AU2844" s="13" cm="1">
        <f t="array" ref="AU2844">$C2844*EXP(poly_from_str(100000000/$E2844,AU$4343))</f>
        <v>4.1603030015354765</v>
      </c>
    </row>
    <row r="2845" spans="1:51" x14ac:dyDescent="0.25">
      <c r="A2845">
        <v>2692.741</v>
      </c>
      <c r="B2845" s="2" t="str">
        <f t="shared" si="2095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2096"/>
        <v>2692.741</v>
      </c>
      <c r="AB2845" s="3">
        <f t="shared" si="2097"/>
        <v>37125.86</v>
      </c>
      <c r="AC2845" s="3" cm="1">
        <f t="array" ref="AC2845">100000000/LvacE(AA2845)</f>
        <v>37125.86052984641</v>
      </c>
      <c r="AD2845" s="10">
        <f t="shared" si="2098"/>
        <v>1.18936931791521E-2</v>
      </c>
      <c r="AE2845" s="10" t="b">
        <f t="shared" si="2099"/>
        <v>1</v>
      </c>
      <c r="AJ2845" t="s">
        <v>4720</v>
      </c>
      <c r="AK2845" t="s">
        <v>4839</v>
      </c>
      <c r="AL2845">
        <v>25409.74</v>
      </c>
      <c r="AM2845">
        <v>62535.62</v>
      </c>
      <c r="AN2845" s="10" cm="1">
        <f t="array" ref="AN2845">Lair(100000000/($AM2845-$AL2845))</f>
        <v>2692.7395857160477</v>
      </c>
      <c r="AO2845" s="10">
        <f>100000000/($AM2845-$AL2845)</f>
        <v>2693.5388467559555</v>
      </c>
      <c r="AP2845" s="12">
        <v>6080000</v>
      </c>
      <c r="AQ2845" s="3">
        <v>0.11</v>
      </c>
      <c r="AR2845" s="3">
        <f>LN(AU2845*100000000/($AM2845-$AL2845)/AP2845)</f>
        <v>-5.9854063044258083</v>
      </c>
      <c r="AS2845" s="13">
        <f>EXP(AR$4341*$AM2845+AR$4342)*$AP2845/(100000000/($AM2845-$AL2845))</f>
        <v>1.82763705073491</v>
      </c>
      <c r="AT2845" s="3">
        <f>LN(AS2845/$C2845)</f>
        <v>-0.78327045772777648</v>
      </c>
      <c r="AU2845" s="13" cm="1">
        <f t="array" ref="AU2845">$C2845*EXP(poly_from_str(100000000/$E2845,AU$4343))</f>
        <v>5.6774250012561822</v>
      </c>
      <c r="AV2845" s="13">
        <f>LN(AS2845/AU2845)</f>
        <v>-1.133473881699838</v>
      </c>
      <c r="AW2845" s="13"/>
      <c r="AX2845" s="13"/>
      <c r="AY2845" s="13"/>
    </row>
    <row r="2846" spans="1:51" x14ac:dyDescent="0.25">
      <c r="A2846" t="s">
        <v>3429</v>
      </c>
      <c r="B2846" s="2" t="str">
        <f t="shared" si="2095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2096"/>
        <v>2691.9920000000002</v>
      </c>
      <c r="AB2846" s="3">
        <f t="shared" si="2097"/>
        <v>37136.19</v>
      </c>
      <c r="AC2846" s="3" cm="1">
        <f t="array" ref="AC2846">100000000/LvacE(AA2846)</f>
        <v>37136.189575906981</v>
      </c>
      <c r="AD2846" s="10">
        <f t="shared" si="2098"/>
        <v>1.1897529705865949E-2</v>
      </c>
      <c r="AE2846" s="10" t="b">
        <f t="shared" si="2099"/>
        <v>1</v>
      </c>
      <c r="AP2846"/>
      <c r="AQ2846"/>
      <c r="AU2846" s="13" cm="1">
        <f t="array" ref="AU2846">$C2846*EXP(poly_from_str(100000000/$E2846,AU$4343))</f>
        <v>8.5785505888951477</v>
      </c>
    </row>
    <row r="2847" spans="1:51" x14ac:dyDescent="0.25">
      <c r="A2847" t="s">
        <v>3430</v>
      </c>
      <c r="B2847" s="2" t="str">
        <f t="shared" si="2095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2096"/>
        <v>2691.5129999999999</v>
      </c>
      <c r="AB2847" s="3">
        <f t="shared" si="2097"/>
        <v>37142.800000000003</v>
      </c>
      <c r="AC2847" s="3" cm="1">
        <f t="array" ref="AC2847">100000000/LvacE(AA2847)</f>
        <v>37142.798214321694</v>
      </c>
      <c r="AD2847" s="10">
        <f t="shared" si="2098"/>
        <v>1.1899984918208029E-2</v>
      </c>
      <c r="AE2847" s="10" t="b">
        <f t="shared" si="2099"/>
        <v>1</v>
      </c>
      <c r="AP2847"/>
      <c r="AQ2847"/>
      <c r="AU2847" s="13" cm="1">
        <f t="array" ref="AU2847">$C2847*EXP(poly_from_str(100000000/$E2847,AU$4343))</f>
        <v>1.4364204495939754</v>
      </c>
    </row>
    <row r="2848" spans="1:51" x14ac:dyDescent="0.25">
      <c r="A2848" t="s">
        <v>3431</v>
      </c>
      <c r="B2848" s="2" t="str">
        <f t="shared" si="2095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2113">$G2848&amp;""</f>
        <v>e</v>
      </c>
      <c r="N2848" t="str">
        <f t="shared" ref="N2848:N2849" si="2114">$H2848&amp;""</f>
        <v>5/2</v>
      </c>
      <c r="O2848">
        <v>61605.66</v>
      </c>
      <c r="P2848" t="str">
        <f t="shared" ref="P2848:P2849" si="2115">$J2848&amp;""</f>
        <v>o</v>
      </c>
      <c r="Q2848" t="str">
        <f t="shared" ref="Q2848:Q2849" si="2116">$K2848&amp;""</f>
        <v>7/2</v>
      </c>
      <c r="R2848">
        <v>28</v>
      </c>
      <c r="AA2848" s="10">
        <f t="shared" si="2096"/>
        <v>2691.395</v>
      </c>
      <c r="AB2848" s="3">
        <f t="shared" si="2097"/>
        <v>37144.43</v>
      </c>
      <c r="AC2848" s="3" cm="1">
        <f t="array" ref="AC2848">100000000/LvacE(AA2848)</f>
        <v>37144.426590716314</v>
      </c>
      <c r="AD2848" s="10">
        <f t="shared" si="2098"/>
        <v>1.1900589952555517E-2</v>
      </c>
      <c r="AE2848" s="10" t="b">
        <f t="shared" si="2099"/>
        <v>1</v>
      </c>
      <c r="AJ2848" t="s">
        <v>4717</v>
      </c>
      <c r="AK2848" t="s">
        <v>4822</v>
      </c>
      <c r="AL2848">
        <v>24461.24</v>
      </c>
      <c r="AM2848">
        <v>61605.66</v>
      </c>
      <c r="AN2848" s="10" cm="1">
        <f t="array" ref="AN2848">Lair(100000000/($AM2848-$AL2848))</f>
        <v>2691.3954755572877</v>
      </c>
      <c r="AO2848" s="10">
        <f t="shared" ref="AO2848:AO2849" si="2117">100000000/($AM2848-$AL2848)</f>
        <v>2692.1944130504662</v>
      </c>
      <c r="AP2848" s="12">
        <v>8830000</v>
      </c>
      <c r="AQ2848" s="3">
        <v>4.1000000000000002E-2</v>
      </c>
      <c r="AR2848" s="3"/>
      <c r="AS2848" s="13">
        <f t="shared" ref="AS2848:AS2849" si="2118">EXP(AR$4341*$AM2848+AR$4342)*$AP2848/(100000000/($AM2848-$AL2848))</f>
        <v>2.8475642060532742</v>
      </c>
      <c r="AT2848" s="3"/>
      <c r="AU2848" s="13" cm="1">
        <f t="array" ref="AU2848">$C2848*EXP(poly_from_str(100000000/$E2848,AU$4343))</f>
        <v>7.1903197757347916</v>
      </c>
      <c r="AV2848" s="13"/>
      <c r="AW2848" s="13"/>
      <c r="AX2848" s="13"/>
      <c r="AY2848" s="13"/>
    </row>
    <row r="2849" spans="1:51" x14ac:dyDescent="0.25">
      <c r="A2849" t="s">
        <v>3432</v>
      </c>
      <c r="B2849" s="2" t="str">
        <f t="shared" si="2095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2113"/>
        <v>e</v>
      </c>
      <c r="N2849" t="str">
        <f t="shared" si="2114"/>
        <v>7/2</v>
      </c>
      <c r="O2849">
        <v>63593.35</v>
      </c>
      <c r="P2849" t="str">
        <f t="shared" si="2115"/>
        <v>o</v>
      </c>
      <c r="Q2849" t="str">
        <f t="shared" si="2116"/>
        <v>9/2</v>
      </c>
      <c r="R2849">
        <v>28</v>
      </c>
      <c r="AA2849" s="10">
        <f t="shared" si="2096"/>
        <v>2691.2559999999999</v>
      </c>
      <c r="AB2849" s="3">
        <f t="shared" si="2097"/>
        <v>37146.339999999997</v>
      </c>
      <c r="AC2849" s="3" cm="1">
        <f t="array" ref="AC2849">100000000/LvacE(AA2849)</f>
        <v>37146.344946065808</v>
      </c>
      <c r="AD2849" s="10">
        <f t="shared" si="2098"/>
        <v>1.190130276459501E-2</v>
      </c>
      <c r="AE2849" s="10" t="b">
        <f t="shared" si="2099"/>
        <v>1</v>
      </c>
      <c r="AJ2849" t="s">
        <v>4736</v>
      </c>
      <c r="AK2849" t="s">
        <v>4840</v>
      </c>
      <c r="AL2849">
        <v>26446.97</v>
      </c>
      <c r="AM2849">
        <v>63593.35</v>
      </c>
      <c r="AN2849" s="10" cm="1">
        <f t="array" ref="AN2849">Lair(100000000/($AM2849-$AL2849))</f>
        <v>2691.2534581839909</v>
      </c>
      <c r="AO2849" s="10">
        <f t="shared" si="2117"/>
        <v>2692.0523614952522</v>
      </c>
      <c r="AP2849" s="12">
        <v>6280000</v>
      </c>
      <c r="AQ2849" s="3">
        <v>1.4999999999999999E-2</v>
      </c>
      <c r="AR2849" s="3"/>
      <c r="AS2849" s="13">
        <f t="shared" si="2118"/>
        <v>1.7446640255804586</v>
      </c>
      <c r="AT2849" s="3"/>
      <c r="AU2849" s="13" cm="1">
        <f t="array" ref="AU2849">$C2849*EXP(poly_from_str(100000000/$E2849,AU$4343))</f>
        <v>5.7599604646951423</v>
      </c>
      <c r="AV2849" s="13"/>
      <c r="AW2849" s="13"/>
      <c r="AX2849" s="13"/>
      <c r="AY2849" s="13"/>
    </row>
    <row r="2850" spans="1:51" x14ac:dyDescent="0.25">
      <c r="A2850" t="s">
        <v>3433</v>
      </c>
      <c r="B2850" s="2" t="str">
        <f t="shared" si="2095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2096"/>
        <v>2688.864</v>
      </c>
      <c r="AB2850" s="3">
        <f t="shared" si="2097"/>
        <v>37179.39</v>
      </c>
      <c r="AC2850" s="3" cm="1">
        <f t="array" ref="AC2850">100000000/LvacE(AA2850)</f>
        <v>37179.38829030659</v>
      </c>
      <c r="AD2850" s="10">
        <f t="shared" si="2098"/>
        <v>1.1913586609495048E-2</v>
      </c>
      <c r="AE2850" s="10" t="b">
        <f t="shared" si="2099"/>
        <v>1</v>
      </c>
      <c r="AP2850"/>
      <c r="AQ2850"/>
      <c r="AU2850" s="13" cm="1">
        <f t="array" ref="AU2850">$C2850*EXP(poly_from_str(100000000/$E2850,AU$4343))</f>
        <v>11.786987903397113</v>
      </c>
    </row>
    <row r="2851" spans="1:51" x14ac:dyDescent="0.25">
      <c r="A2851" t="s">
        <v>3434</v>
      </c>
      <c r="B2851" s="2" t="str">
        <f t="shared" si="2095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2096"/>
        <v>2688.82</v>
      </c>
      <c r="AB2851" s="3">
        <f t="shared" si="2097"/>
        <v>37180</v>
      </c>
      <c r="AC2851" s="3" cm="1">
        <f t="array" ref="AC2851">100000000/LvacE(AA2851)</f>
        <v>37179.996661632387</v>
      </c>
      <c r="AD2851" s="10">
        <f t="shared" si="2098"/>
        <v>1.1913812873608568E-2</v>
      </c>
      <c r="AE2851" s="10" t="b">
        <f t="shared" si="2099"/>
        <v>1</v>
      </c>
      <c r="AP2851"/>
      <c r="AQ2851"/>
      <c r="AU2851" s="13" cm="1">
        <f t="array" ref="AU2851">$C2851*EXP(poly_from_str(100000000/$E2851,AU$4343))</f>
        <v>7.3699526670848954</v>
      </c>
    </row>
    <row r="2852" spans="1:51" x14ac:dyDescent="0.25">
      <c r="A2852" t="s">
        <v>3435</v>
      </c>
      <c r="B2852" s="2" t="str">
        <f t="shared" si="2095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2119">$G2852&amp;""</f>
        <v>o</v>
      </c>
      <c r="N2852" t="str">
        <f t="shared" ref="N2852:N2853" si="2120">$H2852&amp;""</f>
        <v>7/2</v>
      </c>
      <c r="O2852">
        <v>102484.66</v>
      </c>
      <c r="P2852" t="str">
        <f t="shared" ref="P2852:P2853" si="2121">$J2852&amp;""</f>
        <v>e</v>
      </c>
      <c r="Q2852" t="str">
        <f t="shared" ref="Q2852:Q2853" si="2122">$K2852&amp;""</f>
        <v>9/2</v>
      </c>
      <c r="R2852">
        <v>28</v>
      </c>
      <c r="AA2852" s="10">
        <f t="shared" si="2096"/>
        <v>2688.1860000000001</v>
      </c>
      <c r="AB2852" s="3">
        <f t="shared" si="2097"/>
        <v>37188.76</v>
      </c>
      <c r="AC2852" s="3" cm="1">
        <f t="array" ref="AC2852">100000000/LvacE(AA2852)</f>
        <v>37188.764950076205</v>
      </c>
      <c r="AD2852" s="10">
        <f t="shared" si="2098"/>
        <v>1.1917074367264059E-2</v>
      </c>
      <c r="AE2852" s="10" t="b">
        <f t="shared" si="2099"/>
        <v>1</v>
      </c>
      <c r="AJ2852" t="s">
        <v>4825</v>
      </c>
      <c r="AK2852" t="s">
        <v>4832</v>
      </c>
      <c r="AL2852">
        <v>65295.9</v>
      </c>
      <c r="AM2852">
        <v>102484.66</v>
      </c>
      <c r="AN2852" s="10" cm="1">
        <f t="array" ref="AN2852">Lair(100000000/($AM2852-$AL2852))</f>
        <v>2688.1863558600753</v>
      </c>
      <c r="AO2852" s="10">
        <f t="shared" ref="AO2852:AO2853" si="2123">100000000/($AM2852-$AL2852)</f>
        <v>2688.9845211295024</v>
      </c>
      <c r="AP2852" s="12">
        <v>522000000</v>
      </c>
      <c r="AQ2852" s="3">
        <v>0.55600000000000005</v>
      </c>
      <c r="AR2852" s="3">
        <f t="shared" ref="AR2852:AR2853" si="2124">LN(AU2852*100000000/($AM2852-$AL2852)/AP2852)</f>
        <v>-9.8363798251214405</v>
      </c>
      <c r="AS2852" s="13">
        <f t="shared" ref="AS2852:AS2853" si="2125">EXP(AR$4341*$AM2852+AR$4342)*$AP2852/(100000000/($AM2852-$AL2852))</f>
        <v>7.8407386647600763</v>
      </c>
      <c r="AT2852" s="3">
        <f t="shared" ref="AT2852:AT2853" si="2126">LN(AS2852/$C2852)</f>
        <v>0.11342289831270586</v>
      </c>
      <c r="AU2852" s="13" cm="1">
        <f t="array" ref="AU2852">$C2852*EXP(poly_from_str(100000000/$E2852,AU$4343))</f>
        <v>10.379984877412861</v>
      </c>
      <c r="AV2852" s="13">
        <f t="shared" ref="AV2852:AV2853" si="2127">LN(AS2852/AU2852)</f>
        <v>-0.2805463734720206</v>
      </c>
      <c r="AW2852" s="13"/>
      <c r="AX2852" s="13"/>
      <c r="AY2852" s="13"/>
    </row>
    <row r="2853" spans="1:51" x14ac:dyDescent="0.25">
      <c r="A2853" t="s">
        <v>3436</v>
      </c>
      <c r="B2853" s="2" t="str">
        <f t="shared" si="2095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2119"/>
        <v>e</v>
      </c>
      <c r="N2853" t="str">
        <f t="shared" si="2120"/>
        <v>9/2</v>
      </c>
      <c r="O2853">
        <v>75640</v>
      </c>
      <c r="P2853" t="str">
        <f t="shared" si="2121"/>
        <v>o</v>
      </c>
      <c r="Q2853" t="str">
        <f t="shared" si="2122"/>
        <v>11/2</v>
      </c>
      <c r="R2853">
        <v>28</v>
      </c>
      <c r="AA2853" s="10">
        <f t="shared" si="2096"/>
        <v>2687.9810000000002</v>
      </c>
      <c r="AB2853" s="3">
        <f t="shared" si="2097"/>
        <v>37191.599999999999</v>
      </c>
      <c r="AC2853" s="3" cm="1">
        <f t="array" ref="AC2853">100000000/LvacE(AA2853)</f>
        <v>37191.601007057856</v>
      </c>
      <c r="AD2853" s="10">
        <f t="shared" si="2098"/>
        <v>1.1918129444936153E-2</v>
      </c>
      <c r="AE2853" s="10" t="b">
        <f t="shared" si="2099"/>
        <v>1</v>
      </c>
      <c r="AJ2853" t="s">
        <v>4816</v>
      </c>
      <c r="AK2853" t="s">
        <v>4938</v>
      </c>
      <c r="AL2853">
        <v>38448.379999999997</v>
      </c>
      <c r="AM2853">
        <v>75640</v>
      </c>
      <c r="AN2853" s="10" cm="1">
        <f t="array" ref="AN2853">Lair(100000000/($AM2853-$AL2853))</f>
        <v>2687.9796252566684</v>
      </c>
      <c r="AO2853" s="10">
        <f t="shared" si="2123"/>
        <v>2688.7777407921458</v>
      </c>
      <c r="AP2853" s="12">
        <v>81500000</v>
      </c>
      <c r="AQ2853" s="3">
        <v>0.28399999999999997</v>
      </c>
      <c r="AR2853" s="3">
        <f t="shared" si="2124"/>
        <v>-8.1316057939170854</v>
      </c>
      <c r="AS2853" s="13">
        <f t="shared" si="2125"/>
        <v>9.1792925272512704</v>
      </c>
      <c r="AT2853" s="3">
        <f t="shared" si="2126"/>
        <v>0.42519066568632202</v>
      </c>
      <c r="AU2853" s="13" cm="1">
        <f t="array" ref="AU2853">$C2853*EXP(poly_from_str(100000000/$E2853,AU$4343))</f>
        <v>8.9143807418692926</v>
      </c>
      <c r="AV2853" s="13">
        <f t="shared" si="2127"/>
        <v>2.9284348505533655E-2</v>
      </c>
      <c r="AW2853" s="13"/>
      <c r="AX2853" s="13"/>
      <c r="AY2853" s="13"/>
    </row>
    <row r="2854" spans="1:51" x14ac:dyDescent="0.25">
      <c r="A2854" t="s">
        <v>3437</v>
      </c>
      <c r="B2854" s="2" t="str">
        <f t="shared" si="2095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2096"/>
        <v>2687.9459999999999</v>
      </c>
      <c r="AB2854" s="3">
        <f t="shared" si="2097"/>
        <v>37192.080000000002</v>
      </c>
      <c r="AC2854" s="3" cm="1">
        <f t="array" ref="AC2854">100000000/LvacE(AA2854)</f>
        <v>37192.085255137339</v>
      </c>
      <c r="AD2854" s="10">
        <f t="shared" si="2098"/>
        <v>1.191830960427355E-2</v>
      </c>
      <c r="AE2854" s="10" t="b">
        <f t="shared" si="2099"/>
        <v>1</v>
      </c>
      <c r="AP2854"/>
      <c r="AQ2854"/>
      <c r="AU2854" s="13" cm="1">
        <f t="array" ref="AU2854">$C2854*EXP(poly_from_str(100000000/$E2854,AU$4343))</f>
        <v>0</v>
      </c>
    </row>
    <row r="2855" spans="1:51" x14ac:dyDescent="0.25">
      <c r="A2855" t="s">
        <v>3438</v>
      </c>
      <c r="B2855" s="2" t="str">
        <f t="shared" si="2095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2128">$G2855&amp;""</f>
        <v>o</v>
      </c>
      <c r="N2855" t="str">
        <f t="shared" ref="N2855:N2859" si="2129">$H2855&amp;""</f>
        <v>7/2</v>
      </c>
      <c r="O2855">
        <v>100430.29</v>
      </c>
      <c r="P2855" t="str">
        <f t="shared" ref="P2855:P2859" si="2130">$J2855&amp;""</f>
        <v>e</v>
      </c>
      <c r="Q2855" t="str">
        <f t="shared" ref="Q2855:Q2859" si="2131">$K2855&amp;""</f>
        <v>9/2</v>
      </c>
      <c r="R2855">
        <v>28</v>
      </c>
      <c r="AA2855" s="10">
        <f t="shared" si="2096"/>
        <v>2687.5059999999999</v>
      </c>
      <c r="AB2855" s="3">
        <f t="shared" si="2097"/>
        <v>37198.17</v>
      </c>
      <c r="AC2855" s="3" cm="1">
        <f t="array" ref="AC2855">100000000/LvacE(AA2855)</f>
        <v>37198.174021128769</v>
      </c>
      <c r="AD2855" s="10">
        <f t="shared" si="2098"/>
        <v>1.192057506497265E-2</v>
      </c>
      <c r="AE2855" s="10" t="b">
        <f t="shared" si="2099"/>
        <v>1</v>
      </c>
      <c r="AJ2855" t="s">
        <v>4819</v>
      </c>
      <c r="AK2855" t="s">
        <v>4732</v>
      </c>
      <c r="AL2855">
        <v>63232.14</v>
      </c>
      <c r="AM2855">
        <v>100430.29</v>
      </c>
      <c r="AN2855" s="10" cm="1">
        <f t="array" ref="AN2855">Lair(100000000/($AM2855-$AL2855))</f>
        <v>2687.5077336182721</v>
      </c>
      <c r="AO2855" s="10">
        <f t="shared" ref="AO2855:AO2859" si="2132">100000000/($AM2855-$AL2855)</f>
        <v>2688.3057356347026</v>
      </c>
      <c r="AP2855" s="12">
        <v>18900000</v>
      </c>
      <c r="AQ2855" s="3">
        <v>6.5000000000000002E-2</v>
      </c>
      <c r="AR2855" s="3">
        <f t="shared" ref="AR2855:AR2859" si="2133">LN(AU2855*100000000/($AM2855-$AL2855)/AP2855)</f>
        <v>-8.4576313885273677</v>
      </c>
      <c r="AS2855" s="13">
        <f t="shared" ref="AS2855:AS2859" si="2134">EXP(AR$4341*$AM2855+AR$4342)*$AP2855/(100000000/($AM2855-$AL2855))</f>
        <v>0.33129490699889902</v>
      </c>
      <c r="AT2855" s="3">
        <f t="shared" ref="AT2855:AT2859" si="2135">LN(AS2855/$C2855)</f>
        <v>-1.1047463425716935</v>
      </c>
      <c r="AU2855" s="13" cm="1">
        <f t="array" ref="AU2855">$C2855*EXP(poly_from_str(100000000/$E2855,AU$4343))</f>
        <v>1.4923837225223788</v>
      </c>
      <c r="AV2855" s="13">
        <f t="shared" ref="AV2855:AV2859" si="2136">LN(AS2855/AU2855)</f>
        <v>-1.505120997963636</v>
      </c>
      <c r="AW2855" s="13"/>
      <c r="AX2855" s="13"/>
      <c r="AY2855" s="13"/>
    </row>
    <row r="2856" spans="1:51" x14ac:dyDescent="0.25">
      <c r="A2856" t="s">
        <v>3439</v>
      </c>
      <c r="B2856" s="2" t="str">
        <f t="shared" si="2095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2128"/>
        <v>e</v>
      </c>
      <c r="N2856" t="str">
        <f t="shared" si="2129"/>
        <v>9/2</v>
      </c>
      <c r="O2856">
        <v>65922.42</v>
      </c>
      <c r="P2856" t="str">
        <f t="shared" si="2130"/>
        <v>o</v>
      </c>
      <c r="Q2856" t="str">
        <f t="shared" si="2131"/>
        <v>11/2</v>
      </c>
      <c r="R2856">
        <v>28</v>
      </c>
      <c r="AA2856" s="10">
        <f t="shared" si="2096"/>
        <v>2687.2530000000002</v>
      </c>
      <c r="AB2856" s="3">
        <f t="shared" si="2097"/>
        <v>37201.68</v>
      </c>
      <c r="AC2856" s="3" cm="1">
        <f t="array" ref="AC2856">100000000/LvacE(AA2856)</f>
        <v>37201.67596434275</v>
      </c>
      <c r="AD2856" s="10">
        <f t="shared" si="2098"/>
        <v>1.1921878208777281E-2</v>
      </c>
      <c r="AE2856" s="10" t="b">
        <f t="shared" si="2099"/>
        <v>1</v>
      </c>
      <c r="AJ2856" t="s">
        <v>4708</v>
      </c>
      <c r="AK2856" t="s">
        <v>4833</v>
      </c>
      <c r="AL2856">
        <v>28720.71</v>
      </c>
      <c r="AM2856">
        <v>65922.42</v>
      </c>
      <c r="AN2856" s="10" cm="1">
        <f t="array" ref="AN2856">Lair(100000000/($AM2856-$AL2856))</f>
        <v>2687.2505393432684</v>
      </c>
      <c r="AO2856" s="10">
        <f t="shared" si="2132"/>
        <v>2688.0484794919375</v>
      </c>
      <c r="AP2856" s="12">
        <v>19300000</v>
      </c>
      <c r="AQ2856" s="3">
        <v>5.7000000000000002E-2</v>
      </c>
      <c r="AR2856" s="3">
        <f t="shared" si="2133"/>
        <v>-6.3968488275883395</v>
      </c>
      <c r="AS2856" s="13">
        <f t="shared" si="2134"/>
        <v>4.5086436449537821</v>
      </c>
      <c r="AT2856" s="3">
        <f t="shared" si="2135"/>
        <v>-0.57344517731045552</v>
      </c>
      <c r="AU2856" s="13" cm="1">
        <f t="array" ref="AU2856">$C2856*EXP(poly_from_str(100000000/$E2856,AU$4343))</f>
        <v>11.96751731694399</v>
      </c>
      <c r="AV2856" s="13">
        <f t="shared" si="2136"/>
        <v>-0.97619972491171736</v>
      </c>
      <c r="AW2856" s="13"/>
      <c r="AX2856" s="13"/>
      <c r="AY2856" s="13"/>
    </row>
    <row r="2857" spans="1:51" x14ac:dyDescent="0.25">
      <c r="A2857" t="s">
        <v>3440</v>
      </c>
      <c r="B2857" s="2" t="str">
        <f t="shared" si="2095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2128"/>
        <v>e</v>
      </c>
      <c r="N2857" t="str">
        <f t="shared" si="2129"/>
        <v>9/2</v>
      </c>
      <c r="O2857">
        <v>62240.83</v>
      </c>
      <c r="P2857" t="str">
        <f t="shared" si="2130"/>
        <v>o</v>
      </c>
      <c r="Q2857" t="str">
        <f t="shared" si="2131"/>
        <v>11/2</v>
      </c>
      <c r="R2857">
        <v>28</v>
      </c>
      <c r="AA2857" s="10">
        <f t="shared" si="2096"/>
        <v>2686.8760000000002</v>
      </c>
      <c r="AB2857" s="3">
        <f t="shared" si="2097"/>
        <v>37206.89</v>
      </c>
      <c r="AC2857" s="3" cm="1">
        <f t="array" ref="AC2857">100000000/LvacE(AA2857)</f>
        <v>37206.895498407554</v>
      </c>
      <c r="AD2857" s="10">
        <f t="shared" si="2098"/>
        <v>1.192382073054498E-2</v>
      </c>
      <c r="AE2857" s="10" t="b">
        <f t="shared" si="2099"/>
        <v>1</v>
      </c>
      <c r="AJ2857" t="s">
        <v>4746</v>
      </c>
      <c r="AK2857" t="s">
        <v>4892</v>
      </c>
      <c r="AL2857">
        <v>25033.91</v>
      </c>
      <c r="AM2857">
        <v>62240.83</v>
      </c>
      <c r="AN2857" s="10" cm="1">
        <f t="array" ref="AN2857">Lair(100000000/($AM2857-$AL2857))</f>
        <v>2686.8742285729913</v>
      </c>
      <c r="AO2857" s="10">
        <f t="shared" si="2132"/>
        <v>2687.6720782048073</v>
      </c>
      <c r="AP2857" s="12">
        <v>18800000</v>
      </c>
      <c r="AQ2857" s="3">
        <v>7.6999999999999999E-2</v>
      </c>
      <c r="AR2857" s="3">
        <f t="shared" si="2133"/>
        <v>-6.8372210767011126</v>
      </c>
      <c r="AS2857" s="13">
        <f t="shared" si="2134"/>
        <v>5.7902737863343789</v>
      </c>
      <c r="AT2857" s="3">
        <f t="shared" si="2135"/>
        <v>0.14674166410096642</v>
      </c>
      <c r="AU2857" s="13" cm="1">
        <f t="array" ref="AU2857">$C2857*EXP(poly_from_str(100000000/$E2857,AU$4343))</f>
        <v>7.5060972100896075</v>
      </c>
      <c r="AV2857" s="13">
        <f t="shared" si="2136"/>
        <v>-0.25953607507839244</v>
      </c>
      <c r="AW2857" s="13"/>
      <c r="AX2857" s="13"/>
      <c r="AY2857" s="13"/>
    </row>
    <row r="2858" spans="1:51" x14ac:dyDescent="0.25">
      <c r="A2858" t="s">
        <v>3441</v>
      </c>
      <c r="B2858" s="2" t="str">
        <f t="shared" si="2095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2128"/>
        <v>o</v>
      </c>
      <c r="N2858" t="str">
        <f t="shared" si="2129"/>
        <v>5/2</v>
      </c>
      <c r="O2858">
        <v>100788.95</v>
      </c>
      <c r="P2858" t="str">
        <f t="shared" si="2130"/>
        <v>e</v>
      </c>
      <c r="Q2858" t="str">
        <f t="shared" si="2131"/>
        <v>7/2</v>
      </c>
      <c r="R2858">
        <v>28</v>
      </c>
      <c r="AA2858" s="10">
        <f t="shared" si="2096"/>
        <v>2686.4549999999999</v>
      </c>
      <c r="AB2858" s="3">
        <f t="shared" si="2097"/>
        <v>37212.730000000003</v>
      </c>
      <c r="AC2858" s="3" cm="1">
        <f t="array" ref="AC2858">100000000/LvacE(AA2858)</f>
        <v>37212.725940075092</v>
      </c>
      <c r="AD2858" s="10">
        <f t="shared" si="2098"/>
        <v>1.1925990932302066E-2</v>
      </c>
      <c r="AE2858" s="10" t="b">
        <f t="shared" si="2099"/>
        <v>1</v>
      </c>
      <c r="AJ2858" t="s">
        <v>4843</v>
      </c>
      <c r="AK2858" t="s">
        <v>4873</v>
      </c>
      <c r="AL2858">
        <v>63576.27</v>
      </c>
      <c r="AM2858">
        <v>100788.95</v>
      </c>
      <c r="AN2858" s="10" cm="1">
        <f t="array" ref="AN2858">Lair(100000000/($AM2858-$AL2858))</f>
        <v>2686.4583147359663</v>
      </c>
      <c r="AO2858" s="10">
        <f t="shared" si="2132"/>
        <v>2687.2560643307602</v>
      </c>
      <c r="AP2858" s="12">
        <v>257000000</v>
      </c>
      <c r="AQ2858" s="3">
        <v>0.71399999999999997</v>
      </c>
      <c r="AR2858" s="3">
        <f t="shared" si="2133"/>
        <v>-9.9594847520590601</v>
      </c>
      <c r="AS2858" s="13">
        <f t="shared" si="2134"/>
        <v>4.3869844776315841</v>
      </c>
      <c r="AT2858" s="3">
        <f t="shared" si="2135"/>
        <v>0.38002979524473923</v>
      </c>
      <c r="AU2858" s="13" cm="1">
        <f t="array" ref="AU2858">$C2858*EXP(poly_from_str(100000000/$E2858,AU$4343))</f>
        <v>4.5214194820543554</v>
      </c>
      <c r="AV2858" s="13">
        <f t="shared" si="2136"/>
        <v>-3.0183905331866025E-2</v>
      </c>
      <c r="AW2858" s="13"/>
      <c r="AX2858" s="13"/>
      <c r="AY2858" s="13"/>
    </row>
    <row r="2859" spans="1:51" x14ac:dyDescent="0.25">
      <c r="A2859" t="s">
        <v>3442</v>
      </c>
      <c r="B2859" s="2" t="str">
        <f t="shared" si="2095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2128"/>
        <v>e</v>
      </c>
      <c r="N2859" t="str">
        <f t="shared" si="2129"/>
        <v>9/2</v>
      </c>
      <c r="O2859">
        <v>67049.179999999993</v>
      </c>
      <c r="P2859" t="str">
        <f t="shared" si="2130"/>
        <v>o</v>
      </c>
      <c r="Q2859" t="str">
        <f t="shared" si="2131"/>
        <v>9/2</v>
      </c>
      <c r="R2859">
        <v>28</v>
      </c>
      <c r="AA2859" s="10">
        <f t="shared" si="2096"/>
        <v>2686.3560000000002</v>
      </c>
      <c r="AB2859" s="3">
        <f t="shared" si="2097"/>
        <v>37214.1</v>
      </c>
      <c r="AC2859" s="3" cm="1">
        <f t="array" ref="AC2859">100000000/LvacE(AA2859)</f>
        <v>37214.097259422233</v>
      </c>
      <c r="AD2859" s="10">
        <f t="shared" si="2098"/>
        <v>1.1926501412959086E-2</v>
      </c>
      <c r="AE2859" s="10" t="b">
        <f t="shared" si="2099"/>
        <v>1</v>
      </c>
      <c r="AJ2859" t="s">
        <v>4697</v>
      </c>
      <c r="AK2859" t="s">
        <v>4862</v>
      </c>
      <c r="AL2859">
        <v>29835.09</v>
      </c>
      <c r="AM2859">
        <v>67049.179999999993</v>
      </c>
      <c r="AN2859" s="10" cm="1">
        <f t="array" ref="AN2859">Lair(100000000/($AM2859-$AL2859))</f>
        <v>2686.3565221097342</v>
      </c>
      <c r="AO2859" s="10">
        <f t="shared" si="2132"/>
        <v>2687.154247221953</v>
      </c>
      <c r="AP2859" s="12">
        <v>126000000</v>
      </c>
      <c r="AQ2859" s="3">
        <v>0.24</v>
      </c>
      <c r="AR2859" s="3">
        <f t="shared" si="2133"/>
        <v>-8.1471948673721002</v>
      </c>
      <c r="AS2859" s="13">
        <f t="shared" si="2134"/>
        <v>27.057012485031461</v>
      </c>
      <c r="AT2859" s="3">
        <f t="shared" si="2135"/>
        <v>1.1007216359497882</v>
      </c>
      <c r="AU2859" s="13" cm="1">
        <f t="array" ref="AU2859">$C2859*EXP(poly_from_str(100000000/$E2859,AU$4343))</f>
        <v>13.576761059970098</v>
      </c>
      <c r="AV2859" s="13">
        <f t="shared" si="2136"/>
        <v>0.68958662770538759</v>
      </c>
      <c r="AW2859" s="13"/>
      <c r="AX2859" s="13"/>
      <c r="AY2859" s="13"/>
    </row>
    <row r="2860" spans="1:51" x14ac:dyDescent="0.25">
      <c r="A2860" t="s">
        <v>3443</v>
      </c>
      <c r="B2860" s="2" t="str">
        <f t="shared" si="2095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2096"/>
        <v>2685.6970000000001</v>
      </c>
      <c r="AB2860" s="3">
        <f t="shared" si="2097"/>
        <v>37223.230000000003</v>
      </c>
      <c r="AC2860" s="3" cm="1">
        <f t="array" ref="AC2860">100000000/LvacE(AA2860)</f>
        <v>37223.228112751167</v>
      </c>
      <c r="AD2860" s="10">
        <f t="shared" si="2098"/>
        <v>1.19299008996084E-2</v>
      </c>
      <c r="AE2860" s="10" t="b">
        <f t="shared" si="2099"/>
        <v>1</v>
      </c>
      <c r="AP2860"/>
      <c r="AQ2860"/>
      <c r="AU2860" s="13" cm="1">
        <f t="array" ref="AU2860">$C2860*EXP(poly_from_str(100000000/$E2860,AU$4343))</f>
        <v>9.1067388734004151</v>
      </c>
    </row>
    <row r="2861" spans="1:51" x14ac:dyDescent="0.25">
      <c r="A2861" t="s">
        <v>3444</v>
      </c>
      <c r="B2861" s="2" t="str">
        <f t="shared" si="2095"/>
        <v/>
      </c>
      <c r="C2861">
        <v>6</v>
      </c>
      <c r="D2861" t="s">
        <v>1156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2137">$G2861&amp;""</f>
        <v>e</v>
      </c>
      <c r="N2861" t="str">
        <f t="shared" ref="N2861:N2865" si="2138">$H2861&amp;""</f>
        <v>7/2</v>
      </c>
      <c r="O2861">
        <v>73029.899999999994</v>
      </c>
      <c r="P2861" t="str">
        <f t="shared" ref="P2861:P2865" si="2139">$J2861&amp;""</f>
        <v>o</v>
      </c>
      <c r="Q2861" t="str">
        <f t="shared" ref="Q2861:Q2865" si="2140">$K2861&amp;""</f>
        <v>9/2</v>
      </c>
      <c r="R2861">
        <v>28</v>
      </c>
      <c r="AA2861" s="10">
        <f t="shared" si="2096"/>
        <v>2685.3119999999999</v>
      </c>
      <c r="AB2861" s="3">
        <f t="shared" si="2097"/>
        <v>37228.559999999998</v>
      </c>
      <c r="AC2861" s="3" cm="1">
        <f t="array" ref="AC2861">100000000/LvacE(AA2861)</f>
        <v>37228.564600010184</v>
      </c>
      <c r="AD2861" s="10">
        <f t="shared" si="2098"/>
        <v>1.1931888100900415E-2</v>
      </c>
      <c r="AE2861" s="10" t="b">
        <f t="shared" si="2099"/>
        <v>1</v>
      </c>
      <c r="AJ2861" t="s">
        <v>4810</v>
      </c>
      <c r="AK2861" t="s">
        <v>4954</v>
      </c>
      <c r="AL2861">
        <v>35801.120000000003</v>
      </c>
      <c r="AM2861">
        <v>73029.899999999994</v>
      </c>
      <c r="AN2861" s="10" cm="1">
        <f t="array" ref="AN2861">Lair(100000000/($AM2861-$AL2861))</f>
        <v>2685.2964603816731</v>
      </c>
      <c r="AO2861" s="10">
        <f t="shared" ref="AO2861:AO2865" si="2141">100000000/($AM2861-$AL2861)</f>
        <v>2686.0939305558768</v>
      </c>
      <c r="AU2861" s="13" cm="1">
        <f t="array" ref="AU2861">$C2861*EXP(poly_from_str(100000000/$E2861,AU$4343))</f>
        <v>9.139190854253977</v>
      </c>
    </row>
    <row r="2862" spans="1:51" x14ac:dyDescent="0.25">
      <c r="A2862" t="s">
        <v>3445</v>
      </c>
      <c r="B2862" s="2" t="str">
        <f t="shared" si="2095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2137"/>
        <v>e</v>
      </c>
      <c r="N2862" t="str">
        <f t="shared" si="2138"/>
        <v>7/2</v>
      </c>
      <c r="O2862">
        <v>68492.429999999993</v>
      </c>
      <c r="P2862" t="str">
        <f t="shared" si="2139"/>
        <v>o</v>
      </c>
      <c r="Q2862" t="str">
        <f t="shared" si="2140"/>
        <v>7/2</v>
      </c>
      <c r="R2862">
        <v>28</v>
      </c>
      <c r="AA2862" s="10">
        <f t="shared" si="2096"/>
        <v>2684.6529999999998</v>
      </c>
      <c r="AB2862" s="3">
        <f t="shared" si="2097"/>
        <v>37237.699999999997</v>
      </c>
      <c r="AC2862" s="3" cm="1">
        <f t="array" ref="AC2862">100000000/LvacE(AA2862)</f>
        <v>37237.702554665935</v>
      </c>
      <c r="AD2862" s="10">
        <f t="shared" si="2098"/>
        <v>1.1935291554377035E-2</v>
      </c>
      <c r="AE2862" s="10" t="b">
        <f t="shared" si="2099"/>
        <v>1</v>
      </c>
      <c r="AJ2862" t="s">
        <v>4735</v>
      </c>
      <c r="AK2862" t="s">
        <v>4831</v>
      </c>
      <c r="AL2862">
        <v>31254.71</v>
      </c>
      <c r="AM2862">
        <v>68492.429999999993</v>
      </c>
      <c r="AN2862" s="10" cm="1">
        <f t="array" ref="AN2862">Lair(100000000/($AM2862-$AL2862))</f>
        <v>2684.6517402774007</v>
      </c>
      <c r="AO2862" s="10">
        <f t="shared" si="2141"/>
        <v>2685.4490554201498</v>
      </c>
      <c r="AP2862" s="12">
        <v>6740000</v>
      </c>
      <c r="AQ2862" s="3">
        <v>1.7000000000000001E-2</v>
      </c>
      <c r="AR2862" s="3"/>
      <c r="AS2862" s="13">
        <f t="shared" ref="AS2862:AS2865" si="2142">EXP(AR$4341*$AM2862+AR$4342)*$AP2862/(100000000/($AM2862-$AL2862))</f>
        <v>1.299588619818125</v>
      </c>
      <c r="AT2862" s="3"/>
      <c r="AU2862" s="13" cm="1">
        <f t="array" ref="AU2862">$C2862*EXP(poly_from_str(100000000/$E2862,AU$4343))</f>
        <v>4.5974311586506627</v>
      </c>
      <c r="AV2862" s="13"/>
      <c r="AW2862" s="13"/>
      <c r="AX2862" s="13"/>
      <c r="AY2862" s="13"/>
    </row>
    <row r="2863" spans="1:51" x14ac:dyDescent="0.25">
      <c r="A2863" t="s">
        <v>3446</v>
      </c>
      <c r="B2863" s="2" t="str">
        <f t="shared" si="2095"/>
        <v/>
      </c>
      <c r="C2863">
        <v>8</v>
      </c>
      <c r="D2863" t="s">
        <v>1156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2137"/>
        <v>e</v>
      </c>
      <c r="N2863" t="str">
        <f t="shared" si="2138"/>
        <v>9/2</v>
      </c>
      <c r="O2863">
        <v>68238.12</v>
      </c>
      <c r="P2863" t="str">
        <f t="shared" si="2139"/>
        <v>o</v>
      </c>
      <c r="Q2863" t="str">
        <f t="shared" si="2140"/>
        <v>11/2</v>
      </c>
      <c r="R2863">
        <v>28</v>
      </c>
      <c r="AA2863" s="10">
        <f t="shared" si="2096"/>
        <v>2684.2579999999998</v>
      </c>
      <c r="AB2863" s="3">
        <f t="shared" si="2097"/>
        <v>37243.18</v>
      </c>
      <c r="AC2863" s="3" cm="1">
        <f t="array" ref="AC2863">100000000/LvacE(AA2863)</f>
        <v>37243.181931362655</v>
      </c>
      <c r="AD2863" s="10">
        <f t="shared" si="2098"/>
        <v>1.1937332762231249E-2</v>
      </c>
      <c r="AE2863" s="10" t="b">
        <f t="shared" si="2099"/>
        <v>1</v>
      </c>
      <c r="AJ2863" t="s">
        <v>4788</v>
      </c>
      <c r="AK2863" t="s">
        <v>4934</v>
      </c>
      <c r="AL2863">
        <v>30994.55</v>
      </c>
      <c r="AM2863">
        <v>68238.12</v>
      </c>
      <c r="AN2863" s="10" cm="1">
        <f t="array" ref="AN2863">Lair(100000000/($AM2863-$AL2863))</f>
        <v>2684.2300271995769</v>
      </c>
      <c r="AO2863" s="10">
        <f t="shared" si="2141"/>
        <v>2685.0272409438735</v>
      </c>
      <c r="AP2863" s="12">
        <v>95800000</v>
      </c>
      <c r="AQ2863" s="3">
        <v>0.32800000000000001</v>
      </c>
      <c r="AR2863" s="3">
        <f t="shared" ref="AR2863:AR2864" si="2143">LN(AU2863*100000000/($AM2863-$AL2863)/AP2863)</f>
        <v>-7.972375217342492</v>
      </c>
      <c r="AS2863" s="13">
        <f t="shared" si="2142"/>
        <v>18.830779830745545</v>
      </c>
      <c r="AT2863" s="3">
        <f t="shared" ref="AT2863:AT2864" si="2144">LN(AS2863/$C2863)</f>
        <v>0.85605121440387888</v>
      </c>
      <c r="AU2863" s="13" cm="1">
        <f t="array" ref="AU2863">$C2863*EXP(poly_from_str(100000000/$E2863,AU$4343))</f>
        <v>12.304337876673239</v>
      </c>
      <c r="AV2863" s="13">
        <f t="shared" ref="AV2863:AV2864" si="2145">LN(AS2863/AU2863)</f>
        <v>0.42554088297954917</v>
      </c>
      <c r="AW2863" s="13"/>
      <c r="AX2863" s="13"/>
      <c r="AY2863" s="13"/>
    </row>
    <row r="2864" spans="1:51" x14ac:dyDescent="0.25">
      <c r="A2864" t="s">
        <v>3447</v>
      </c>
      <c r="B2864" s="2" t="str">
        <f t="shared" si="2095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2137"/>
        <v>e</v>
      </c>
      <c r="N2864" t="str">
        <f t="shared" si="2138"/>
        <v>13/2</v>
      </c>
      <c r="O2864">
        <v>60419.73</v>
      </c>
      <c r="P2864" t="str">
        <f t="shared" si="2139"/>
        <v>o</v>
      </c>
      <c r="Q2864" t="str">
        <f t="shared" si="2140"/>
        <v>11/2</v>
      </c>
      <c r="R2864">
        <v>28</v>
      </c>
      <c r="AA2864" s="10">
        <f t="shared" si="2096"/>
        <v>2684.1509999999998</v>
      </c>
      <c r="AB2864" s="3">
        <f t="shared" si="2097"/>
        <v>37244.67</v>
      </c>
      <c r="AC2864" s="3" cm="1">
        <f t="array" ref="AC2864">100000000/LvacE(AA2864)</f>
        <v>37244.666495782571</v>
      </c>
      <c r="AD2864" s="10">
        <f t="shared" si="2098"/>
        <v>1.1937885852133984E-2</v>
      </c>
      <c r="AE2864" s="10" t="b">
        <f t="shared" si="2099"/>
        <v>1</v>
      </c>
      <c r="AJ2864" t="s">
        <v>4969</v>
      </c>
      <c r="AK2864" t="s">
        <v>4849</v>
      </c>
      <c r="AL2864">
        <v>23175.09</v>
      </c>
      <c r="AM2864">
        <v>60419.73</v>
      </c>
      <c r="AN2864" s="10" cm="1">
        <f t="array" ref="AN2864">Lair(100000000/($AM2864-$AL2864))</f>
        <v>2684.1529076852426</v>
      </c>
      <c r="AO2864" s="10">
        <f t="shared" si="2141"/>
        <v>2684.9501028872878</v>
      </c>
      <c r="AP2864" s="12">
        <v>84000000</v>
      </c>
      <c r="AQ2864" s="3">
        <v>0.36899999999999999</v>
      </c>
      <c r="AR2864" s="3">
        <f t="shared" si="2143"/>
        <v>-7.7221915186689927</v>
      </c>
      <c r="AS2864" s="13">
        <f t="shared" si="2142"/>
        <v>29.690301282618726</v>
      </c>
      <c r="AT2864" s="3">
        <f t="shared" si="2144"/>
        <v>1.1935958590005837</v>
      </c>
      <c r="AU2864" s="13" cm="1">
        <f t="array" ref="AU2864">$C2864*EXP(poly_from_str(100000000/$E2864,AU$4343))</f>
        <v>13.856000875738999</v>
      </c>
      <c r="AV2864" s="13">
        <f t="shared" si="2145"/>
        <v>0.76210202131385341</v>
      </c>
      <c r="AW2864" s="13"/>
      <c r="AX2864" s="13"/>
      <c r="AY2864" s="13"/>
    </row>
    <row r="2865" spans="1:51" x14ac:dyDescent="0.25">
      <c r="A2865" t="s">
        <v>3448</v>
      </c>
      <c r="B2865" s="2" t="str">
        <f t="shared" si="2095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2137"/>
        <v>e</v>
      </c>
      <c r="N2865" t="str">
        <f t="shared" si="2138"/>
        <v>9/2</v>
      </c>
      <c r="O2865">
        <v>64857.15</v>
      </c>
      <c r="P2865" t="str">
        <f t="shared" si="2139"/>
        <v>o</v>
      </c>
      <c r="Q2865" t="str">
        <f t="shared" si="2140"/>
        <v>9/2</v>
      </c>
      <c r="R2865">
        <v>28</v>
      </c>
      <c r="S2865" t="s">
        <v>159</v>
      </c>
      <c r="AA2865" s="10">
        <f t="shared" si="2096"/>
        <v>2683.56</v>
      </c>
      <c r="AB2865" s="3">
        <f t="shared" si="2097"/>
        <v>37252.870000000003</v>
      </c>
      <c r="AC2865" s="3" cm="1">
        <f t="array" ref="AC2865">100000000/LvacE(AA2865)</f>
        <v>37252.868418737671</v>
      </c>
      <c r="AD2865" s="10">
        <f t="shared" si="2098"/>
        <v>1.194094196118918E-2</v>
      </c>
      <c r="AE2865" s="10" t="b">
        <f t="shared" si="2099"/>
        <v>1</v>
      </c>
      <c r="AJ2865" t="s">
        <v>4718</v>
      </c>
      <c r="AK2865" t="s">
        <v>4854</v>
      </c>
      <c r="AL2865">
        <v>27604.26</v>
      </c>
      <c r="AM2865">
        <v>64857.15</v>
      </c>
      <c r="AN2865" s="10" cm="1">
        <f t="array" ref="AN2865">Lair(100000000/($AM2865-$AL2865))</f>
        <v>2683.5584433617564</v>
      </c>
      <c r="AO2865" s="10">
        <f t="shared" si="2141"/>
        <v>2684.3554956407411</v>
      </c>
      <c r="AP2865" s="12">
        <v>4820000</v>
      </c>
      <c r="AQ2865" s="3">
        <v>8.0000000000000002E-3</v>
      </c>
      <c r="AR2865" s="3"/>
      <c r="AS2865" s="13">
        <f t="shared" si="2142"/>
        <v>1.2213845058572306</v>
      </c>
      <c r="AT2865" s="3"/>
      <c r="AU2865" s="13" cm="1">
        <f t="array" ref="AU2865">$C2865*EXP(poly_from_str(100000000/$E2865,AU$4343))</f>
        <v>6.1915456029630409</v>
      </c>
      <c r="AV2865" s="13"/>
      <c r="AW2865" s="13"/>
      <c r="AX2865" s="13"/>
      <c r="AY2865" s="13"/>
    </row>
    <row r="2866" spans="1:51" x14ac:dyDescent="0.25">
      <c r="A2866" t="s">
        <v>3449</v>
      </c>
      <c r="B2866" s="2" t="str">
        <f t="shared" si="2095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2096"/>
        <v>2683.402</v>
      </c>
      <c r="AB2866" s="3">
        <f t="shared" si="2097"/>
        <v>37255.06</v>
      </c>
      <c r="AC2866" s="3" cm="1">
        <f t="array" ref="AC2866">100000000/LvacE(AA2866)</f>
        <v>37255.061761387449</v>
      </c>
      <c r="AD2866" s="10">
        <f t="shared" si="2098"/>
        <v>1.1941759334119048E-2</v>
      </c>
      <c r="AE2866" s="10" t="b">
        <f t="shared" si="2099"/>
        <v>1</v>
      </c>
      <c r="AP2866"/>
      <c r="AQ2866"/>
      <c r="AU2866" s="13" cm="1">
        <f t="array" ref="AU2866">$C2866*EXP(poly_from_str(100000000/$E2866,AU$4343))</f>
        <v>1.5501118323382468</v>
      </c>
    </row>
    <row r="2867" spans="1:51" x14ac:dyDescent="0.25">
      <c r="A2867" t="s">
        <v>3450</v>
      </c>
      <c r="B2867" s="2" t="str">
        <f t="shared" si="2095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2096"/>
        <v>2683.2809999999999</v>
      </c>
      <c r="AB2867" s="3">
        <f t="shared" si="2097"/>
        <v>37256.74</v>
      </c>
      <c r="AC2867" s="3" cm="1">
        <f t="array" ref="AC2867">100000000/LvacE(AA2867)</f>
        <v>37256.741647796975</v>
      </c>
      <c r="AD2867" s="10">
        <f t="shared" si="2098"/>
        <v>1.1942385394559305E-2</v>
      </c>
      <c r="AE2867" s="10" t="b">
        <f t="shared" si="2099"/>
        <v>1</v>
      </c>
      <c r="AJ2867" t="s">
        <v>4717</v>
      </c>
      <c r="AK2867" t="s">
        <v>4880</v>
      </c>
      <c r="AL2867">
        <v>24461.24</v>
      </c>
      <c r="AM2867">
        <v>61717.98</v>
      </c>
      <c r="AN2867" s="10" cm="1">
        <f t="array" ref="AN2867">Lair(100000000/($AM2867-$AL2867))</f>
        <v>2683.2811167707168</v>
      </c>
      <c r="AO2867" s="10">
        <f>100000000/($AM2867-$AL2867)</f>
        <v>2684.0781023782538</v>
      </c>
      <c r="AP2867" s="12">
        <v>4850000</v>
      </c>
      <c r="AQ2867" s="3">
        <v>7.8E-2</v>
      </c>
      <c r="AR2867" s="3">
        <f>LN(AU2867*100000000/($AM2867-$AL2867)/AP2867)</f>
        <v>-5.9613564877977092</v>
      </c>
      <c r="AS2867" s="13">
        <f>EXP(AR$4341*$AM2867+AR$4342)*$AP2867/(100000000/($AM2867-$AL2867))</f>
        <v>1.5556254954429041</v>
      </c>
      <c r="AT2867" s="3">
        <f>LN(AS2867/$C2867)</f>
        <v>-0.65673457604364927</v>
      </c>
      <c r="AU2867" s="13" cm="1">
        <f t="array" ref="AU2867">$C2867*EXP(poly_from_str(100000000/$E2867,AU$4343))</f>
        <v>4.655457457558331</v>
      </c>
      <c r="AV2867" s="13">
        <f>LN(AS2867/AU2867)</f>
        <v>-1.0961624655765572</v>
      </c>
      <c r="AW2867" s="13"/>
      <c r="AX2867" s="13"/>
      <c r="AY2867" s="13"/>
    </row>
    <row r="2868" spans="1:51" x14ac:dyDescent="0.25">
      <c r="A2868" t="s">
        <v>3451</v>
      </c>
      <c r="B2868" s="2" t="str">
        <f t="shared" si="2095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2096"/>
        <v>2683.123</v>
      </c>
      <c r="AB2868" s="3">
        <f t="shared" si="2097"/>
        <v>37258.94</v>
      </c>
      <c r="AC2868" s="3" cm="1">
        <f t="array" ref="AC2868">100000000/LvacE(AA2868)</f>
        <v>37258.935446551353</v>
      </c>
      <c r="AD2868" s="10">
        <f t="shared" si="2098"/>
        <v>1.1943203022476302E-2</v>
      </c>
      <c r="AE2868" s="10" t="b">
        <f t="shared" si="2099"/>
        <v>1</v>
      </c>
      <c r="AP2868"/>
      <c r="AQ2868"/>
      <c r="AU2868" s="13" cm="1">
        <f t="array" ref="AU2868">$C2868*EXP(poly_from_str(100000000/$E2868,AU$4343))</f>
        <v>4.6621653242861658</v>
      </c>
    </row>
    <row r="2869" spans="1:51" x14ac:dyDescent="0.25">
      <c r="A2869" t="s">
        <v>3452</v>
      </c>
      <c r="B2869" s="2" t="str">
        <f t="shared" si="2095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2146">$G2869&amp;""</f>
        <v>e</v>
      </c>
      <c r="N2869" t="str">
        <f t="shared" ref="N2869:N2870" si="2147">$H2869&amp;""</f>
        <v>9/2</v>
      </c>
      <c r="O2869">
        <v>64865.15</v>
      </c>
      <c r="P2869" t="str">
        <f t="shared" ref="P2869:P2870" si="2148">$J2869&amp;""</f>
        <v>o</v>
      </c>
      <c r="Q2869" t="str">
        <f t="shared" ref="Q2869:Q2870" si="2149">$K2869&amp;""</f>
        <v>11/2</v>
      </c>
      <c r="R2869">
        <v>28</v>
      </c>
      <c r="S2869" t="s">
        <v>159</v>
      </c>
      <c r="AA2869" s="10">
        <f t="shared" si="2096"/>
        <v>2682.9839999999999</v>
      </c>
      <c r="AB2869" s="3">
        <f t="shared" si="2097"/>
        <v>37260.870000000003</v>
      </c>
      <c r="AC2869" s="3" cm="1">
        <f t="array" ref="AC2869">100000000/LvacE(AA2869)</f>
        <v>37260.86564768583</v>
      </c>
      <c r="AD2869" s="10">
        <f t="shared" si="2098"/>
        <v>1.1943922447484934E-2</v>
      </c>
      <c r="AE2869" s="10" t="b">
        <f t="shared" si="2099"/>
        <v>1</v>
      </c>
      <c r="AJ2869" t="s">
        <v>4718</v>
      </c>
      <c r="AK2869" t="s">
        <v>4896</v>
      </c>
      <c r="AL2869">
        <v>27604.26</v>
      </c>
      <c r="AM2869">
        <v>64865.15</v>
      </c>
      <c r="AN2869" s="10" cm="1">
        <f t="array" ref="AN2869">Lair(100000000/($AM2869-$AL2869))</f>
        <v>2682.9822444947167</v>
      </c>
      <c r="AO2869" s="10">
        <f t="shared" ref="AO2869:AO2870" si="2150">100000000/($AM2869-$AL2869)</f>
        <v>2683.7791582541372</v>
      </c>
      <c r="AP2869" s="12">
        <v>2730000</v>
      </c>
      <c r="AQ2869" s="3">
        <v>8.1000000000000003E-2</v>
      </c>
      <c r="AR2869" s="3">
        <f t="shared" ref="AR2869:AR2870" si="2151">LN(AU2869*100000000/($AM2869-$AL2869)/AP2869)</f>
        <v>-6.4827017214639131</v>
      </c>
      <c r="AS2869" s="13">
        <f t="shared" ref="AS2869:AS2870" si="2152">EXP(AR$4341*$AM2869+AR$4342)*$AP2869/(100000000/($AM2869-$AL2869))</f>
        <v>0.69151328832617687</v>
      </c>
      <c r="AT2869" s="3">
        <f t="shared" ref="AT2869:AT2870" si="2153">LN(AS2869/$C2869)</f>
        <v>-0.36887291139359341</v>
      </c>
      <c r="AU2869" s="13" cm="1">
        <f t="array" ref="AU2869">$C2869*EXP(poly_from_str(100000000/$E2869,AU$4343))</f>
        <v>1.5560168143264599</v>
      </c>
      <c r="AV2869" s="13">
        <f t="shared" ref="AV2869:AV2870" si="2154">LN(AS2869/AU2869)</f>
        <v>-0.81100214321381103</v>
      </c>
      <c r="AW2869" s="13"/>
      <c r="AX2869" s="13"/>
      <c r="AY2869" s="13"/>
    </row>
    <row r="2870" spans="1:51" x14ac:dyDescent="0.25">
      <c r="A2870" t="s">
        <v>3453</v>
      </c>
      <c r="B2870" s="2" t="str">
        <f t="shared" si="2095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2146"/>
        <v>e</v>
      </c>
      <c r="N2870" t="str">
        <f t="shared" si="2147"/>
        <v>7/2</v>
      </c>
      <c r="O2870">
        <v>64401.03</v>
      </c>
      <c r="P2870" t="str">
        <f t="shared" si="2148"/>
        <v>o</v>
      </c>
      <c r="Q2870" t="str">
        <f t="shared" si="2149"/>
        <v>5/2</v>
      </c>
      <c r="R2870">
        <v>28</v>
      </c>
      <c r="AA2870" s="10">
        <f t="shared" si="2096"/>
        <v>2682.864</v>
      </c>
      <c r="AB2870" s="3">
        <f t="shared" si="2097"/>
        <v>37262.53</v>
      </c>
      <c r="AC2870" s="3" cm="1">
        <f t="array" ref="AC2870">100000000/LvacE(AA2870)</f>
        <v>37262.532169228791</v>
      </c>
      <c r="AD2870" s="10">
        <f t="shared" si="2098"/>
        <v>1.1944543623759681E-2</v>
      </c>
      <c r="AE2870" s="10" t="b">
        <f t="shared" si="2099"/>
        <v>1</v>
      </c>
      <c r="AJ2870" t="s">
        <v>4723</v>
      </c>
      <c r="AK2870" t="s">
        <v>4837</v>
      </c>
      <c r="AL2870">
        <v>27138.55</v>
      </c>
      <c r="AM2870">
        <v>64401.03</v>
      </c>
      <c r="AN2870" s="10" cm="1">
        <f t="array" ref="AN2870">Lair(100000000/($AM2870-$AL2870))</f>
        <v>2682.8677544416173</v>
      </c>
      <c r="AO2870" s="10">
        <f t="shared" si="2150"/>
        <v>2683.664640678774</v>
      </c>
      <c r="AP2870" s="12">
        <v>20500000</v>
      </c>
      <c r="AQ2870" s="3">
        <v>5.6000000000000001E-2</v>
      </c>
      <c r="AR2870" s="3">
        <f t="shared" si="2151"/>
        <v>-6.5518736790141974</v>
      </c>
      <c r="AS2870" s="13">
        <f t="shared" si="2152"/>
        <v>5.3769631198309185</v>
      </c>
      <c r="AT2870" s="3">
        <f t="shared" si="2153"/>
        <v>-0.26378641012596088</v>
      </c>
      <c r="AU2870" s="13" cm="1">
        <f t="array" ref="AU2870">$C2870*EXP(poly_from_str(100000000/$E2870,AU$4343))</f>
        <v>10.903929429555465</v>
      </c>
      <c r="AV2870" s="13">
        <f t="shared" si="2154"/>
        <v>-0.70699948346626384</v>
      </c>
      <c r="AW2870" s="13"/>
      <c r="AX2870" s="13"/>
      <c r="AY2870" s="13"/>
    </row>
    <row r="2871" spans="1:51" x14ac:dyDescent="0.25">
      <c r="A2871" t="s">
        <v>3454</v>
      </c>
      <c r="B2871" s="2" t="str">
        <f t="shared" si="2095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2096"/>
        <v>2682.5990000000002</v>
      </c>
      <c r="AB2871" s="3">
        <f t="shared" si="2097"/>
        <v>37266.21</v>
      </c>
      <c r="AC2871" s="3" cm="1">
        <f t="array" ref="AC2871">100000000/LvacE(AA2871)</f>
        <v>37266.212932425813</v>
      </c>
      <c r="AD2871" s="10">
        <f t="shared" si="2098"/>
        <v>1.1945915683340264E-2</v>
      </c>
      <c r="AE2871" s="10" t="b">
        <f t="shared" si="2099"/>
        <v>1</v>
      </c>
      <c r="AP2871"/>
      <c r="AQ2871"/>
      <c r="AU2871" s="13" cm="1">
        <f t="array" ref="AU2871">$C2871*EXP(poly_from_str(100000000/$E2871,AU$4343))</f>
        <v>6.2457812207758323</v>
      </c>
    </row>
    <row r="2872" spans="1:51" x14ac:dyDescent="0.25">
      <c r="A2872" t="s">
        <v>3455</v>
      </c>
      <c r="B2872" s="2" t="str">
        <f t="shared" si="2095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2096"/>
        <v>2681.15</v>
      </c>
      <c r="AB2872" s="3">
        <f t="shared" si="2097"/>
        <v>37286.35</v>
      </c>
      <c r="AC2872" s="3" cm="1">
        <f t="array" ref="AC2872">100000000/LvacE(AA2872)</f>
        <v>37286.351932639322</v>
      </c>
      <c r="AD2872" s="10">
        <f t="shared" si="2098"/>
        <v>1.1953425196769916E-2</v>
      </c>
      <c r="AE2872" s="10" t="b">
        <f t="shared" si="2099"/>
        <v>1</v>
      </c>
      <c r="AJ2872" t="s">
        <v>4713</v>
      </c>
      <c r="AK2872" t="s">
        <v>4707</v>
      </c>
      <c r="AL2872">
        <v>25934.98</v>
      </c>
      <c r="AM2872">
        <v>63221.279999999999</v>
      </c>
      <c r="AN2872" s="10" cm="1">
        <f t="array" ref="AN2872">Lair(100000000/($AM2872-$AL2872))</f>
        <v>2681.1537326528569</v>
      </c>
      <c r="AO2872" s="10">
        <f>100000000/($AM2872-$AL2872)</f>
        <v>2681.9502069124583</v>
      </c>
      <c r="AP2872" s="12">
        <v>3540000</v>
      </c>
      <c r="AQ2872" s="3">
        <v>1.7000000000000001E-2</v>
      </c>
      <c r="AR2872" s="3"/>
      <c r="AS2872" s="13">
        <f>EXP(AR$4341*$AM2872+AR$4342)*$AP2872/(100000000/($AM2872-$AL2872))</f>
        <v>1.0151141199160587</v>
      </c>
      <c r="AT2872" s="3"/>
      <c r="AU2872" s="13" cm="1">
        <f t="array" ref="AU2872">$C2872*EXP(poly_from_str(100000000/$E2872,AU$4343))</f>
        <v>3.1638559580889227</v>
      </c>
      <c r="AV2872" s="13"/>
      <c r="AW2872" s="13"/>
      <c r="AX2872" s="13"/>
      <c r="AY2872" s="13"/>
    </row>
    <row r="2873" spans="1:51" x14ac:dyDescent="0.25">
      <c r="A2873" t="s">
        <v>3456</v>
      </c>
      <c r="B2873" s="2" t="str">
        <f t="shared" si="2095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2096"/>
        <v>2681.0010000000002</v>
      </c>
      <c r="AB2873" s="3">
        <f t="shared" si="2097"/>
        <v>37288.42</v>
      </c>
      <c r="AC2873" s="3" cm="1">
        <f t="array" ref="AC2873">100000000/LvacE(AA2873)</f>
        <v>37288.424050932044</v>
      </c>
      <c r="AD2873" s="10">
        <f t="shared" si="2098"/>
        <v>1.195419808700781E-2</v>
      </c>
      <c r="AE2873" s="10" t="b">
        <f t="shared" si="2099"/>
        <v>1</v>
      </c>
      <c r="AP2873"/>
      <c r="AQ2873"/>
      <c r="AU2873" s="13" cm="1">
        <f t="array" ref="AU2873">$C2873*EXP(poly_from_str(100000000/$E2873,AU$4343))</f>
        <v>7.920169463793501</v>
      </c>
    </row>
    <row r="2874" spans="1:51" x14ac:dyDescent="0.25">
      <c r="A2874" t="s">
        <v>3457</v>
      </c>
      <c r="B2874" s="2" t="str">
        <f t="shared" si="2095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2096"/>
        <v>2680.8490000000002</v>
      </c>
      <c r="AB2874" s="3">
        <f t="shared" si="2097"/>
        <v>37290.54</v>
      </c>
      <c r="AC2874" s="3" cm="1">
        <f t="array" ref="AC2874">100000000/LvacE(AA2874)</f>
        <v>37290.538127039719</v>
      </c>
      <c r="AD2874" s="10">
        <f t="shared" si="2098"/>
        <v>1.195498667158048E-2</v>
      </c>
      <c r="AE2874" s="10" t="b">
        <f t="shared" si="2099"/>
        <v>1</v>
      </c>
      <c r="AP2874"/>
      <c r="AQ2874"/>
      <c r="AU2874" s="13" cm="1">
        <f t="array" ref="AU2874">$C2874*EXP(poly_from_str(100000000/$E2874,AU$4343))</f>
        <v>1.5861907898425787</v>
      </c>
    </row>
    <row r="2875" spans="1:51" x14ac:dyDescent="0.25">
      <c r="A2875" t="s">
        <v>3458</v>
      </c>
      <c r="B2875" s="2" t="str">
        <f t="shared" si="2095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2155">$G2875&amp;""</f>
        <v>e</v>
      </c>
      <c r="N2875" t="str">
        <f t="shared" ref="N2875:N2878" si="2156">$H2875&amp;""</f>
        <v>5/2</v>
      </c>
      <c r="O2875">
        <v>63232.14</v>
      </c>
      <c r="P2875" t="str">
        <f t="shared" ref="P2875:P2878" si="2157">$J2875&amp;""</f>
        <v>o</v>
      </c>
      <c r="Q2875" t="str">
        <f t="shared" ref="Q2875:Q2878" si="2158">$K2875&amp;""</f>
        <v>7/2</v>
      </c>
      <c r="R2875">
        <v>28</v>
      </c>
      <c r="AA2875" s="10">
        <f t="shared" si="2096"/>
        <v>2680.3679999999999</v>
      </c>
      <c r="AB2875" s="3">
        <f t="shared" si="2097"/>
        <v>37297.230000000003</v>
      </c>
      <c r="AC2875" s="3" cm="1">
        <f t="array" ref="AC2875">100000000/LvacE(AA2875)</f>
        <v>37297.229644989551</v>
      </c>
      <c r="AD2875" s="10">
        <f t="shared" si="2098"/>
        <v>1.1957483010726428E-2</v>
      </c>
      <c r="AE2875" s="10" t="b">
        <f t="shared" si="2099"/>
        <v>1</v>
      </c>
      <c r="AJ2875" t="s">
        <v>4713</v>
      </c>
      <c r="AK2875" t="s">
        <v>4819</v>
      </c>
      <c r="AL2875">
        <v>25934.98</v>
      </c>
      <c r="AM2875">
        <v>63232.14</v>
      </c>
      <c r="AN2875" s="10" cm="1">
        <f t="array" ref="AN2875">Lair(100000000/($AM2875-$AL2875))</f>
        <v>2680.3730034608143</v>
      </c>
      <c r="AO2875" s="10">
        <f t="shared" ref="AO2875:AO2878" si="2159">100000000/($AM2875-$AL2875)</f>
        <v>2681.1692901014444</v>
      </c>
      <c r="AP2875" s="12">
        <v>4990000</v>
      </c>
      <c r="AQ2875" s="3">
        <v>2.4E-2</v>
      </c>
      <c r="AR2875" s="3"/>
      <c r="AS2875" s="13">
        <f t="shared" ref="AS2875:AS2878" si="2160">EXP(AR$4341*$AM2875+AR$4342)*$AP2875/(100000000/($AM2875-$AL2875))</f>
        <v>1.4301601511017112</v>
      </c>
      <c r="AT2875" s="3"/>
      <c r="AU2875" s="13" cm="1">
        <f t="array" ref="AU2875">$C2875*EXP(poly_from_str(100000000/$E2875,AU$4343))</f>
        <v>1.5929979398238467</v>
      </c>
      <c r="AV2875" s="13"/>
      <c r="AW2875" s="13"/>
      <c r="AX2875" s="13"/>
      <c r="AY2875" s="13"/>
    </row>
    <row r="2876" spans="1:51" x14ac:dyDescent="0.25">
      <c r="A2876" t="s">
        <v>3459</v>
      </c>
      <c r="B2876" s="2" t="str">
        <f t="shared" si="2095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2155"/>
        <v>e</v>
      </c>
      <c r="N2876" t="str">
        <f t="shared" si="2156"/>
        <v>5/2</v>
      </c>
      <c r="O2876">
        <v>58158.080000000002</v>
      </c>
      <c r="P2876" t="str">
        <f t="shared" si="2157"/>
        <v>o</v>
      </c>
      <c r="Q2876" t="str">
        <f t="shared" si="2158"/>
        <v>7/2</v>
      </c>
      <c r="R2876">
        <v>28</v>
      </c>
      <c r="AA2876" s="10">
        <f t="shared" si="2096"/>
        <v>2679.4679999999998</v>
      </c>
      <c r="AB2876" s="3">
        <f t="shared" si="2097"/>
        <v>37309.760000000002</v>
      </c>
      <c r="AC2876" s="3" cm="1">
        <f t="array" ref="AC2876">100000000/LvacE(AA2876)</f>
        <v>37309.756609150165</v>
      </c>
      <c r="AD2876" s="10">
        <f t="shared" si="2098"/>
        <v>1.1962157527007258E-2</v>
      </c>
      <c r="AE2876" s="10" t="b">
        <f t="shared" si="2099"/>
        <v>1</v>
      </c>
      <c r="AJ2876" t="s">
        <v>4800</v>
      </c>
      <c r="AK2876" t="s">
        <v>4902</v>
      </c>
      <c r="AL2876">
        <v>20848.39</v>
      </c>
      <c r="AM2876">
        <v>58158.080000000002</v>
      </c>
      <c r="AN2876" s="10" cm="1">
        <f t="array" ref="AN2876">Lair(100000000/($AM2876-$AL2876))</f>
        <v>2679.4727820746471</v>
      </c>
      <c r="AO2876" s="10">
        <f t="shared" si="2159"/>
        <v>2680.2688524080472</v>
      </c>
      <c r="AP2876" s="12">
        <v>147000000</v>
      </c>
      <c r="AQ2876" s="3">
        <v>0.51700000000000002</v>
      </c>
      <c r="AR2876" s="3">
        <f>LN(AU2876*100000000/($AM2876-$AL2876)/AP2876)</f>
        <v>-6.1901846730641035</v>
      </c>
      <c r="AS2876" s="13">
        <f t="shared" si="2160"/>
        <v>61.676979979836929</v>
      </c>
      <c r="AT2876" s="3">
        <f t="shared" ref="AT2876:AT2878" si="2161">LN(AS2876/$C2876)</f>
        <v>-0.1265844767064068</v>
      </c>
      <c r="AU2876" s="13" cm="1">
        <f t="array" ref="AU2876">$C2876*EXP(poly_from_str(100000000/$E2876,AU$4343))</f>
        <v>112.40248942716245</v>
      </c>
      <c r="AV2876" s="13">
        <f>LN(AS2876/AU2876)</f>
        <v>-0.60017531979986838</v>
      </c>
      <c r="AW2876" s="13"/>
      <c r="AX2876" s="13"/>
      <c r="AY2876" s="13"/>
    </row>
    <row r="2877" spans="1:51" x14ac:dyDescent="0.25">
      <c r="A2877" t="s">
        <v>3460</v>
      </c>
      <c r="B2877" s="2" t="str">
        <f t="shared" si="2095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2155"/>
        <v>e</v>
      </c>
      <c r="N2877" t="str">
        <f t="shared" si="2156"/>
        <v>7/2</v>
      </c>
      <c r="O2877">
        <v>63768.66</v>
      </c>
      <c r="P2877" t="str">
        <f t="shared" si="2157"/>
        <v>o</v>
      </c>
      <c r="Q2877" t="str">
        <f t="shared" si="2158"/>
        <v>7/2</v>
      </c>
      <c r="R2877">
        <v>28</v>
      </c>
      <c r="AA2877" s="10">
        <f t="shared" si="2096"/>
        <v>2678.61</v>
      </c>
      <c r="AB2877" s="3">
        <f t="shared" si="2097"/>
        <v>37321.71</v>
      </c>
      <c r="AC2877" s="3" cm="1">
        <f t="array" ref="AC2877">100000000/LvacE(AA2877)</f>
        <v>37321.706818730905</v>
      </c>
      <c r="AD2877" s="10">
        <f t="shared" si="2098"/>
        <v>1.1966618286859772E-2</v>
      </c>
      <c r="AE2877" s="10" t="b">
        <f t="shared" si="2099"/>
        <v>1</v>
      </c>
      <c r="AJ2877" t="s">
        <v>4736</v>
      </c>
      <c r="AK2877" t="s">
        <v>4850</v>
      </c>
      <c r="AL2877">
        <v>26446.97</v>
      </c>
      <c r="AM2877">
        <v>63768.66</v>
      </c>
      <c r="AN2877" s="10" cm="1">
        <f t="array" ref="AN2877">Lair(100000000/($AM2877-$AL2877))</f>
        <v>2678.6112053118418</v>
      </c>
      <c r="AO2877" s="10">
        <f t="shared" si="2159"/>
        <v>2679.407068650964</v>
      </c>
      <c r="AP2877" s="12">
        <v>3910000</v>
      </c>
      <c r="AQ2877" s="3">
        <v>1.4999999999999999E-2</v>
      </c>
      <c r="AR2877" s="3"/>
      <c r="AS2877" s="13">
        <f t="shared" si="2160"/>
        <v>1.0771097355931332</v>
      </c>
      <c r="AT2877" s="3"/>
      <c r="AU2877" s="13" cm="1">
        <f t="array" ref="AU2877">$C2877*EXP(poly_from_str(100000000/$E2877,AU$4343))</f>
        <v>4.8537412668965789</v>
      </c>
      <c r="AV2877" s="13"/>
      <c r="AW2877" s="13"/>
      <c r="AX2877" s="13"/>
      <c r="AY2877" s="13"/>
    </row>
    <row r="2878" spans="1:51" x14ac:dyDescent="0.25">
      <c r="A2878" t="s">
        <v>3461</v>
      </c>
      <c r="B2878" s="2" t="str">
        <f t="shared" si="2095"/>
        <v/>
      </c>
      <c r="C2878">
        <v>6</v>
      </c>
      <c r="D2878" t="s">
        <v>1156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2155"/>
        <v>e</v>
      </c>
      <c r="N2878" t="str">
        <f t="shared" si="2156"/>
        <v>9/2</v>
      </c>
      <c r="O2878">
        <v>68331.73</v>
      </c>
      <c r="P2878" t="str">
        <f t="shared" si="2157"/>
        <v>o</v>
      </c>
      <c r="Q2878" t="str">
        <f t="shared" si="2158"/>
        <v>7/2</v>
      </c>
      <c r="R2878">
        <v>28</v>
      </c>
      <c r="AA2878" s="10">
        <f t="shared" si="2096"/>
        <v>2677.529</v>
      </c>
      <c r="AB2878" s="3">
        <f t="shared" si="2097"/>
        <v>37336.769999999997</v>
      </c>
      <c r="AC2878" s="3" cm="1">
        <f t="array" ref="AC2878">100000000/LvacE(AA2878)</f>
        <v>37336.773870705983</v>
      </c>
      <c r="AD2878" s="10">
        <f t="shared" si="2098"/>
        <v>1.1972244534177966E-2</v>
      </c>
      <c r="AE2878" s="10" t="b">
        <f t="shared" si="2099"/>
        <v>1</v>
      </c>
      <c r="AJ2878" t="s">
        <v>4788</v>
      </c>
      <c r="AK2878" t="s">
        <v>4923</v>
      </c>
      <c r="AL2878">
        <v>30994.55</v>
      </c>
      <c r="AM2878">
        <v>68331.75</v>
      </c>
      <c r="AN2878" s="10" cm="1">
        <f t="array" ref="AN2878">Lair(100000000/($AM2878-$AL2878))</f>
        <v>2677.4984377964447</v>
      </c>
      <c r="AO2878" s="10">
        <f t="shared" si="2159"/>
        <v>2678.2940338322105</v>
      </c>
      <c r="AP2878" s="12">
        <v>43600000</v>
      </c>
      <c r="AQ2878" s="3">
        <v>0.30399999999999999</v>
      </c>
      <c r="AR2878" s="3">
        <f>LN(AU2878*100000000/($AM2878-$AL2878)/AP2878)</f>
        <v>-7.4153039965319731</v>
      </c>
      <c r="AS2878" s="13">
        <f t="shared" si="2160"/>
        <v>8.5315531818289276</v>
      </c>
      <c r="AT2878" s="3">
        <f t="shared" si="2161"/>
        <v>0.35201196032252302</v>
      </c>
      <c r="AU2878" s="13" cm="1">
        <f t="array" ref="AU2878">$C2878*EXP(poly_from_str(100000000/$E2878,AU$4343))</f>
        <v>9.7994709106457609</v>
      </c>
      <c r="AV2878" s="13">
        <f>LN(AS2878/AU2878)</f>
        <v>-0.13855696595888911</v>
      </c>
      <c r="AW2878" s="13"/>
      <c r="AX2878" s="13"/>
      <c r="AY2878" s="13"/>
    </row>
    <row r="2879" spans="1:51" x14ac:dyDescent="0.25">
      <c r="A2879" t="s">
        <v>3462</v>
      </c>
      <c r="B2879" s="2" t="str">
        <f t="shared" si="2095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2096"/>
        <v>2677.29</v>
      </c>
      <c r="AB2879" s="3">
        <f t="shared" si="2097"/>
        <v>37340.11</v>
      </c>
      <c r="AC2879" s="3" cm="1">
        <f t="array" ref="AC2879">100000000/LvacE(AA2879)</f>
        <v>37340.106711288514</v>
      </c>
      <c r="AD2879" s="10">
        <f t="shared" si="2098"/>
        <v>1.1973489370088507E-2</v>
      </c>
      <c r="AE2879" s="10" t="b">
        <f t="shared" si="2099"/>
        <v>1</v>
      </c>
      <c r="AP2879"/>
      <c r="AQ2879"/>
      <c r="AU2879" s="13" cm="1">
        <f t="array" ref="AU2879">$C2879*EXP(poly_from_str(100000000/$E2879,AU$4343))</f>
        <v>1.6366454624595208</v>
      </c>
    </row>
    <row r="2880" spans="1:51" x14ac:dyDescent="0.25">
      <c r="A2880" t="s">
        <v>3463</v>
      </c>
      <c r="B2880" s="2" t="str">
        <f t="shared" si="2095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2162">$G2880&amp;""</f>
        <v>o</v>
      </c>
      <c r="N2880" t="str">
        <f t="shared" ref="N2880:N2882" si="2163">$H2880&amp;""</f>
        <v>11/2</v>
      </c>
      <c r="O2880">
        <v>101165.33</v>
      </c>
      <c r="P2880" t="str">
        <f t="shared" ref="P2880:P2882" si="2164">$J2880&amp;""</f>
        <v>e</v>
      </c>
      <c r="Q2880" t="str">
        <f t="shared" ref="Q2880:Q2882" si="2165">$K2880&amp;""</f>
        <v>11/2</v>
      </c>
      <c r="R2880">
        <v>28</v>
      </c>
      <c r="AA2880" s="10">
        <f t="shared" si="2096"/>
        <v>2676.692</v>
      </c>
      <c r="AB2880" s="3">
        <f t="shared" si="2097"/>
        <v>37348.449999999997</v>
      </c>
      <c r="AC2880" s="3" cm="1">
        <f t="array" ref="AC2880">100000000/LvacE(AA2880)</f>
        <v>37348.44839256323</v>
      </c>
      <c r="AD2880" s="10">
        <f t="shared" si="2098"/>
        <v>1.1976605525133865E-2</v>
      </c>
      <c r="AE2880" s="10" t="b">
        <f t="shared" si="2099"/>
        <v>1</v>
      </c>
      <c r="AJ2880" t="s">
        <v>4928</v>
      </c>
      <c r="AK2880" t="s">
        <v>4953</v>
      </c>
      <c r="AL2880">
        <v>63816.91</v>
      </c>
      <c r="AM2880">
        <v>101165.33</v>
      </c>
      <c r="AN2880" s="10" cm="1">
        <f t="array" ref="AN2880">Lair(100000000/($AM2880-$AL2880))</f>
        <v>2676.6940331317955</v>
      </c>
      <c r="AO2880" s="10">
        <f t="shared" ref="AO2880:AO2882" si="2166">100000000/($AM2880-$AL2880)</f>
        <v>2677.4894359654304</v>
      </c>
      <c r="AP2880" s="12">
        <v>186000000</v>
      </c>
      <c r="AQ2880" s="3">
        <v>0.115</v>
      </c>
      <c r="AR2880" s="3">
        <f>LN(AU2880*100000000/($AM2880-$AL2880)/AP2880)</f>
        <v>-9.2645049370466541</v>
      </c>
      <c r="AS2880" s="13">
        <f t="shared" ref="AS2880:AS2882" si="2167">EXP(AR$4341*$AM2880+AR$4342)*$AP2880/(100000000/($AM2880-$AL2880))</f>
        <v>3.0978478175150745</v>
      </c>
      <c r="AT2880" s="3">
        <f t="shared" ref="AT2880" si="2168">LN(AS2880/$C2880)</f>
        <v>-0.25558674314808782</v>
      </c>
      <c r="AU2880" s="13" cm="1">
        <f t="array" ref="AU2880">$C2880*EXP(poly_from_str(100000000/$E2880,AU$4343))</f>
        <v>6.5805441389102972</v>
      </c>
      <c r="AV2880" s="13">
        <f>LN(AS2880/AU2880)</f>
        <v>-0.75340981982933086</v>
      </c>
      <c r="AW2880" s="13"/>
      <c r="AX2880" s="13"/>
      <c r="AY2880" s="13"/>
    </row>
    <row r="2881" spans="1:51" x14ac:dyDescent="0.25">
      <c r="A2881" t="s">
        <v>3464</v>
      </c>
      <c r="B2881" s="2">
        <f t="shared" si="2095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2162"/>
        <v>e</v>
      </c>
      <c r="N2881" t="str">
        <f t="shared" si="2163"/>
        <v>5/2</v>
      </c>
      <c r="O2881">
        <v>64817.53</v>
      </c>
      <c r="P2881" t="str">
        <f t="shared" si="2164"/>
        <v>o</v>
      </c>
      <c r="Q2881" t="str">
        <f t="shared" si="2165"/>
        <v>5/2</v>
      </c>
      <c r="R2881">
        <v>28</v>
      </c>
      <c r="AA2881" s="10">
        <f t="shared" si="2096"/>
        <v>2675.4989999999998</v>
      </c>
      <c r="AB2881" s="3">
        <f t="shared" si="2097"/>
        <v>37365.1</v>
      </c>
      <c r="AC2881" s="3" cm="1">
        <f t="array" ref="AC2881">100000000/LvacE(AA2881)</f>
        <v>37365.101045998017</v>
      </c>
      <c r="AD2881" s="10">
        <f t="shared" si="2098"/>
        <v>1.1982828445459712E-2</v>
      </c>
      <c r="AE2881" s="10" t="b">
        <f t="shared" si="2099"/>
        <v>1</v>
      </c>
      <c r="AJ2881" t="s">
        <v>4783</v>
      </c>
      <c r="AK2881" t="s">
        <v>4882</v>
      </c>
      <c r="AL2881">
        <v>27452.45</v>
      </c>
      <c r="AM2881">
        <v>64817.53</v>
      </c>
      <c r="AN2881" s="10" cm="1">
        <f t="array" ref="AN2881">Lair(100000000/($AM2881-$AL2881))</f>
        <v>2675.5005052583506</v>
      </c>
      <c r="AO2881" s="10">
        <f t="shared" si="2166"/>
        <v>2676.2956214733113</v>
      </c>
      <c r="AP2881" s="12">
        <v>6830000</v>
      </c>
      <c r="AQ2881" s="3">
        <v>3.2000000000000001E-2</v>
      </c>
      <c r="AR2881" s="3"/>
      <c r="AS2881" s="13">
        <f t="shared" si="2167"/>
        <v>1.7410984497867323</v>
      </c>
      <c r="AT2881" s="3"/>
      <c r="AU2881" s="13" cm="1">
        <f t="array" ref="AU2881">$C2881*EXP(poly_from_str(100000000/$E2881,AU$4343))</f>
        <v>8.3104278310830058</v>
      </c>
      <c r="AV2881" s="13"/>
      <c r="AW2881" s="13"/>
      <c r="AX2881" s="13"/>
      <c r="AY2881" s="13"/>
    </row>
    <row r="2882" spans="1:51" x14ac:dyDescent="0.25">
      <c r="A2882" t="s">
        <v>3464</v>
      </c>
      <c r="B2882" s="2">
        <f t="shared" ref="B2882:B2945" si="2169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2162"/>
        <v>e</v>
      </c>
      <c r="N2882" t="str">
        <f t="shared" si="2163"/>
        <v>11/2</v>
      </c>
      <c r="O2882">
        <v>67870.759999999995</v>
      </c>
      <c r="P2882" t="str">
        <f t="shared" si="2164"/>
        <v>o</v>
      </c>
      <c r="Q2882" t="str">
        <f t="shared" si="2165"/>
        <v>9/2</v>
      </c>
      <c r="R2882">
        <v>28</v>
      </c>
      <c r="AA2882" s="10">
        <f t="shared" si="2096"/>
        <v>2675.4989999999998</v>
      </c>
      <c r="AB2882" s="3">
        <f t="shared" si="2097"/>
        <v>37365.1</v>
      </c>
      <c r="AC2882" s="3" cm="1">
        <f t="array" ref="AC2882">100000000/LvacE(AA2882)</f>
        <v>37365.101045998017</v>
      </c>
      <c r="AD2882" s="10">
        <f t="shared" si="2098"/>
        <v>1.1982828445459712E-2</v>
      </c>
      <c r="AE2882" s="10" t="b">
        <f t="shared" si="2099"/>
        <v>1</v>
      </c>
      <c r="AJ2882" t="s">
        <v>4706</v>
      </c>
      <c r="AK2882" t="s">
        <v>4755</v>
      </c>
      <c r="AL2882">
        <v>30505.72</v>
      </c>
      <c r="AM2882">
        <v>67870.759999999995</v>
      </c>
      <c r="AN2882" s="10" cm="1">
        <f t="array" ref="AN2882">Lair(100000000/($AM2882-$AL2882))</f>
        <v>2675.5033695969273</v>
      </c>
      <c r="AO2882" s="10">
        <f t="shared" si="2166"/>
        <v>2676.2984864996802</v>
      </c>
      <c r="AP2882" s="12">
        <v>9280000</v>
      </c>
      <c r="AQ2882" s="3">
        <v>1.4999999999999999E-2</v>
      </c>
      <c r="AR2882" s="3"/>
      <c r="AS2882" s="13">
        <f t="shared" si="2167"/>
        <v>1.8812133941043661</v>
      </c>
      <c r="AT2882" s="3"/>
      <c r="AU2882" s="13" cm="1">
        <f t="array" ref="AU2882">$C2882*EXP(poly_from_str(100000000/$E2882,AU$4343))</f>
        <v>8.3104278310830058</v>
      </c>
      <c r="AV2882" s="13"/>
      <c r="AW2882" s="13"/>
      <c r="AX2882" s="13"/>
      <c r="AY2882" s="13"/>
    </row>
    <row r="2883" spans="1:51" x14ac:dyDescent="0.25">
      <c r="A2883" t="s">
        <v>3465</v>
      </c>
      <c r="B2883" s="2" t="str">
        <f t="shared" si="2169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2170">ROUND($A2883,3)+0</f>
        <v>2674.8110000000001</v>
      </c>
      <c r="AB2883" s="3">
        <f t="shared" ref="AB2883:AB2946" si="2171">ROUND($E2883,2)+0</f>
        <v>37374.71</v>
      </c>
      <c r="AC2883" s="3" cm="1">
        <f t="array" ref="AC2883">100000000/LvacE(AA2883)</f>
        <v>37374.711340721144</v>
      </c>
      <c r="AD2883" s="10">
        <f t="shared" ref="AD2883:AD2946" si="2172">0.0005/$AA2883*AC2883+0.005</f>
        <v>1.1986420973429737E-2</v>
      </c>
      <c r="AE2883" s="10" t="b">
        <f t="shared" ref="AE2883:AE2946" si="2173">ABS(AB2883-AC2883)&lt;AD2883</f>
        <v>1</v>
      </c>
      <c r="AP2883"/>
      <c r="AQ2883"/>
      <c r="AU2883" s="13" cm="1">
        <f t="array" ref="AU2883">$C2883*EXP(poly_from_str(100000000/$E2883,AU$4343))</f>
        <v>3.3437341666782237</v>
      </c>
    </row>
    <row r="2884" spans="1:51" x14ac:dyDescent="0.25">
      <c r="A2884" t="s">
        <v>3466</v>
      </c>
      <c r="B2884" s="2" t="str">
        <f t="shared" si="2169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2174">$G2884&amp;""</f>
        <v>e</v>
      </c>
      <c r="N2884" t="str">
        <f t="shared" ref="N2884:N2885" si="2175">$H2884&amp;""</f>
        <v>9/2</v>
      </c>
      <c r="O2884">
        <v>64979.55</v>
      </c>
      <c r="P2884" t="str">
        <f t="shared" ref="P2884:P2885" si="2176">$J2884&amp;""</f>
        <v>o</v>
      </c>
      <c r="Q2884" t="str">
        <f t="shared" ref="Q2884:Q2885" si="2177">$K2884&amp;""</f>
        <v>7/2</v>
      </c>
      <c r="R2884">
        <v>28</v>
      </c>
      <c r="S2884" t="s">
        <v>159</v>
      </c>
      <c r="AA2884" s="10">
        <f t="shared" si="2170"/>
        <v>2674.768</v>
      </c>
      <c r="AB2884" s="3">
        <f t="shared" si="2171"/>
        <v>37375.31</v>
      </c>
      <c r="AC2884" s="3" cm="1">
        <f t="array" ref="AC2884">100000000/LvacE(AA2884)</f>
        <v>37375.31214827668</v>
      </c>
      <c r="AD2884" s="10">
        <f t="shared" si="2172"/>
        <v>1.1986645598473714E-2</v>
      </c>
      <c r="AE2884" s="10" t="b">
        <f t="shared" si="2173"/>
        <v>1</v>
      </c>
      <c r="AJ2884" t="s">
        <v>4718</v>
      </c>
      <c r="AK2884" t="s">
        <v>4912</v>
      </c>
      <c r="AL2884">
        <v>27604.26</v>
      </c>
      <c r="AM2884">
        <v>64979.55</v>
      </c>
      <c r="AN2884" s="10" cm="1">
        <f t="array" ref="AN2884">Lair(100000000/($AM2884-$AL2884))</f>
        <v>2674.769583333954</v>
      </c>
      <c r="AO2884" s="10">
        <f t="shared" ref="AO2884:AO2885" si="2178">100000000/($AM2884-$AL2884)</f>
        <v>2675.5645240478398</v>
      </c>
      <c r="AP2884" s="12">
        <v>9830000</v>
      </c>
      <c r="AQ2884" s="3">
        <v>1.2999999999999999E-2</v>
      </c>
      <c r="AR2884" s="3"/>
      <c r="AS2884" s="13">
        <f t="shared" ref="AS2884:AS2885" si="2179">EXP(AR$4341*$AM2884+AR$4342)*$AP2884/(100000000/($AM2884-$AL2884))</f>
        <v>2.476248229462418</v>
      </c>
      <c r="AT2884" s="3"/>
      <c r="AU2884" s="13" cm="1">
        <f t="array" ref="AU2884">$C2884*EXP(poly_from_str(100000000/$E2884,AU$4343))</f>
        <v>8.3623887270364232</v>
      </c>
      <c r="AV2884" s="13"/>
      <c r="AW2884" s="13"/>
      <c r="AX2884" s="13"/>
      <c r="AY2884" s="13"/>
    </row>
    <row r="2885" spans="1:51" x14ac:dyDescent="0.25">
      <c r="A2885" t="s">
        <v>3467</v>
      </c>
      <c r="B2885" s="2" t="str">
        <f t="shared" si="2169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2174"/>
        <v>o</v>
      </c>
      <c r="N2885" t="str">
        <f t="shared" si="2175"/>
        <v>5/2</v>
      </c>
      <c r="O2885">
        <v>103308.53</v>
      </c>
      <c r="P2885" t="str">
        <f t="shared" si="2176"/>
        <v>e</v>
      </c>
      <c r="Q2885" t="str">
        <f t="shared" si="2177"/>
        <v>7/2</v>
      </c>
      <c r="R2885">
        <v>28</v>
      </c>
      <c r="AA2885" s="10">
        <f t="shared" si="2170"/>
        <v>2673.0549999999998</v>
      </c>
      <c r="AB2885" s="3">
        <f t="shared" si="2171"/>
        <v>37399.26</v>
      </c>
      <c r="AC2885" s="3" cm="1">
        <f t="array" ref="AC2885">100000000/LvacE(AA2885)</f>
        <v>37399.262366151568</v>
      </c>
      <c r="AD2885" s="10">
        <f t="shared" si="2172"/>
        <v>1.1995602852569733E-2</v>
      </c>
      <c r="AE2885" s="10" t="b">
        <f t="shared" si="2173"/>
        <v>1</v>
      </c>
      <c r="AJ2885" t="s">
        <v>4907</v>
      </c>
      <c r="AK2885" t="s">
        <v>4906</v>
      </c>
      <c r="AL2885">
        <v>65909.440000000002</v>
      </c>
      <c r="AM2885">
        <v>103308.53</v>
      </c>
      <c r="AN2885" s="10" cm="1">
        <f t="array" ref="AN2885">Lair(100000000/($AM2885-$AL2885))</f>
        <v>2673.0673185895503</v>
      </c>
      <c r="AO2885" s="10">
        <f t="shared" si="2178"/>
        <v>2673.8618506493076</v>
      </c>
      <c r="AP2885" s="12">
        <v>2480000</v>
      </c>
      <c r="AQ2885" s="3">
        <v>5.2999999999999999E-2</v>
      </c>
      <c r="AR2885" s="14"/>
      <c r="AS2885" s="13">
        <f t="shared" si="2179"/>
        <v>3.5215641055132668E-2</v>
      </c>
      <c r="AT2885" s="14"/>
      <c r="AU2885" s="13" cm="1">
        <f t="array" ref="AU2885">$C2885*EXP(poly_from_str(100000000/$E2885,AU$4343))</f>
        <v>8.4842361678061824</v>
      </c>
      <c r="AV2885" s="13"/>
      <c r="AW2885" s="13"/>
      <c r="AX2885" s="13"/>
      <c r="AY2885" s="13"/>
    </row>
    <row r="2886" spans="1:51" x14ac:dyDescent="0.25">
      <c r="A2886" t="s">
        <v>3468</v>
      </c>
      <c r="B2886" s="2" t="str">
        <f t="shared" si="2169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2170"/>
        <v>2672.703</v>
      </c>
      <c r="AB2886" s="3">
        <f t="shared" si="2171"/>
        <v>37404.19</v>
      </c>
      <c r="AC2886" s="3" cm="1">
        <f t="array" ref="AC2886">100000000/LvacE(AA2886)</f>
        <v>37404.187637376381</v>
      </c>
      <c r="AD2886" s="10">
        <f t="shared" si="2172"/>
        <v>1.1997445589236138E-2</v>
      </c>
      <c r="AE2886" s="10" t="b">
        <f t="shared" si="2173"/>
        <v>1</v>
      </c>
      <c r="AP2886"/>
      <c r="AQ2886"/>
      <c r="AU2886" s="13" cm="1">
        <f t="array" ref="AU2886">$C2886*EXP(poly_from_str(100000000/$E2886,AU$4343))</f>
        <v>10.211170587689638</v>
      </c>
    </row>
    <row r="2887" spans="1:51" x14ac:dyDescent="0.25">
      <c r="A2887" t="s">
        <v>3469</v>
      </c>
      <c r="B2887" s="2" t="str">
        <f t="shared" si="2169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2180">$G2887&amp;""</f>
        <v>e</v>
      </c>
      <c r="N2887" t="str">
        <f t="shared" ref="N2887:N2890" si="2181">$H2887&amp;""</f>
        <v>9/2</v>
      </c>
      <c r="O2887">
        <v>67240.350000000006</v>
      </c>
      <c r="P2887" t="str">
        <f t="shared" ref="P2887:P2890" si="2182">$J2887&amp;""</f>
        <v>o</v>
      </c>
      <c r="Q2887" t="str">
        <f t="shared" ref="Q2887:Q2890" si="2183">$K2887&amp;""</f>
        <v>7/2</v>
      </c>
      <c r="R2887">
        <v>28</v>
      </c>
      <c r="AA2887" s="10">
        <f t="shared" si="2170"/>
        <v>2672.6260000000002</v>
      </c>
      <c r="AB2887" s="3">
        <f t="shared" si="2171"/>
        <v>37405.26</v>
      </c>
      <c r="AC2887" s="3" cm="1">
        <f t="array" ref="AC2887">100000000/LvacE(AA2887)</f>
        <v>37405.265213379222</v>
      </c>
      <c r="AD2887" s="10">
        <f t="shared" si="2172"/>
        <v>1.1997848784936468E-2</v>
      </c>
      <c r="AE2887" s="10" t="b">
        <f t="shared" si="2173"/>
        <v>1</v>
      </c>
      <c r="AJ2887" t="s">
        <v>4697</v>
      </c>
      <c r="AK2887" t="s">
        <v>4852</v>
      </c>
      <c r="AL2887">
        <v>29835.09</v>
      </c>
      <c r="AM2887">
        <v>67240.350000000006</v>
      </c>
      <c r="AN2887" s="10" cm="1">
        <f t="array" ref="AN2887">Lair(100000000/($AM2887-$AL2887))</f>
        <v>2672.6263707472885</v>
      </c>
      <c r="AO2887" s="10">
        <f t="shared" ref="AO2887:AO2890" si="2184">100000000/($AM2887-$AL2887)</f>
        <v>2673.4207969681261</v>
      </c>
      <c r="AP2887" s="12">
        <v>38200000</v>
      </c>
      <c r="AQ2887" s="3">
        <v>0.04</v>
      </c>
      <c r="AR2887" s="3"/>
      <c r="AS2887" s="13">
        <f t="shared" ref="AS2887:AS2890" si="2185">EXP(AR$4341*$AM2887+AR$4342)*$AP2887/(100000000/($AM2887-$AL2887))</f>
        <v>8.1276921599377161</v>
      </c>
      <c r="AT2887" s="3"/>
      <c r="AU2887" s="13" cm="1">
        <f t="array" ref="AU2887">$C2887*EXP(poly_from_str(100000000/$E2887,AU$4343))</f>
        <v>13.62360010858699</v>
      </c>
      <c r="AV2887" s="13"/>
      <c r="AW2887" s="13"/>
      <c r="AX2887" s="13"/>
      <c r="AY2887" s="13"/>
    </row>
    <row r="2888" spans="1:51" x14ac:dyDescent="0.25">
      <c r="A2888" t="s">
        <v>3470</v>
      </c>
      <c r="B2888" s="2" t="str">
        <f t="shared" si="2169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2180"/>
        <v>e</v>
      </c>
      <c r="N2888" t="str">
        <f t="shared" si="2181"/>
        <v>3/2</v>
      </c>
      <c r="O2888">
        <v>61717.98</v>
      </c>
      <c r="P2888" t="str">
        <f t="shared" si="2182"/>
        <v>o</v>
      </c>
      <c r="Q2888" t="str">
        <f t="shared" si="2183"/>
        <v>5/2</v>
      </c>
      <c r="R2888">
        <v>28</v>
      </c>
      <c r="S2888" t="s">
        <v>97</v>
      </c>
      <c r="AA2888" s="10">
        <f t="shared" si="2170"/>
        <v>2672.373</v>
      </c>
      <c r="AB2888" s="3">
        <f t="shared" si="2171"/>
        <v>37408.81</v>
      </c>
      <c r="AC2888" s="3" cm="1">
        <f t="array" ref="AC2888">100000000/LvacE(AA2888)</f>
        <v>37408.806257413875</v>
      </c>
      <c r="AD2888" s="10">
        <f t="shared" si="2172"/>
        <v>1.1999173816195172E-2</v>
      </c>
      <c r="AE2888" s="10" t="b">
        <f t="shared" si="2173"/>
        <v>1</v>
      </c>
      <c r="AJ2888" t="s">
        <v>4749</v>
      </c>
      <c r="AK2888" t="s">
        <v>4880</v>
      </c>
      <c r="AL2888">
        <v>24309.200000000001</v>
      </c>
      <c r="AM2888">
        <v>61717.98</v>
      </c>
      <c r="AN2888" s="10" cm="1">
        <f t="array" ref="AN2888">Lair(100000000/($AM2888-$AL2888))</f>
        <v>2672.3748740901906</v>
      </c>
      <c r="AO2888" s="10">
        <f t="shared" si="2184"/>
        <v>2673.1692399484828</v>
      </c>
      <c r="AP2888" s="12">
        <v>2340000</v>
      </c>
      <c r="AQ2888" s="3">
        <v>3.5999999999999997E-2</v>
      </c>
      <c r="AR2888" s="3"/>
      <c r="AS2888" s="13">
        <f t="shared" si="2185"/>
        <v>0.75361210361893005</v>
      </c>
      <c r="AT2888" s="3"/>
      <c r="AU2888" s="13" cm="1">
        <f t="array" ref="AU2888">$C2888*EXP(poly_from_str(100000000/$E2888,AU$4343))</f>
        <v>8.5328014869245372</v>
      </c>
      <c r="AV2888" s="13"/>
      <c r="AW2888" s="13"/>
      <c r="AX2888" s="13"/>
      <c r="AY2888" s="13"/>
    </row>
    <row r="2889" spans="1:51" x14ac:dyDescent="0.25">
      <c r="A2889" t="s">
        <v>3471</v>
      </c>
      <c r="B2889" s="2" t="str">
        <f t="shared" si="2169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2180"/>
        <v>e</v>
      </c>
      <c r="N2889" t="str">
        <f t="shared" si="2181"/>
        <v>5/2</v>
      </c>
      <c r="O2889">
        <v>66681.14</v>
      </c>
      <c r="P2889" t="str">
        <f t="shared" si="2182"/>
        <v>o</v>
      </c>
      <c r="Q2889" t="str">
        <f t="shared" si="2183"/>
        <v>5/2</v>
      </c>
      <c r="R2889">
        <v>28</v>
      </c>
      <c r="AA2889" s="10">
        <f t="shared" si="2170"/>
        <v>2672.05</v>
      </c>
      <c r="AB2889" s="3">
        <f t="shared" si="2171"/>
        <v>37413.33</v>
      </c>
      <c r="AC2889" s="3" cm="1">
        <f t="array" ref="AC2889">100000000/LvacE(AA2889)</f>
        <v>37413.328011369907</v>
      </c>
      <c r="AD2889" s="10">
        <f t="shared" si="2172"/>
        <v>1.2000866003886512E-2</v>
      </c>
      <c r="AE2889" s="10" t="b">
        <f t="shared" si="2173"/>
        <v>1</v>
      </c>
      <c r="AJ2889" t="s">
        <v>4700</v>
      </c>
      <c r="AK2889" t="s">
        <v>4851</v>
      </c>
      <c r="AL2889">
        <v>29267.86</v>
      </c>
      <c r="AM2889">
        <v>66681.14</v>
      </c>
      <c r="AN2889" s="10" cm="1">
        <f t="array" ref="AN2889">Lair(100000000/($AM2889-$AL2889))</f>
        <v>2672.0534273949165</v>
      </c>
      <c r="AO2889" s="10">
        <f t="shared" si="2184"/>
        <v>2672.8477161050837</v>
      </c>
      <c r="AP2889" s="12">
        <v>8010000</v>
      </c>
      <c r="AQ2889" s="3">
        <v>4.1000000000000002E-2</v>
      </c>
      <c r="AR2889" s="3"/>
      <c r="AS2889" s="13">
        <f t="shared" si="2185"/>
        <v>1.7776878256002215</v>
      </c>
      <c r="AT2889" s="3"/>
      <c r="AU2889" s="13" cm="1">
        <f t="array" ref="AU2889">$C2889*EXP(poly_from_str(100000000/$E2889,AU$4343))</f>
        <v>3.4223128881576415</v>
      </c>
      <c r="AV2889" s="13"/>
      <c r="AW2889" s="13"/>
      <c r="AX2889" s="13"/>
      <c r="AY2889" s="13"/>
    </row>
    <row r="2890" spans="1:51" x14ac:dyDescent="0.25">
      <c r="A2890" t="s">
        <v>3472</v>
      </c>
      <c r="B2890" s="2" t="str">
        <f t="shared" si="2169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2180"/>
        <v>e</v>
      </c>
      <c r="N2890" t="str">
        <f t="shared" si="2181"/>
        <v>9/2</v>
      </c>
      <c r="O2890">
        <v>60166.2</v>
      </c>
      <c r="P2890" t="str">
        <f t="shared" si="2182"/>
        <v>o</v>
      </c>
      <c r="Q2890" t="str">
        <f t="shared" si="2183"/>
        <v>9/2</v>
      </c>
      <c r="R2890">
        <v>28</v>
      </c>
      <c r="AA2890" s="10">
        <f t="shared" si="2170"/>
        <v>2671.681</v>
      </c>
      <c r="AB2890" s="3">
        <f t="shared" si="2171"/>
        <v>37418.49</v>
      </c>
      <c r="AC2890" s="3" cm="1">
        <f t="array" ref="AC2890">100000000/LvacE(AA2890)</f>
        <v>37418.495068131822</v>
      </c>
      <c r="AD2890" s="10">
        <f t="shared" si="2172"/>
        <v>1.200279993534629E-2</v>
      </c>
      <c r="AE2890" s="10" t="b">
        <f t="shared" si="2173"/>
        <v>1</v>
      </c>
      <c r="AJ2890" t="s">
        <v>4797</v>
      </c>
      <c r="AK2890" t="s">
        <v>4726</v>
      </c>
      <c r="AL2890">
        <v>22747.69</v>
      </c>
      <c r="AM2890">
        <v>60166.2</v>
      </c>
      <c r="AN2890" s="10" cm="1">
        <f t="array" ref="AN2890">Lair(100000000/($AM2890-$AL2890))</f>
        <v>2671.6799320435739</v>
      </c>
      <c r="AO2890" s="10">
        <f t="shared" si="2184"/>
        <v>2672.4741311185298</v>
      </c>
      <c r="AP2890" s="12">
        <v>8070000</v>
      </c>
      <c r="AQ2890" s="3">
        <v>3.4000000000000002E-2</v>
      </c>
      <c r="AR2890" s="3"/>
      <c r="AS2890" s="13">
        <f t="shared" si="2185"/>
        <v>2.9207521967353358</v>
      </c>
      <c r="AT2890" s="3"/>
      <c r="AU2890" s="13" cm="1">
        <f t="array" ref="AU2890">$C2890*EXP(poly_from_str(100000000/$E2890,AU$4343))</f>
        <v>8.5820124279416419</v>
      </c>
      <c r="AV2890" s="13"/>
      <c r="AW2890" s="13"/>
      <c r="AX2890" s="13"/>
      <c r="AY2890" s="13"/>
    </row>
    <row r="2891" spans="1:51" x14ac:dyDescent="0.25">
      <c r="A2891" t="s">
        <v>3473</v>
      </c>
      <c r="B2891" s="2" t="str">
        <f t="shared" si="2169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2170"/>
        <v>2671.3910000000001</v>
      </c>
      <c r="AB2891" s="3">
        <f t="shared" si="2171"/>
        <v>37422.559999999998</v>
      </c>
      <c r="AC2891" s="3" cm="1">
        <f t="array" ref="AC2891">100000000/LvacE(AA2891)</f>
        <v>37422.556900301002</v>
      </c>
      <c r="AD2891" s="10">
        <f t="shared" si="2172"/>
        <v>1.2004320389696042E-2</v>
      </c>
      <c r="AE2891" s="10" t="b">
        <f t="shared" si="2173"/>
        <v>1</v>
      </c>
      <c r="AP2891"/>
      <c r="AQ2891"/>
      <c r="AU2891" s="13" cm="1">
        <f t="array" ref="AU2891">$C2891*EXP(poly_from_str(100000000/$E2891,AU$4343))</f>
        <v>1.7205396431622098</v>
      </c>
    </row>
    <row r="2892" spans="1:51" x14ac:dyDescent="0.25">
      <c r="A2892" t="s">
        <v>3474</v>
      </c>
      <c r="B2892" s="2" t="str">
        <f t="shared" si="2169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2170"/>
        <v>2670.9389999999999</v>
      </c>
      <c r="AB2892" s="3">
        <f t="shared" si="2171"/>
        <v>37428.89</v>
      </c>
      <c r="AC2892" s="3" cm="1">
        <f t="array" ref="AC2892">100000000/LvacE(AA2892)</f>
        <v>37428.889514513918</v>
      </c>
      <c r="AD2892" s="10">
        <f t="shared" si="2172"/>
        <v>1.2006691188850423E-2</v>
      </c>
      <c r="AE2892" s="10" t="b">
        <f t="shared" si="2173"/>
        <v>1</v>
      </c>
      <c r="AP2892"/>
      <c r="AQ2892"/>
      <c r="AU2892" s="13" cm="1">
        <f t="array" ref="AU2892">$C2892*EXP(poly_from_str(100000000/$E2892,AU$4343))</f>
        <v>6.9078910747529934</v>
      </c>
    </row>
    <row r="2893" spans="1:51" x14ac:dyDescent="0.25">
      <c r="A2893" t="s">
        <v>3475</v>
      </c>
      <c r="B2893" s="2">
        <f t="shared" si="2169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2186">$G2893&amp;""</f>
        <v>e</v>
      </c>
      <c r="N2893" t="str">
        <f t="shared" ref="N2893:N2894" si="2187">$H2893&amp;""</f>
        <v>9/2</v>
      </c>
      <c r="O2893">
        <v>62240.83</v>
      </c>
      <c r="P2893" t="str">
        <f t="shared" ref="P2893:P2894" si="2188">$J2893&amp;""</f>
        <v>o</v>
      </c>
      <c r="Q2893" t="str">
        <f t="shared" ref="Q2893:Q2894" si="2189">$K2893&amp;""</f>
        <v>11/2</v>
      </c>
      <c r="R2893">
        <v>28</v>
      </c>
      <c r="AA2893" s="10">
        <f t="shared" si="2170"/>
        <v>2669.23</v>
      </c>
      <c r="AB2893" s="3">
        <f t="shared" si="2171"/>
        <v>37452.85</v>
      </c>
      <c r="AC2893" s="3" cm="1">
        <f t="array" ref="AC2893">100000000/LvacE(AA2893)</f>
        <v>37452.852343206265</v>
      </c>
      <c r="AD2893" s="10">
        <f t="shared" si="2172"/>
        <v>1.2015666005403481E-2</v>
      </c>
      <c r="AE2893" s="10" t="b">
        <f t="shared" si="2173"/>
        <v>1</v>
      </c>
      <c r="AJ2893" t="s">
        <v>4705</v>
      </c>
      <c r="AK2893" t="s">
        <v>4892</v>
      </c>
      <c r="AL2893">
        <v>24788.02</v>
      </c>
      <c r="AM2893">
        <v>62240.83</v>
      </c>
      <c r="AN2893" s="10" cm="1">
        <f t="array" ref="AN2893">Lair(100000000/($AM2893-$AL2893))</f>
        <v>2669.233016210088</v>
      </c>
      <c r="AO2893" s="10">
        <f t="shared" ref="AO2893:AO2894" si="2190">100000000/($AM2893-$AL2893)</f>
        <v>2670.026628175563</v>
      </c>
      <c r="AP2893" s="12">
        <v>39600000</v>
      </c>
      <c r="AQ2893" s="3">
        <v>0.253</v>
      </c>
      <c r="AR2893" s="3">
        <f>LN(AU2893*100000000/($AM2893-$AL2893)/AP2893)</f>
        <v>-7.2523743791733803</v>
      </c>
      <c r="AS2893" s="13">
        <f t="shared" ref="AS2893:AS2894" si="2191">EXP(AR$4341*$AM2893+AR$4342)*$AP2893/(100000000/($AM2893-$AL2893))</f>
        <v>12.277137586684942</v>
      </c>
      <c r="AT2893" s="3">
        <f t="shared" ref="AT2893" si="2192">LN(AS2893/$C2893)</f>
        <v>0.71597933077312315</v>
      </c>
      <c r="AU2893" s="13" cm="1">
        <f t="array" ref="AU2893">$C2893*EXP(poly_from_str(100000000/$E2893,AU$4343))</f>
        <v>10.507839237068147</v>
      </c>
      <c r="AV2893" s="13">
        <f>LN(AS2893/AU2893)</f>
        <v>0.1556172273938754</v>
      </c>
      <c r="AW2893" s="13"/>
      <c r="AX2893" s="13"/>
      <c r="AY2893" s="13"/>
    </row>
    <row r="2894" spans="1:51" x14ac:dyDescent="0.25">
      <c r="A2894" t="s">
        <v>3475</v>
      </c>
      <c r="B2894" s="2">
        <f t="shared" si="2169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2186"/>
        <v>e</v>
      </c>
      <c r="N2894" t="str">
        <f t="shared" si="2187"/>
        <v>5/2</v>
      </c>
      <c r="O2894">
        <v>74105.2</v>
      </c>
      <c r="P2894" t="str">
        <f t="shared" si="2188"/>
        <v>o</v>
      </c>
      <c r="Q2894" t="str">
        <f t="shared" si="2189"/>
        <v>5/2</v>
      </c>
      <c r="R2894">
        <v>28</v>
      </c>
      <c r="AA2894" s="10">
        <f t="shared" si="2170"/>
        <v>2669.23</v>
      </c>
      <c r="AB2894" s="3">
        <f t="shared" si="2171"/>
        <v>37452.85</v>
      </c>
      <c r="AC2894" s="3" cm="1">
        <f t="array" ref="AC2894">100000000/LvacE(AA2894)</f>
        <v>37452.852343206265</v>
      </c>
      <c r="AD2894" s="10">
        <f t="shared" si="2172"/>
        <v>1.2015666005403481E-2</v>
      </c>
      <c r="AE2894" s="10" t="b">
        <f t="shared" si="2173"/>
        <v>1</v>
      </c>
      <c r="AJ2894" t="s">
        <v>4771</v>
      </c>
      <c r="AK2894" t="s">
        <v>4940</v>
      </c>
      <c r="AL2894">
        <v>36652.29</v>
      </c>
      <c r="AM2894">
        <v>74105.2</v>
      </c>
      <c r="AN2894" s="10" cm="1">
        <f t="array" ref="AN2894">Lair(100000000/($AM2894-$AL2894))</f>
        <v>2669.2258888967244</v>
      </c>
      <c r="AO2894" s="10">
        <f t="shared" si="2190"/>
        <v>2670.0194991524027</v>
      </c>
      <c r="AP2894" s="12">
        <v>698000</v>
      </c>
      <c r="AQ2894" s="3">
        <v>5.0000000000000001E-3</v>
      </c>
      <c r="AR2894" s="3"/>
      <c r="AS2894" s="13">
        <f t="shared" si="2191"/>
        <v>8.8832176111345501E-2</v>
      </c>
      <c r="AT2894" s="3"/>
      <c r="AU2894" s="13" cm="1">
        <f t="array" ref="AU2894">$C2894*EXP(poly_from_str(100000000/$E2894,AU$4343))</f>
        <v>10.507839237068147</v>
      </c>
      <c r="AV2894" s="13"/>
      <c r="AW2894" s="13"/>
      <c r="AX2894" s="13"/>
      <c r="AY2894" s="13"/>
    </row>
    <row r="2895" spans="1:51" x14ac:dyDescent="0.25">
      <c r="A2895" t="s">
        <v>3476</v>
      </c>
      <c r="B2895" s="2" t="str">
        <f t="shared" si="2169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2170"/>
        <v>2669.1469999999999</v>
      </c>
      <c r="AB2895" s="3">
        <f t="shared" si="2171"/>
        <v>37454.019999999997</v>
      </c>
      <c r="AC2895" s="3" cm="1">
        <f t="array" ref="AC2895">100000000/LvacE(AA2895)</f>
        <v>37454.01691309984</v>
      </c>
      <c r="AD2895" s="10">
        <f t="shared" si="2172"/>
        <v>1.2016102319036727E-2</v>
      </c>
      <c r="AE2895" s="10" t="b">
        <f t="shared" si="2173"/>
        <v>1</v>
      </c>
      <c r="AP2895"/>
      <c r="AQ2895"/>
      <c r="AU2895" s="13" cm="1">
        <f t="array" ref="AU2895">$C2895*EXP(poly_from_str(100000000/$E2895,AU$4343))</f>
        <v>7.0099761858569334</v>
      </c>
    </row>
    <row r="2896" spans="1:51" x14ac:dyDescent="0.25">
      <c r="A2896" t="s">
        <v>3477</v>
      </c>
      <c r="B2896" s="2" t="str">
        <f t="shared" si="2169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2170"/>
        <v>2668.1950000000002</v>
      </c>
      <c r="AB2896" s="3">
        <f t="shared" si="2171"/>
        <v>37467.379999999997</v>
      </c>
      <c r="AC2896" s="3" cm="1">
        <f t="array" ref="AC2896">100000000/LvacE(AA2896)</f>
        <v>37467.37957031859</v>
      </c>
      <c r="AD2896" s="10">
        <f t="shared" si="2172"/>
        <v>1.202110969594025E-2</v>
      </c>
      <c r="AE2896" s="10" t="b">
        <f t="shared" si="2173"/>
        <v>1</v>
      </c>
      <c r="AJ2896" t="s">
        <v>4710</v>
      </c>
      <c r="AK2896" t="s">
        <v>4880</v>
      </c>
      <c r="AL2896">
        <v>24250.62</v>
      </c>
      <c r="AM2896">
        <v>61717.98</v>
      </c>
      <c r="AN2896" s="10" cm="1">
        <f t="array" ref="AN2896">Lair(100000000/($AM2896-$AL2896))</f>
        <v>2668.1963920441422</v>
      </c>
      <c r="AO2896" s="10">
        <f>100000000/($AM2896-$AL2896)</f>
        <v>2668.9897553497231</v>
      </c>
      <c r="AP2896" s="12">
        <v>28900000</v>
      </c>
      <c r="AQ2896" s="3">
        <v>0.14199999999999999</v>
      </c>
      <c r="AR2896" s="3">
        <f>LN(AU2896*100000000/($AM2896-$AL2896)/AP2896)</f>
        <v>-7.1117143937322265</v>
      </c>
      <c r="AS2896" s="13">
        <f>EXP(AR$4341*$AM2896+AR$4342)*$AP2896/(100000000/($AM2896-$AL2896))</f>
        <v>9.3220064391360076</v>
      </c>
      <c r="AT2896" s="3">
        <f>LN(AS2896/$C2896)</f>
        <v>0.62293997626240294</v>
      </c>
      <c r="AU2896" s="13" cm="1">
        <f t="array" ref="AU2896">$C2896*EXP(poly_from_str(100000000/$E2896,AU$4343))</f>
        <v>8.8302422430940197</v>
      </c>
      <c r="AV2896" s="13">
        <f>LN(AS2896/AU2896)</f>
        <v>5.4195440357959548E-2</v>
      </c>
      <c r="AW2896" s="13"/>
      <c r="AX2896" s="13"/>
      <c r="AY2896" s="13"/>
    </row>
    <row r="2897" spans="1:51" x14ac:dyDescent="0.25">
      <c r="A2897" t="s">
        <v>3478</v>
      </c>
      <c r="B2897" s="2" t="str">
        <f t="shared" si="2169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2170"/>
        <v>2668.0970000000002</v>
      </c>
      <c r="AB2897" s="3">
        <f t="shared" si="2171"/>
        <v>37468.76</v>
      </c>
      <c r="AC2897" s="3" cm="1">
        <f t="array" ref="AC2897">100000000/LvacE(AA2897)</f>
        <v>37468.755679255177</v>
      </c>
      <c r="AD2897" s="10">
        <f t="shared" si="2172"/>
        <v>1.2021625465501288E-2</v>
      </c>
      <c r="AE2897" s="10" t="b">
        <f t="shared" si="2173"/>
        <v>1</v>
      </c>
      <c r="AP2897"/>
      <c r="AQ2897"/>
      <c r="AU2897" s="13" cm="1">
        <f t="array" ref="AU2897">$C2897*EXP(poly_from_str(100000000/$E2897,AU$4343))</f>
        <v>1.7674479267122771</v>
      </c>
    </row>
    <row r="2898" spans="1:51" x14ac:dyDescent="0.25">
      <c r="A2898" t="s">
        <v>3479</v>
      </c>
      <c r="B2898" s="2" t="str">
        <f t="shared" si="2169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2193">$G2898&amp;""</f>
        <v>e</v>
      </c>
      <c r="N2898" t="str">
        <f t="shared" ref="N2898:N2902" si="2194">$H2898&amp;""</f>
        <v>13/2</v>
      </c>
      <c r="O2898">
        <v>66735.88</v>
      </c>
      <c r="P2898" t="str">
        <f t="shared" ref="P2898:P2902" si="2195">$J2898&amp;""</f>
        <v>o</v>
      </c>
      <c r="Q2898" t="str">
        <f t="shared" ref="Q2898:Q2902" si="2196">$K2898&amp;""</f>
        <v>13/2</v>
      </c>
      <c r="R2898">
        <v>28</v>
      </c>
      <c r="AA2898" s="10">
        <f t="shared" si="2170"/>
        <v>2667.8069999999998</v>
      </c>
      <c r="AB2898" s="3">
        <f t="shared" si="2171"/>
        <v>37472.83</v>
      </c>
      <c r="AC2898" s="3" cm="1">
        <f t="array" ref="AC2898">100000000/LvacE(AA2898)</f>
        <v>37472.828430536021</v>
      </c>
      <c r="AD2898" s="10">
        <f t="shared" si="2172"/>
        <v>1.2023152055327845E-2</v>
      </c>
      <c r="AE2898" s="10" t="b">
        <f t="shared" si="2173"/>
        <v>1</v>
      </c>
      <c r="AJ2898" t="s">
        <v>4699</v>
      </c>
      <c r="AK2898" t="s">
        <v>4909</v>
      </c>
      <c r="AL2898">
        <v>29263.08</v>
      </c>
      <c r="AM2898">
        <v>66735.88</v>
      </c>
      <c r="AN2898" s="10" cm="1">
        <f t="array" ref="AN2898">Lair(100000000/($AM2898-$AL2898))</f>
        <v>2667.8090224675238</v>
      </c>
      <c r="AO2898" s="10">
        <f t="shared" ref="AO2898:AO2902" si="2197">100000000/($AM2898-$AL2898)</f>
        <v>2668.60229286309</v>
      </c>
      <c r="AP2898" s="12">
        <v>9150000</v>
      </c>
      <c r="AQ2898" s="3">
        <v>5.1999999999999998E-2</v>
      </c>
      <c r="AR2898" s="3">
        <f t="shared" ref="AR2898:AR2900" si="2198">LN(AU2898*100000000/($AM2898-$AL2898)/AP2898)</f>
        <v>-5.9586475935518335</v>
      </c>
      <c r="AS2898" s="13">
        <f t="shared" ref="AS2898:AS2902" si="2199">EXP(AR$4341*$AM2898+AR$4342)*$AP2898/(100000000/($AM2898-$AL2898))</f>
        <v>2.0255843340300168</v>
      </c>
      <c r="AT2898" s="3">
        <f t="shared" ref="AT2898:AT2902" si="2200">LN(AS2898/$C2898)</f>
        <v>-0.90357969348620848</v>
      </c>
      <c r="AU2898" s="13" cm="1">
        <f t="array" ref="AU2898">$C2898*EXP(poly_from_str(100000000/$E2898,AU$4343))</f>
        <v>8.85787341734002</v>
      </c>
      <c r="AV2898" s="13">
        <f t="shared" ref="AV2898:AV2900" si="2201">LN(AS2898/AU2898)</f>
        <v>-1.475448496243289</v>
      </c>
      <c r="AW2898" s="13"/>
      <c r="AX2898" s="13"/>
      <c r="AY2898" s="13"/>
    </row>
    <row r="2899" spans="1:51" x14ac:dyDescent="0.25">
      <c r="A2899" t="s">
        <v>3480</v>
      </c>
      <c r="B2899" s="2" t="str">
        <f t="shared" si="2169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2193"/>
        <v>e</v>
      </c>
      <c r="N2899" t="str">
        <f t="shared" si="2194"/>
        <v>11/2</v>
      </c>
      <c r="O2899">
        <v>64857.15</v>
      </c>
      <c r="P2899" t="str">
        <f t="shared" si="2195"/>
        <v>o</v>
      </c>
      <c r="Q2899" t="str">
        <f t="shared" si="2196"/>
        <v>9/2</v>
      </c>
      <c r="R2899">
        <v>28</v>
      </c>
      <c r="AA2899" s="10">
        <f t="shared" si="2170"/>
        <v>2667.5140000000001</v>
      </c>
      <c r="AB2899" s="3">
        <f t="shared" si="2171"/>
        <v>37476.94</v>
      </c>
      <c r="AC2899" s="3" cm="1">
        <f t="array" ref="AC2899">100000000/LvacE(AA2899)</f>
        <v>37476.944212961316</v>
      </c>
      <c r="AD2899" s="10">
        <f t="shared" si="2172"/>
        <v>1.2024694943112074E-2</v>
      </c>
      <c r="AE2899" s="10" t="b">
        <f t="shared" si="2173"/>
        <v>1</v>
      </c>
      <c r="AJ2899" t="s">
        <v>4712</v>
      </c>
      <c r="AK2899" t="s">
        <v>4854</v>
      </c>
      <c r="AL2899">
        <v>27380.31</v>
      </c>
      <c r="AM2899">
        <v>64857.15</v>
      </c>
      <c r="AN2899" s="10" cm="1">
        <f t="array" ref="AN2899">Lair(100000000/($AM2899-$AL2899))</f>
        <v>2667.5214163573619</v>
      </c>
      <c r="AO2899" s="10">
        <f t="shared" si="2197"/>
        <v>2668.3146177746044</v>
      </c>
      <c r="AP2899" s="12">
        <v>255000000</v>
      </c>
      <c r="AQ2899" s="3">
        <v>0.23</v>
      </c>
      <c r="AR2899" s="3">
        <f t="shared" si="2198"/>
        <v>-7.8976217467865109</v>
      </c>
      <c r="AS2899" s="13">
        <f t="shared" si="2199"/>
        <v>65.005266503014525</v>
      </c>
      <c r="AT2899" s="3">
        <f t="shared" si="2200"/>
        <v>1.1787360161827505</v>
      </c>
      <c r="AU2899" s="13" cm="1">
        <f t="array" ref="AU2899">$C2899*EXP(poly_from_str(100000000/$E2899,AU$4343))</f>
        <v>35.514818557848457</v>
      </c>
      <c r="AV2899" s="13">
        <f t="shared" si="2201"/>
        <v>0.60451825618785604</v>
      </c>
      <c r="AW2899" s="13"/>
      <c r="AX2899" s="13"/>
      <c r="AY2899" s="13"/>
    </row>
    <row r="2900" spans="1:51" x14ac:dyDescent="0.25">
      <c r="A2900" t="s">
        <v>3481</v>
      </c>
      <c r="B2900" s="2" t="str">
        <f t="shared" si="2169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2193"/>
        <v>o</v>
      </c>
      <c r="N2900" t="str">
        <f t="shared" si="2194"/>
        <v>5/2</v>
      </c>
      <c r="O2900">
        <v>101071.43</v>
      </c>
      <c r="P2900" t="str">
        <f t="shared" si="2195"/>
        <v>e</v>
      </c>
      <c r="Q2900" t="str">
        <f t="shared" si="2196"/>
        <v>5/2</v>
      </c>
      <c r="R2900">
        <v>28</v>
      </c>
      <c r="AA2900" s="10">
        <f t="shared" si="2170"/>
        <v>2666.2179999999998</v>
      </c>
      <c r="AB2900" s="3">
        <f t="shared" si="2171"/>
        <v>37495.160000000003</v>
      </c>
      <c r="AC2900" s="3" cm="1">
        <f t="array" ref="AC2900">100000000/LvacE(AA2900)</f>
        <v>37495.16002404716</v>
      </c>
      <c r="AD2900" s="10">
        <f t="shared" si="2172"/>
        <v>1.2031525558684092E-2</v>
      </c>
      <c r="AE2900" s="10" t="b">
        <f t="shared" si="2173"/>
        <v>1</v>
      </c>
      <c r="AJ2900" t="s">
        <v>4843</v>
      </c>
      <c r="AK2900" t="s">
        <v>4889</v>
      </c>
      <c r="AL2900">
        <v>63576.27</v>
      </c>
      <c r="AM2900">
        <v>101071.43</v>
      </c>
      <c r="AN2900" s="10" cm="1">
        <f t="array" ref="AN2900">Lair(100000000/($AM2900-$AL2900))</f>
        <v>2666.2180000228764</v>
      </c>
      <c r="AO2900" s="10">
        <f t="shared" si="2197"/>
        <v>2667.0108888720574</v>
      </c>
      <c r="AP2900" s="12">
        <v>150000000</v>
      </c>
      <c r="AQ2900" s="3">
        <v>0.21</v>
      </c>
      <c r="AR2900" s="3">
        <f t="shared" si="2198"/>
        <v>-9.6597277866037654</v>
      </c>
      <c r="AS2900" s="13">
        <f t="shared" si="2199"/>
        <v>2.5258165054430144</v>
      </c>
      <c r="AT2900" s="3">
        <f t="shared" si="2200"/>
        <v>0.23341719838733838</v>
      </c>
      <c r="AU2900" s="13" cm="1">
        <f t="array" ref="AU2900">$C2900*EXP(poly_from_str(100000000/$E2900,AU$4343))</f>
        <v>3.588392958717177</v>
      </c>
      <c r="AV2900" s="13">
        <f t="shared" si="2201"/>
        <v>-0.35114007951913112</v>
      </c>
      <c r="AW2900" s="13"/>
      <c r="AX2900" s="13"/>
      <c r="AY2900" s="13"/>
    </row>
    <row r="2901" spans="1:51" x14ac:dyDescent="0.25">
      <c r="A2901" t="s">
        <v>3482</v>
      </c>
      <c r="B2901" s="2" t="str">
        <f t="shared" si="2169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2193"/>
        <v>e</v>
      </c>
      <c r="N2901" t="str">
        <f t="shared" si="2194"/>
        <v>11/2</v>
      </c>
      <c r="O2901">
        <v>63593.35</v>
      </c>
      <c r="P2901" t="str">
        <f t="shared" si="2195"/>
        <v>o</v>
      </c>
      <c r="Q2901" t="str">
        <f t="shared" si="2196"/>
        <v>9/2</v>
      </c>
      <c r="R2901">
        <v>28</v>
      </c>
      <c r="AA2901" s="10">
        <f t="shared" si="2170"/>
        <v>2666.0079999999998</v>
      </c>
      <c r="AB2901" s="3">
        <f t="shared" si="2171"/>
        <v>37498.11</v>
      </c>
      <c r="AC2901" s="3" cm="1">
        <f t="array" ref="AC2901">100000000/LvacE(AA2901)</f>
        <v>37498.113327272942</v>
      </c>
      <c r="AD2901" s="10">
        <f t="shared" si="2172"/>
        <v>1.2032633309291073E-2</v>
      </c>
      <c r="AE2901" s="10" t="b">
        <f t="shared" si="2173"/>
        <v>1</v>
      </c>
      <c r="AJ2901" t="s">
        <v>4738</v>
      </c>
      <c r="AK2901" t="s">
        <v>4840</v>
      </c>
      <c r="AL2901">
        <v>26095.23</v>
      </c>
      <c r="AM2901">
        <v>63593.35</v>
      </c>
      <c r="AN2901" s="10" cm="1">
        <f t="array" ref="AN2901">Lair(100000000/($AM2901-$AL2901))</f>
        <v>2666.0075238767076</v>
      </c>
      <c r="AO2901" s="10">
        <f t="shared" si="2197"/>
        <v>2666.8003622581614</v>
      </c>
      <c r="AP2901" s="12">
        <v>9780000</v>
      </c>
      <c r="AQ2901" s="3">
        <v>3.2000000000000001E-2</v>
      </c>
      <c r="AR2901" s="3"/>
      <c r="AS2901" s="13">
        <f t="shared" si="2199"/>
        <v>2.7427360483631613</v>
      </c>
      <c r="AT2901" s="3"/>
      <c r="AU2901" s="13" cm="1">
        <f t="array" ref="AU2901">$C2901*EXP(poly_from_str(100000000/$E2901,AU$4343))</f>
        <v>1.7971823792694652</v>
      </c>
      <c r="AV2901" s="13"/>
      <c r="AW2901" s="13"/>
      <c r="AX2901" s="13"/>
      <c r="AY2901" s="13"/>
    </row>
    <row r="2902" spans="1:51" x14ac:dyDescent="0.25">
      <c r="A2902" t="s">
        <v>3483</v>
      </c>
      <c r="B2902" s="2" t="str">
        <f t="shared" si="2169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2193"/>
        <v>e</v>
      </c>
      <c r="N2902" t="str">
        <f t="shared" si="2194"/>
        <v>9/2</v>
      </c>
      <c r="O2902">
        <v>62535.62</v>
      </c>
      <c r="P2902" t="str">
        <f t="shared" si="2195"/>
        <v>o</v>
      </c>
      <c r="Q2902" t="str">
        <f t="shared" si="2196"/>
        <v>9/2</v>
      </c>
      <c r="R2902">
        <v>28</v>
      </c>
      <c r="AA2902" s="10">
        <f t="shared" si="2170"/>
        <v>2665.7510000000002</v>
      </c>
      <c r="AB2902" s="3">
        <f t="shared" si="2171"/>
        <v>37501.730000000003</v>
      </c>
      <c r="AC2902" s="3" cm="1">
        <f t="array" ref="AC2902">100000000/LvacE(AA2902)</f>
        <v>37501.728240987977</v>
      </c>
      <c r="AD2902" s="10">
        <f t="shared" si="2172"/>
        <v>1.2033989341275305E-2</v>
      </c>
      <c r="AE2902" s="10" t="b">
        <f t="shared" si="2173"/>
        <v>1</v>
      </c>
      <c r="AJ2902" t="s">
        <v>4746</v>
      </c>
      <c r="AK2902" t="s">
        <v>4839</v>
      </c>
      <c r="AL2902">
        <v>25033.91</v>
      </c>
      <c r="AM2902">
        <v>62535.62</v>
      </c>
      <c r="AN2902" s="10" cm="1">
        <f t="array" ref="AN2902">Lair(100000000/($AM2902-$AL2902))</f>
        <v>2665.7522950262032</v>
      </c>
      <c r="AO2902" s="10">
        <f t="shared" si="2197"/>
        <v>2666.5450722113733</v>
      </c>
      <c r="AP2902" s="12">
        <v>18600000</v>
      </c>
      <c r="AQ2902" s="3">
        <v>7.9000000000000001E-2</v>
      </c>
      <c r="AR2902" s="3">
        <f>LN(AU2902*100000000/($AM2902-$AL2902)/AP2902)</f>
        <v>-6.8755825483255641</v>
      </c>
      <c r="AS2902" s="13">
        <f t="shared" si="2199"/>
        <v>5.6477261878320055</v>
      </c>
      <c r="AT2902" s="3">
        <f t="shared" si="2200"/>
        <v>0.34495865840438139</v>
      </c>
      <c r="AU2902" s="13" cm="1">
        <f t="array" ref="AU2902">$C2902*EXP(poly_from_str(100000000/$E2902,AU$4343))</f>
        <v>7.2033821394940034</v>
      </c>
      <c r="AV2902" s="13">
        <f>LN(AS2902/AU2902)</f>
        <v>-0.24329763780008176</v>
      </c>
      <c r="AW2902" s="13"/>
      <c r="AX2902" s="13"/>
      <c r="AY2902" s="13"/>
    </row>
    <row r="2903" spans="1:51" x14ac:dyDescent="0.25">
      <c r="A2903" t="s">
        <v>3484</v>
      </c>
      <c r="B2903" s="2" t="str">
        <f t="shared" si="2169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2170"/>
        <v>2665.21</v>
      </c>
      <c r="AB2903" s="3">
        <f t="shared" si="2171"/>
        <v>37509.339999999997</v>
      </c>
      <c r="AC2903" s="3" cm="1">
        <f t="array" ref="AC2903">100000000/LvacE(AA2903)</f>
        <v>37509.340123520386</v>
      </c>
      <c r="AD2903" s="10">
        <f t="shared" si="2172"/>
        <v>1.2036845149823163E-2</v>
      </c>
      <c r="AE2903" s="10" t="b">
        <f t="shared" si="2173"/>
        <v>1</v>
      </c>
      <c r="AP2903"/>
      <c r="AQ2903"/>
      <c r="AU2903" s="13" cm="1">
        <f t="array" ref="AU2903">$C2903*EXP(poly_from_str(100000000/$E2903,AU$4343))</f>
        <v>1.8085429377867588</v>
      </c>
    </row>
    <row r="2904" spans="1:51" x14ac:dyDescent="0.25">
      <c r="A2904" t="s">
        <v>3485</v>
      </c>
      <c r="B2904" s="2" t="str">
        <f t="shared" si="2169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2202">$G2904&amp;""</f>
        <v>e</v>
      </c>
      <c r="N2904" t="str">
        <f t="shared" ref="N2904:N2908" si="2203">$H2904&amp;""</f>
        <v>9/2</v>
      </c>
      <c r="O2904">
        <v>61357.04</v>
      </c>
      <c r="P2904" t="str">
        <f t="shared" ref="P2904:P2908" si="2204">$J2904&amp;""</f>
        <v>o</v>
      </c>
      <c r="Q2904" t="str">
        <f t="shared" ref="Q2904:Q2908" si="2205">$K2904&amp;""</f>
        <v>9/2</v>
      </c>
      <c r="R2904">
        <v>28</v>
      </c>
      <c r="AA2904" s="10">
        <f t="shared" si="2170"/>
        <v>2664.9879999999998</v>
      </c>
      <c r="AB2904" s="3">
        <f t="shared" si="2171"/>
        <v>37512.46</v>
      </c>
      <c r="AC2904" s="3" cm="1">
        <f t="array" ref="AC2904">100000000/LvacE(AA2904)</f>
        <v>37512.464562854722</v>
      </c>
      <c r="AD2904" s="10">
        <f t="shared" si="2172"/>
        <v>1.2038017537575165E-2</v>
      </c>
      <c r="AE2904" s="10" t="b">
        <f t="shared" si="2173"/>
        <v>1</v>
      </c>
      <c r="AJ2904" t="s">
        <v>4763</v>
      </c>
      <c r="AK2904" t="s">
        <v>4903</v>
      </c>
      <c r="AL2904">
        <v>23844.58</v>
      </c>
      <c r="AM2904">
        <v>61357.04</v>
      </c>
      <c r="AN2904" s="10" cm="1">
        <f t="array" ref="AN2904">Lair(100000000/($AM2904-$AL2904))</f>
        <v>2664.988322505787</v>
      </c>
      <c r="AO2904" s="10">
        <f t="shared" ref="AO2904:AO2908" si="2206">100000000/($AM2904-$AL2904)</f>
        <v>2665.7809165274684</v>
      </c>
      <c r="AP2904" s="12">
        <v>12100000</v>
      </c>
      <c r="AQ2904" s="3">
        <v>3.3000000000000002E-2</v>
      </c>
      <c r="AR2904" s="3"/>
      <c r="AS2904" s="13">
        <f t="shared" ref="AS2904:AS2908" si="2207">EXP(AR$4341*$AM2904+AR$4342)*$AP2904/(100000000/($AM2904-$AL2904))</f>
        <v>4.0149789887204097</v>
      </c>
      <c r="AT2904" s="3"/>
      <c r="AU2904" s="13" cm="1">
        <f t="array" ref="AU2904">$C2904*EXP(poly_from_str(100000000/$E2904,AU$4343))</f>
        <v>9.0584871739898372</v>
      </c>
      <c r="AV2904" s="13"/>
      <c r="AW2904" s="13"/>
      <c r="AX2904" s="13"/>
      <c r="AY2904" s="13"/>
    </row>
    <row r="2905" spans="1:51" x14ac:dyDescent="0.25">
      <c r="A2905" t="s">
        <v>3486</v>
      </c>
      <c r="B2905" s="2" t="str">
        <f t="shared" si="2169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2202"/>
        <v>e</v>
      </c>
      <c r="N2905" t="str">
        <f t="shared" si="2203"/>
        <v>9/2</v>
      </c>
      <c r="O2905">
        <v>62558.67</v>
      </c>
      <c r="P2905" t="str">
        <f t="shared" si="2204"/>
        <v>o</v>
      </c>
      <c r="Q2905" t="str">
        <f t="shared" si="2205"/>
        <v>11/2</v>
      </c>
      <c r="R2905">
        <v>28</v>
      </c>
      <c r="AA2905" s="10">
        <f t="shared" si="2170"/>
        <v>2664.1120000000001</v>
      </c>
      <c r="AB2905" s="3">
        <f t="shared" si="2171"/>
        <v>37524.800000000003</v>
      </c>
      <c r="AC2905" s="3" cm="1">
        <f t="array" ref="AC2905">100000000/LvacE(AA2905)</f>
        <v>37524.79851231497</v>
      </c>
      <c r="AD2905" s="10">
        <f t="shared" si="2172"/>
        <v>1.2042646576479325E-2</v>
      </c>
      <c r="AE2905" s="10" t="b">
        <f t="shared" si="2173"/>
        <v>1</v>
      </c>
      <c r="AJ2905" t="s">
        <v>4746</v>
      </c>
      <c r="AK2905" t="s">
        <v>4821</v>
      </c>
      <c r="AL2905">
        <v>25033.91</v>
      </c>
      <c r="AM2905">
        <v>62558.67</v>
      </c>
      <c r="AN2905" s="10" cm="1">
        <f t="array" ref="AN2905">Lair(100000000/($AM2905-$AL2905))</f>
        <v>2664.1147327235644</v>
      </c>
      <c r="AO2905" s="10">
        <f t="shared" si="2206"/>
        <v>2664.9071173273333</v>
      </c>
      <c r="AP2905" s="12">
        <v>61900000</v>
      </c>
      <c r="AQ2905" s="3">
        <v>0.121</v>
      </c>
      <c r="AR2905" s="3">
        <f t="shared" ref="AR2905:AR2906" si="2208">LN(AU2905*100000000/($AM2905-$AL2905)/AP2905)</f>
        <v>-7.2547588247221197</v>
      </c>
      <c r="AS2905" s="13">
        <f t="shared" si="2207"/>
        <v>18.774437563052079</v>
      </c>
      <c r="AT2905" s="3">
        <f t="shared" ref="AT2905:AT2906" si="2209">LN(AS2905/$C2905)</f>
        <v>0.73527166317030579</v>
      </c>
      <c r="AU2905" s="13" cm="1">
        <f t="array" ref="AU2905">$C2905*EXP(poly_from_str(100000000/$E2905,AU$4343))</f>
        <v>16.417493279372682</v>
      </c>
      <c r="AV2905" s="13">
        <f t="shared" ref="AV2905:AV2906" si="2210">LN(AS2905/AU2905)</f>
        <v>0.13414881078115254</v>
      </c>
      <c r="AW2905" s="13"/>
      <c r="AX2905" s="13"/>
      <c r="AY2905" s="13"/>
    </row>
    <row r="2906" spans="1:51" x14ac:dyDescent="0.25">
      <c r="A2906" t="s">
        <v>3487</v>
      </c>
      <c r="B2906" s="2" t="str">
        <f t="shared" si="2169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2202"/>
        <v>o</v>
      </c>
      <c r="N2906" t="str">
        <f t="shared" si="2203"/>
        <v>7/2</v>
      </c>
      <c r="O2906">
        <v>102830.43</v>
      </c>
      <c r="P2906" t="str">
        <f t="shared" si="2204"/>
        <v>e</v>
      </c>
      <c r="Q2906" t="str">
        <f t="shared" si="2205"/>
        <v>9/2</v>
      </c>
      <c r="R2906">
        <v>28</v>
      </c>
      <c r="AA2906" s="10">
        <f t="shared" si="2170"/>
        <v>2663.415</v>
      </c>
      <c r="AB2906" s="3">
        <f t="shared" si="2171"/>
        <v>37534.620000000003</v>
      </c>
      <c r="AC2906" s="3" cm="1">
        <f t="array" ref="AC2906">100000000/LvacE(AA2906)</f>
        <v>37534.617963726268</v>
      </c>
      <c r="AD2906" s="10">
        <f t="shared" si="2172"/>
        <v>1.2046332990488953E-2</v>
      </c>
      <c r="AE2906" s="10" t="b">
        <f t="shared" si="2173"/>
        <v>1</v>
      </c>
      <c r="AJ2906" t="s">
        <v>4825</v>
      </c>
      <c r="AK2906" t="s">
        <v>4866</v>
      </c>
      <c r="AL2906">
        <v>65295.9</v>
      </c>
      <c r="AM2906">
        <v>102830.43</v>
      </c>
      <c r="AN2906" s="10" cm="1">
        <f t="array" ref="AN2906">Lair(100000000/($AM2906-$AL2906))</f>
        <v>2663.4212405345111</v>
      </c>
      <c r="AO2906" s="10">
        <f t="shared" si="2206"/>
        <v>2664.2134589136995</v>
      </c>
      <c r="AP2906" s="12">
        <v>600000000</v>
      </c>
      <c r="AQ2906" s="3">
        <v>0.56100000000000005</v>
      </c>
      <c r="AR2906" s="3">
        <f t="shared" si="2208"/>
        <v>-10.619621497834377</v>
      </c>
      <c r="AS2906" s="13">
        <f t="shared" si="2207"/>
        <v>8.8631385563226566</v>
      </c>
      <c r="AT2906" s="3">
        <f t="shared" si="2209"/>
        <v>1.0832886520837097</v>
      </c>
      <c r="AU2906" s="13" cm="1">
        <f t="array" ref="AU2906">$C2906*EXP(poly_from_str(100000000/$E2906,AU$4343))</f>
        <v>5.5022360253111788</v>
      </c>
      <c r="AV2906" s="13">
        <f t="shared" si="2210"/>
        <v>0.47674638107589862</v>
      </c>
      <c r="AW2906" s="13"/>
      <c r="AX2906" s="13"/>
      <c r="AY2906" s="13"/>
    </row>
    <row r="2907" spans="1:51" x14ac:dyDescent="0.25">
      <c r="A2907" t="s">
        <v>3488</v>
      </c>
      <c r="B2907" s="2" t="str">
        <f t="shared" si="2169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2202"/>
        <v>e</v>
      </c>
      <c r="N2907" t="str">
        <f t="shared" si="2203"/>
        <v>7/2</v>
      </c>
      <c r="O2907">
        <v>68801.67</v>
      </c>
      <c r="P2907" t="str">
        <f t="shared" si="2204"/>
        <v>o</v>
      </c>
      <c r="Q2907" t="str">
        <f t="shared" si="2205"/>
        <v>7/2</v>
      </c>
      <c r="R2907">
        <v>28</v>
      </c>
      <c r="AA2907" s="10">
        <f t="shared" si="2170"/>
        <v>2662.5340000000001</v>
      </c>
      <c r="AB2907" s="3">
        <f t="shared" si="2171"/>
        <v>37547.040000000001</v>
      </c>
      <c r="AC2907" s="3" cm="1">
        <f t="array" ref="AC2907">100000000/LvacE(AA2907)</f>
        <v>37547.036992823872</v>
      </c>
      <c r="AD2907" s="10">
        <f t="shared" si="2172"/>
        <v>1.2050996718318691E-2</v>
      </c>
      <c r="AE2907" s="10" t="b">
        <f t="shared" si="2173"/>
        <v>1</v>
      </c>
      <c r="AJ2907" t="s">
        <v>4735</v>
      </c>
      <c r="AK2907" t="s">
        <v>4857</v>
      </c>
      <c r="AL2907">
        <v>31254.71</v>
      </c>
      <c r="AM2907">
        <v>68801.67</v>
      </c>
      <c r="AN2907" s="10" cm="1">
        <f t="array" ref="AN2907">Lair(100000000/($AM2907-$AL2907))</f>
        <v>2662.5394584014198</v>
      </c>
      <c r="AO2907" s="10">
        <f t="shared" si="2206"/>
        <v>2663.3314654501992</v>
      </c>
      <c r="AP2907" s="12">
        <v>8860000</v>
      </c>
      <c r="AQ2907" s="3">
        <v>8.9999999999999993E-3</v>
      </c>
      <c r="AR2907" s="3"/>
      <c r="AS2907" s="13">
        <f t="shared" si="2207"/>
        <v>1.6830326887518792</v>
      </c>
      <c r="AT2907" s="3"/>
      <c r="AU2907" s="13" cm="1">
        <f t="array" ref="AU2907">$C2907*EXP(poly_from_str(100000000/$E2907,AU$4343))</f>
        <v>3.6932064397676365</v>
      </c>
      <c r="AV2907" s="13"/>
      <c r="AW2907" s="13"/>
      <c r="AX2907" s="13"/>
      <c r="AY2907" s="13"/>
    </row>
    <row r="2908" spans="1:51" x14ac:dyDescent="0.25">
      <c r="A2908" t="s">
        <v>3489</v>
      </c>
      <c r="B2908" s="2" t="str">
        <f t="shared" si="2169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2202"/>
        <v>e</v>
      </c>
      <c r="N2908" t="str">
        <f t="shared" si="2203"/>
        <v>9/2</v>
      </c>
      <c r="O2908">
        <v>67398.789999999994</v>
      </c>
      <c r="P2908" t="str">
        <f t="shared" si="2204"/>
        <v>o</v>
      </c>
      <c r="Q2908" t="str">
        <f t="shared" si="2205"/>
        <v>9/2</v>
      </c>
      <c r="R2908">
        <v>28</v>
      </c>
      <c r="AA2908" s="10">
        <f t="shared" si="2170"/>
        <v>2661.3470000000002</v>
      </c>
      <c r="AB2908" s="3">
        <f t="shared" si="2171"/>
        <v>37563.78</v>
      </c>
      <c r="AC2908" s="3" cm="1">
        <f t="array" ref="AC2908">100000000/LvacE(AA2908)</f>
        <v>37563.782555940474</v>
      </c>
      <c r="AD2908" s="10">
        <f t="shared" si="2172"/>
        <v>1.2057287635911528E-2</v>
      </c>
      <c r="AE2908" s="10" t="b">
        <f t="shared" si="2173"/>
        <v>1</v>
      </c>
      <c r="AJ2908" t="s">
        <v>4697</v>
      </c>
      <c r="AK2908" t="s">
        <v>4863</v>
      </c>
      <c r="AL2908">
        <v>29835.09</v>
      </c>
      <c r="AM2908">
        <v>67398.789999999994</v>
      </c>
      <c r="AN2908" s="10" cm="1">
        <f t="array" ref="AN2908">Lair(100000000/($AM2908-$AL2908))</f>
        <v>2661.3528477151208</v>
      </c>
      <c r="AO2908" s="10">
        <f t="shared" si="2206"/>
        <v>2662.1445704230414</v>
      </c>
      <c r="AP2908" s="12">
        <v>1400000</v>
      </c>
      <c r="AQ2908" s="3">
        <v>2E-3</v>
      </c>
      <c r="AR2908" s="3"/>
      <c r="AS2908" s="13">
        <f t="shared" si="2207"/>
        <v>0.29559947994375468</v>
      </c>
      <c r="AT2908" s="3"/>
      <c r="AU2908" s="13" cm="1">
        <f t="array" ref="AU2908">$C2908*EXP(poly_from_str(100000000/$E2908,AU$4343))</f>
        <v>7.4538405531803624</v>
      </c>
      <c r="AV2908" s="13"/>
      <c r="AW2908" s="13"/>
      <c r="AX2908" s="13"/>
      <c r="AY2908" s="13"/>
    </row>
    <row r="2909" spans="1:51" x14ac:dyDescent="0.25">
      <c r="A2909" t="s">
        <v>3490</v>
      </c>
      <c r="B2909" s="2" t="str">
        <f t="shared" si="2169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2170"/>
        <v>2661</v>
      </c>
      <c r="AB2909" s="3">
        <f t="shared" si="2171"/>
        <v>37568.68</v>
      </c>
      <c r="AC2909" s="3" cm="1">
        <f t="array" ref="AC2909">100000000/LvacE(AA2909)</f>
        <v>37568.680668637018</v>
      </c>
      <c r="AD2909" s="10">
        <f t="shared" si="2172"/>
        <v>1.2059128272949459E-2</v>
      </c>
      <c r="AE2909" s="10" t="b">
        <f t="shared" si="2173"/>
        <v>1</v>
      </c>
      <c r="AP2909"/>
      <c r="AQ2909"/>
      <c r="AU2909" s="13" cm="1">
        <f t="array" ref="AU2909">$C2909*EXP(poly_from_str(100000000/$E2909,AU$4343))</f>
        <v>3.7367777640139961</v>
      </c>
    </row>
    <row r="2910" spans="1:51" x14ac:dyDescent="0.25">
      <c r="A2910" t="s">
        <v>3491</v>
      </c>
      <c r="B2910" s="2" t="str">
        <f t="shared" si="2169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2170"/>
        <v>2660.8710000000001</v>
      </c>
      <c r="AB2910" s="3">
        <f t="shared" si="2171"/>
        <v>37570.5</v>
      </c>
      <c r="AC2910" s="3" cm="1">
        <f t="array" ref="AC2910">100000000/LvacE(AA2910)</f>
        <v>37570.501906555612</v>
      </c>
      <c r="AD2910" s="10">
        <f t="shared" si="2172"/>
        <v>1.2059812727966822E-2</v>
      </c>
      <c r="AE2910" s="10" t="b">
        <f t="shared" si="2173"/>
        <v>1</v>
      </c>
      <c r="AJ2910" t="s">
        <v>4896</v>
      </c>
      <c r="AK2910" t="s">
        <v>4950</v>
      </c>
      <c r="AL2910">
        <v>64865.15</v>
      </c>
      <c r="AM2910">
        <v>102435.67</v>
      </c>
      <c r="AN2910" s="10" cm="1">
        <f t="array" ref="AN2910">Lair(100000000/($AM2910-$AL2910))</f>
        <v>2660.8697168721601</v>
      </c>
      <c r="AO2910" s="10">
        <f>100000000/($AM2910-$AL2910)</f>
        <v>2661.6613238251693</v>
      </c>
      <c r="AP2910" s="12">
        <v>335000000</v>
      </c>
      <c r="AQ2910" s="3">
        <v>0.47899999999999998</v>
      </c>
      <c r="AR2910" s="3">
        <f>LN(AU2910*100000000/($AM2910-$AL2910)/AP2910)</f>
        <v>-11.116879839630743</v>
      </c>
      <c r="AS2910" s="13">
        <f>EXP(AR$4341*$AM2910+AR$4342)*$AP2910/(100000000/($AM2910-$AL2910))</f>
        <v>5.1022706559996847</v>
      </c>
      <c r="AT2910" s="3">
        <f>LN(AS2910/$C2910)</f>
        <v>1.6296856673129014</v>
      </c>
      <c r="AU2910" s="13" cm="1">
        <f t="array" ref="AU2910">$C2910*EXP(poly_from_str(100000000/$E2910,AU$4343))</f>
        <v>1.8702189049929958</v>
      </c>
      <c r="AV2910" s="13">
        <f>LN(AS2910/AU2910)</f>
        <v>1.0036301818039874</v>
      </c>
      <c r="AW2910" s="13"/>
      <c r="AX2910" s="13"/>
      <c r="AY2910" s="13"/>
    </row>
    <row r="2911" spans="1:51" x14ac:dyDescent="0.25">
      <c r="A2911" t="s">
        <v>3492</v>
      </c>
      <c r="B2911" s="2" t="str">
        <f t="shared" si="2169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2170"/>
        <v>2660.404</v>
      </c>
      <c r="AB2911" s="3">
        <f t="shared" si="2171"/>
        <v>37577.1</v>
      </c>
      <c r="AC2911" s="3" cm="1">
        <f t="array" ref="AC2911">100000000/LvacE(AA2911)</f>
        <v>37577.096547065397</v>
      </c>
      <c r="AD2911" s="10">
        <f t="shared" si="2172"/>
        <v>1.2062291393913366E-2</v>
      </c>
      <c r="AE2911" s="10" t="b">
        <f t="shared" si="2173"/>
        <v>1</v>
      </c>
      <c r="AP2911"/>
      <c r="AQ2911"/>
      <c r="AU2911" s="13" cm="1">
        <f t="array" ref="AU2911">$C2911*EXP(poly_from_str(100000000/$E2911,AU$4343))</f>
        <v>3.7537044588587678</v>
      </c>
    </row>
    <row r="2912" spans="1:51" x14ac:dyDescent="0.25">
      <c r="A2912" t="s">
        <v>3493</v>
      </c>
      <c r="B2912" s="2" t="str">
        <f t="shared" si="2169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2170"/>
        <v>2659.8440000000001</v>
      </c>
      <c r="AB2912" s="3">
        <f t="shared" si="2171"/>
        <v>37585.01</v>
      </c>
      <c r="AC2912" s="3" cm="1">
        <f t="array" ref="AC2912">100000000/LvacE(AA2912)</f>
        <v>37585.007520183848</v>
      </c>
      <c r="AD2912" s="10">
        <f t="shared" si="2172"/>
        <v>1.2065265391538724E-2</v>
      </c>
      <c r="AE2912" s="10" t="b">
        <f t="shared" si="2173"/>
        <v>1</v>
      </c>
      <c r="AJ2912" t="s">
        <v>4700</v>
      </c>
      <c r="AK2912" t="s">
        <v>4830</v>
      </c>
      <c r="AL2912">
        <v>29267.86</v>
      </c>
      <c r="AM2912">
        <v>66852.87</v>
      </c>
      <c r="AN2912" s="10" cm="1">
        <f t="array" ref="AN2912">Lair(100000000/($AM2912-$AL2912))</f>
        <v>2659.8438228954737</v>
      </c>
      <c r="AO2912" s="10">
        <f>100000000/($AM2912-$AL2912)</f>
        <v>2660.6351840800367</v>
      </c>
      <c r="AP2912" s="12">
        <v>2320000</v>
      </c>
      <c r="AQ2912" s="3">
        <v>4.2999999999999997E-2</v>
      </c>
      <c r="AR2912" s="3"/>
      <c r="AS2912" s="13">
        <f>EXP(AR$4341*$AM2912+AR$4342)*$AP2912/(100000000/($AM2912-$AL2912))</f>
        <v>0.5106258080642897</v>
      </c>
      <c r="AT2912" s="3"/>
      <c r="AU2912" s="13" cm="1">
        <f t="array" ref="AU2912">$C2912*EXP(poly_from_str(100000000/$E2912,AU$4343))</f>
        <v>1.8847957881532422</v>
      </c>
      <c r="AV2912" s="13"/>
      <c r="AW2912" s="13"/>
      <c r="AX2912" s="13"/>
      <c r="AY2912" s="13"/>
    </row>
    <row r="2913" spans="1:51" x14ac:dyDescent="0.25">
      <c r="A2913" t="s">
        <v>3494</v>
      </c>
      <c r="B2913" s="2" t="str">
        <f t="shared" si="2169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2170"/>
        <v>2659.549</v>
      </c>
      <c r="AB2913" s="3">
        <f t="shared" si="2171"/>
        <v>37589.18</v>
      </c>
      <c r="AC2913" s="3" cm="1">
        <f t="array" ref="AC2913">100000000/LvacE(AA2913)</f>
        <v>37589.176247409079</v>
      </c>
      <c r="AD2913" s="10">
        <f t="shared" si="2172"/>
        <v>1.2066832806503863E-2</v>
      </c>
      <c r="AE2913" s="10" t="b">
        <f t="shared" si="2173"/>
        <v>1</v>
      </c>
      <c r="AP2913"/>
      <c r="AQ2913"/>
      <c r="AU2913" s="13" cm="1">
        <f t="array" ref="AU2913">$C2913*EXP(poly_from_str(100000000/$E2913,AU$4343))</f>
        <v>3.777961221527641</v>
      </c>
    </row>
    <row r="2914" spans="1:51" x14ac:dyDescent="0.25">
      <c r="A2914" t="s">
        <v>3495</v>
      </c>
      <c r="B2914" s="2" t="str">
        <f t="shared" si="2169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2170"/>
        <v>2658.2310000000002</v>
      </c>
      <c r="AB2914" s="3">
        <f t="shared" si="2171"/>
        <v>37607.81</v>
      </c>
      <c r="AC2914" s="3" cm="1">
        <f t="array" ref="AC2914">100000000/LvacE(AA2914)</f>
        <v>37607.812573119532</v>
      </c>
      <c r="AD2914" s="10">
        <f t="shared" si="2172"/>
        <v>1.2073842072626406E-2</v>
      </c>
      <c r="AE2914" s="10" t="b">
        <f t="shared" si="2173"/>
        <v>1</v>
      </c>
      <c r="AP2914"/>
      <c r="AQ2914"/>
      <c r="AU2914" s="13" cm="1">
        <f t="array" ref="AU2914">$C2914*EXP(poly_from_str(100000000/$E2914,AU$4343))</f>
        <v>3.8153033897371262</v>
      </c>
    </row>
    <row r="2915" spans="1:51" x14ac:dyDescent="0.25">
      <c r="A2915" t="s">
        <v>3496</v>
      </c>
      <c r="B2915" s="2" t="str">
        <f t="shared" si="2169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2170"/>
        <v>2657.402</v>
      </c>
      <c r="AB2915" s="3">
        <f t="shared" si="2171"/>
        <v>37619.54</v>
      </c>
      <c r="AC2915" s="3" cm="1">
        <f t="array" ref="AC2915">100000000/LvacE(AA2915)</f>
        <v>37619.543980420734</v>
      </c>
      <c r="AD2915" s="10">
        <f t="shared" si="2172"/>
        <v>1.2078256127680482E-2</v>
      </c>
      <c r="AE2915" s="10" t="b">
        <f t="shared" si="2173"/>
        <v>1</v>
      </c>
      <c r="AJ2915" t="s">
        <v>4896</v>
      </c>
      <c r="AK2915" t="s">
        <v>4832</v>
      </c>
      <c r="AL2915">
        <v>64865.15</v>
      </c>
      <c r="AM2915">
        <v>102484.66</v>
      </c>
      <c r="AN2915" s="10" cm="1">
        <f t="array" ref="AN2915">Lair(100000000/($AM2915-$AL2915))</f>
        <v>2657.4043989125848</v>
      </c>
      <c r="AO2915" s="10">
        <f>100000000/($AM2915-$AL2915)</f>
        <v>2658.1951758542309</v>
      </c>
      <c r="AP2915" s="12">
        <v>92800000</v>
      </c>
      <c r="AQ2915" s="3">
        <v>0.44</v>
      </c>
      <c r="AR2915" s="3">
        <f>LN(AU2915*100000000/($AM2915-$AL2915)/AP2915)</f>
        <v>-9.808549395883178</v>
      </c>
      <c r="AS2915" s="13">
        <f>EXP(AR$4341*$AM2915+AR$4342)*$AP2915/(100000000/($AM2915-$AL2915))</f>
        <v>1.4100544673836495</v>
      </c>
      <c r="AT2915" s="3">
        <f>LN(AS2915/$C2915)</f>
        <v>0.34362833299408879</v>
      </c>
      <c r="AU2915" s="13" cm="1">
        <f t="array" ref="AU2915">$C2915*EXP(poly_from_str(100000000/$E2915,AU$4343))</f>
        <v>1.9193856016806263</v>
      </c>
      <c r="AV2915" s="13">
        <f>LN(AS2915/AU2915)</f>
        <v>-0.30837680271028245</v>
      </c>
      <c r="AW2915" s="13"/>
      <c r="AX2915" s="13"/>
      <c r="AY2915" s="13"/>
    </row>
    <row r="2916" spans="1:51" x14ac:dyDescent="0.25">
      <c r="A2916" t="s">
        <v>3497</v>
      </c>
      <c r="B2916" s="2" t="str">
        <f t="shared" si="2169"/>
        <v/>
      </c>
      <c r="C2916">
        <v>1</v>
      </c>
      <c r="D2916" t="s">
        <v>1156</v>
      </c>
      <c r="E2916">
        <v>37622.25</v>
      </c>
      <c r="R2916">
        <v>28</v>
      </c>
      <c r="S2916" t="s">
        <v>22</v>
      </c>
      <c r="AA2916" s="10">
        <f t="shared" si="2170"/>
        <v>2657.2109999999998</v>
      </c>
      <c r="AB2916" s="3">
        <f t="shared" si="2171"/>
        <v>37622.25</v>
      </c>
      <c r="AC2916" s="3" cm="1">
        <f t="array" ref="AC2916">100000000/LvacE(AA2916)</f>
        <v>37622.247911444611</v>
      </c>
      <c r="AD2916" s="10">
        <f t="shared" si="2172"/>
        <v>1.2079273703037623E-2</v>
      </c>
      <c r="AE2916" s="10" t="b">
        <f t="shared" si="2173"/>
        <v>1</v>
      </c>
      <c r="AP2916"/>
      <c r="AQ2916"/>
      <c r="AU2916" s="13" cm="1">
        <f t="array" ref="AU2916">$C2916*EXP(poly_from_str(100000000/$E2916,AU$4343))</f>
        <v>1.9220939985591057</v>
      </c>
    </row>
    <row r="2917" spans="1:51" x14ac:dyDescent="0.25">
      <c r="A2917" t="s">
        <v>3498</v>
      </c>
      <c r="B2917" s="2" t="str">
        <f t="shared" si="2169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2170"/>
        <v>2656.8760000000002</v>
      </c>
      <c r="AB2917" s="3">
        <f t="shared" si="2171"/>
        <v>37626.99</v>
      </c>
      <c r="AC2917" s="3" cm="1">
        <f t="array" ref="AC2917">100000000/LvacE(AA2917)</f>
        <v>37626.991347069816</v>
      </c>
      <c r="AD2917" s="10">
        <f t="shared" si="2172"/>
        <v>1.2081058985641373E-2</v>
      </c>
      <c r="AE2917" s="10" t="b">
        <f t="shared" si="2173"/>
        <v>1</v>
      </c>
      <c r="AP2917"/>
      <c r="AQ2917"/>
      <c r="AU2917" s="13" cm="1">
        <f t="array" ref="AU2917">$C2917*EXP(poly_from_str(100000000/$E2917,AU$4343))</f>
        <v>38.536577706488558</v>
      </c>
    </row>
    <row r="2918" spans="1:51" x14ac:dyDescent="0.25">
      <c r="A2918" t="s">
        <v>3499</v>
      </c>
      <c r="B2918" s="2" t="str">
        <f t="shared" si="2169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2170"/>
        <v>2656.799</v>
      </c>
      <c r="AB2918" s="3">
        <f t="shared" si="2171"/>
        <v>37628.080000000002</v>
      </c>
      <c r="AC2918" s="3" cm="1">
        <f t="array" ref="AC2918">100000000/LvacE(AA2918)</f>
        <v>37628.081798344116</v>
      </c>
      <c r="AD2918" s="10">
        <f t="shared" si="2172"/>
        <v>1.208146942963019E-2</v>
      </c>
      <c r="AE2918" s="10" t="b">
        <f t="shared" si="2173"/>
        <v>1</v>
      </c>
      <c r="AP2918"/>
      <c r="AQ2918"/>
      <c r="AU2918" s="13" cm="1">
        <f t="array" ref="AU2918">$C2918*EXP(poly_from_str(100000000/$E2918,AU$4343))</f>
        <v>7.7116691603988405</v>
      </c>
    </row>
    <row r="2919" spans="1:51" x14ac:dyDescent="0.25">
      <c r="A2919" t="s">
        <v>3500</v>
      </c>
      <c r="B2919" s="2" t="str">
        <f t="shared" si="2169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2211">$G2919&amp;""</f>
        <v>e</v>
      </c>
      <c r="N2919" t="str">
        <f t="shared" ref="N2919:N2921" si="2212">$H2919&amp;""</f>
        <v>7/2</v>
      </c>
      <c r="O2919">
        <v>60166.2</v>
      </c>
      <c r="P2919" t="str">
        <f t="shared" ref="P2919:P2921" si="2213">$J2919&amp;""</f>
        <v>o</v>
      </c>
      <c r="Q2919" t="str">
        <f t="shared" ref="Q2919:Q2921" si="2214">$K2919&amp;""</f>
        <v>9/2</v>
      </c>
      <c r="R2919">
        <v>28</v>
      </c>
      <c r="AA2919" s="10">
        <f t="shared" si="2170"/>
        <v>2656.0630000000001</v>
      </c>
      <c r="AB2919" s="3">
        <f t="shared" si="2171"/>
        <v>37638.51</v>
      </c>
      <c r="AC2919" s="3" cm="1">
        <f t="array" ref="AC2919">100000000/LvacE(AA2919)</f>
        <v>37638.508003179661</v>
      </c>
      <c r="AD2919" s="10">
        <f t="shared" si="2172"/>
        <v>1.2085394435896223E-2</v>
      </c>
      <c r="AE2919" s="10" t="b">
        <f t="shared" si="2173"/>
        <v>1</v>
      </c>
      <c r="AJ2919" t="s">
        <v>4799</v>
      </c>
      <c r="AK2919" t="s">
        <v>4726</v>
      </c>
      <c r="AL2919">
        <v>22527.7</v>
      </c>
      <c r="AM2919">
        <v>60166.2</v>
      </c>
      <c r="AN2919" s="10" cm="1">
        <f t="array" ref="AN2919">Lair(100000000/($AM2919-$AL2919))</f>
        <v>2656.0635632498324</v>
      </c>
      <c r="AO2919" s="10">
        <f t="shared" ref="AO2919:AO2921" si="2215">100000000/($AM2919-$AL2919)</f>
        <v>2656.8540191559173</v>
      </c>
      <c r="AP2919" s="12">
        <v>19000000</v>
      </c>
      <c r="AQ2919" s="3">
        <v>0.04</v>
      </c>
      <c r="AR2919" s="3"/>
      <c r="AS2919" s="13">
        <f t="shared" ref="AS2919:AS2921" si="2216">EXP(AR$4341*$AM2919+AR$4342)*$AP2919/(100000000/($AM2919-$AL2919))</f>
        <v>6.9170449116819492</v>
      </c>
      <c r="AT2919" s="3"/>
      <c r="AU2919" s="13" cm="1">
        <f t="array" ref="AU2919">$C2919*EXP(poly_from_str(100000000/$E2919,AU$4343))</f>
        <v>13.568267706732144</v>
      </c>
      <c r="AV2919" s="13"/>
      <c r="AW2919" s="13"/>
      <c r="AX2919" s="13"/>
      <c r="AY2919" s="13"/>
    </row>
    <row r="2920" spans="1:51" x14ac:dyDescent="0.25">
      <c r="A2920" t="s">
        <v>3501</v>
      </c>
      <c r="B2920" s="2" t="str">
        <f t="shared" si="2169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2211"/>
        <v>e</v>
      </c>
      <c r="N2920" t="str">
        <f t="shared" si="2212"/>
        <v>5/2</v>
      </c>
      <c r="O2920">
        <v>63576.27</v>
      </c>
      <c r="P2920" t="str">
        <f t="shared" si="2213"/>
        <v>o</v>
      </c>
      <c r="Q2920" t="str">
        <f t="shared" si="2214"/>
        <v>5/2</v>
      </c>
      <c r="R2920">
        <v>28</v>
      </c>
      <c r="AA2920" s="10">
        <f t="shared" si="2170"/>
        <v>2655.8649999999998</v>
      </c>
      <c r="AB2920" s="3">
        <f t="shared" si="2171"/>
        <v>37641.31</v>
      </c>
      <c r="AC2920" s="3" cm="1">
        <f t="array" ref="AC2920">100000000/LvacE(AA2920)</f>
        <v>37641.31386523362</v>
      </c>
      <c r="AD2920" s="10">
        <f t="shared" si="2172"/>
        <v>1.2086450904928079E-2</v>
      </c>
      <c r="AE2920" s="10" t="b">
        <f t="shared" si="2173"/>
        <v>1</v>
      </c>
      <c r="AJ2920" t="s">
        <v>4713</v>
      </c>
      <c r="AK2920" t="s">
        <v>4843</v>
      </c>
      <c r="AL2920">
        <v>25934.98</v>
      </c>
      <c r="AM2920">
        <v>63576.27</v>
      </c>
      <c r="AN2920" s="10" cm="1">
        <f t="array" ref="AN2920">Lair(100000000/($AM2920-$AL2920))</f>
        <v>2655.8666824162533</v>
      </c>
      <c r="AO2920" s="10">
        <f t="shared" si="2215"/>
        <v>2656.657091188958</v>
      </c>
      <c r="AP2920" s="12">
        <v>4490000</v>
      </c>
      <c r="AQ2920" s="3">
        <v>2.5000000000000001E-2</v>
      </c>
      <c r="AR2920" s="3"/>
      <c r="AS2920" s="13">
        <f t="shared" si="2216"/>
        <v>1.2656195740464669</v>
      </c>
      <c r="AT2920" s="3"/>
      <c r="AU2920" s="13" cm="1">
        <f t="array" ref="AU2920">$C2920*EXP(poly_from_str(100000000/$E2920,AU$4343))</f>
        <v>1.9411151699465621</v>
      </c>
      <c r="AV2920" s="13"/>
      <c r="AW2920" s="13"/>
      <c r="AX2920" s="13"/>
      <c r="AY2920" s="13"/>
    </row>
    <row r="2921" spans="1:51" x14ac:dyDescent="0.25">
      <c r="A2921" t="s">
        <v>3502</v>
      </c>
      <c r="B2921" s="2" t="str">
        <f t="shared" si="2169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2211"/>
        <v>o</v>
      </c>
      <c r="N2921" t="str">
        <f t="shared" si="2212"/>
        <v>11/2</v>
      </c>
      <c r="O2921">
        <v>107081.94</v>
      </c>
      <c r="P2921" t="str">
        <f t="shared" si="2213"/>
        <v>e</v>
      </c>
      <c r="Q2921" t="str">
        <f t="shared" si="2214"/>
        <v>9/2</v>
      </c>
      <c r="R2921">
        <v>28</v>
      </c>
      <c r="AA2921" s="10">
        <f t="shared" si="2170"/>
        <v>2653.598</v>
      </c>
      <c r="AB2921" s="3">
        <f t="shared" si="2171"/>
        <v>37673.47</v>
      </c>
      <c r="AC2921" s="3" cm="1">
        <f t="array" ref="AC2921">100000000/LvacE(AA2921)</f>
        <v>37673.469407862547</v>
      </c>
      <c r="AD2921" s="10">
        <f t="shared" si="2172"/>
        <v>1.2098563800519624E-2</v>
      </c>
      <c r="AE2921" s="10" t="b">
        <f t="shared" si="2173"/>
        <v>1</v>
      </c>
      <c r="AJ2921" t="s">
        <v>4951</v>
      </c>
      <c r="AK2921" t="s">
        <v>4956</v>
      </c>
      <c r="AL2921">
        <v>69408.509999999995</v>
      </c>
      <c r="AM2921">
        <v>107081.94</v>
      </c>
      <c r="AN2921" s="10" cm="1">
        <f t="array" ref="AN2921">Lair(100000000/($AM2921-$AL2921))</f>
        <v>2653.6007744126987</v>
      </c>
      <c r="AO2921" s="10">
        <f t="shared" si="2215"/>
        <v>2654.3906408309513</v>
      </c>
      <c r="AP2921" s="12">
        <v>556000000</v>
      </c>
      <c r="AQ2921" s="3">
        <v>0.71</v>
      </c>
      <c r="AR2921" s="3">
        <f>LN(AU2921*100000000/($AM2921-$AL2921)/AP2921)</f>
        <v>-10.474093270941726</v>
      </c>
      <c r="AS2921" s="13">
        <f t="shared" si="2216"/>
        <v>5.9916767139898406</v>
      </c>
      <c r="AT2921" s="3">
        <f t="shared" ref="AT2921" si="2217">LN(AS2921/$C2921)</f>
        <v>0.69175900315235139</v>
      </c>
      <c r="AU2921" s="13" cm="1">
        <f t="array" ref="AU2921">$C2921*EXP(poly_from_str(100000000/$E2921,AU$4343))</f>
        <v>5.9192821775433995</v>
      </c>
      <c r="AV2921" s="13">
        <f>LN(AS2921/AU2921)</f>
        <v>1.2156104069726911E-2</v>
      </c>
      <c r="AW2921" s="13"/>
      <c r="AX2921" s="13"/>
      <c r="AY2921" s="13"/>
    </row>
    <row r="2922" spans="1:51" x14ac:dyDescent="0.25">
      <c r="A2922" t="s">
        <v>3503</v>
      </c>
      <c r="B2922" s="2" t="str">
        <f t="shared" si="2169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2170"/>
        <v>2653.4720000000002</v>
      </c>
      <c r="AB2922" s="3">
        <f t="shared" si="2171"/>
        <v>37675.26</v>
      </c>
      <c r="AC2922" s="3" cm="1">
        <f t="array" ref="AC2922">100000000/LvacE(AA2922)</f>
        <v>37675.258226502789</v>
      </c>
      <c r="AD2922" s="10">
        <f t="shared" si="2172"/>
        <v>1.2099237946830188E-2</v>
      </c>
      <c r="AE2922" s="10" t="b">
        <f t="shared" si="2173"/>
        <v>1</v>
      </c>
      <c r="AP2922"/>
      <c r="AQ2922"/>
      <c r="AU2922" s="13" cm="1">
        <f t="array" ref="AU2922">$C2922*EXP(poly_from_str(100000000/$E2922,AU$4343))</f>
        <v>1.9748694913534524</v>
      </c>
    </row>
    <row r="2923" spans="1:51" x14ac:dyDescent="0.25">
      <c r="A2923" t="s">
        <v>3504</v>
      </c>
      <c r="B2923" s="2" t="str">
        <f t="shared" si="2169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2170"/>
        <v>2652.933</v>
      </c>
      <c r="AB2923" s="3">
        <f t="shared" si="2171"/>
        <v>37682.910000000003</v>
      </c>
      <c r="AC2923" s="3" cm="1">
        <f t="array" ref="AC2923">100000000/LvacE(AA2923)</f>
        <v>37682.912313060398</v>
      </c>
      <c r="AD2923" s="10">
        <f t="shared" si="2172"/>
        <v>1.2102122879292541E-2</v>
      </c>
      <c r="AE2923" s="10" t="b">
        <f t="shared" si="2173"/>
        <v>1</v>
      </c>
      <c r="AP2923"/>
      <c r="AQ2923"/>
      <c r="AU2923" s="13" cm="1">
        <f t="array" ref="AU2923">$C2923*EXP(poly_from_str(100000000/$E2923,AU$4343))</f>
        <v>1.9824516945452912</v>
      </c>
    </row>
    <row r="2924" spans="1:51" x14ac:dyDescent="0.25">
      <c r="A2924" t="s">
        <v>3505</v>
      </c>
      <c r="B2924" s="2" t="str">
        <f t="shared" si="2169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2218">$G2924&amp;""</f>
        <v>o</v>
      </c>
      <c r="N2924" t="str">
        <f t="shared" ref="N2924:N2927" si="2219">$H2924&amp;""</f>
        <v>7/2</v>
      </c>
      <c r="O2924">
        <v>100947.18</v>
      </c>
      <c r="P2924" t="str">
        <f t="shared" ref="P2924:P2927" si="2220">$J2924&amp;""</f>
        <v>e</v>
      </c>
      <c r="Q2924" t="str">
        <f t="shared" ref="Q2924:Q2927" si="2221">$K2924&amp;""</f>
        <v>9/2</v>
      </c>
      <c r="R2924">
        <v>28</v>
      </c>
      <c r="AA2924" s="10">
        <f t="shared" si="2170"/>
        <v>2650.6750000000002</v>
      </c>
      <c r="AB2924" s="3">
        <f t="shared" si="2171"/>
        <v>37715.01</v>
      </c>
      <c r="AC2924" s="3" cm="1">
        <f t="array" ref="AC2924">100000000/LvacE(AA2924)</f>
        <v>37715.010944709771</v>
      </c>
      <c r="AD2924" s="10">
        <f t="shared" si="2172"/>
        <v>1.2114227686289298E-2</v>
      </c>
      <c r="AE2924" s="10" t="b">
        <f t="shared" si="2173"/>
        <v>1</v>
      </c>
      <c r="AJ2924" t="s">
        <v>4819</v>
      </c>
      <c r="AK2924" t="s">
        <v>4955</v>
      </c>
      <c r="AL2924">
        <v>63232.14</v>
      </c>
      <c r="AM2924">
        <v>100947.18</v>
      </c>
      <c r="AN2924" s="10" cm="1">
        <f t="array" ref="AN2924">Lair(100000000/($AM2924-$AL2924))</f>
        <v>2650.672956352254</v>
      </c>
      <c r="AO2924" s="10">
        <f t="shared" ref="AO2924:AO2927" si="2222">100000000/($AM2924-$AL2924)</f>
        <v>2651.4621222727064</v>
      </c>
      <c r="AP2924" s="12">
        <v>169000000</v>
      </c>
      <c r="AQ2924" s="3">
        <v>0.40600000000000003</v>
      </c>
      <c r="AR2924" s="3">
        <f>LN(AU2924*100000000/($AM2924-$AL2924)/AP2924)</f>
        <v>-10.362337644059274</v>
      </c>
      <c r="AS2924" s="13">
        <f t="shared" ref="AS2924:AS2927" si="2223">EXP(AR$4341*$AM2924+AR$4342)*$AP2924/(100000000/($AM2924-$AL2924))</f>
        <v>2.88925723101412</v>
      </c>
      <c r="AT2924" s="3">
        <f t="shared" ref="AT2924:AT2926" si="2224">LN(AS2924/$C2924)</f>
        <v>1.0609994556007898</v>
      </c>
      <c r="AU2924" s="13" cm="1">
        <f t="array" ref="AU2924">$C2924*EXP(poly_from_str(100000000/$E2924,AU$4343))</f>
        <v>2.0141658062580738</v>
      </c>
      <c r="AV2924" s="13">
        <f>LN(AS2924/AU2924)</f>
        <v>0.36079433785193876</v>
      </c>
      <c r="AW2924" s="13"/>
      <c r="AX2924" s="13"/>
      <c r="AY2924" s="13"/>
    </row>
    <row r="2925" spans="1:51" x14ac:dyDescent="0.25">
      <c r="A2925" t="s">
        <v>3506</v>
      </c>
      <c r="B2925" s="2" t="str">
        <f t="shared" si="2169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2218"/>
        <v>e</v>
      </c>
      <c r="N2925" t="str">
        <f t="shared" si="2219"/>
        <v>7/2</v>
      </c>
      <c r="O2925">
        <v>64857.15</v>
      </c>
      <c r="P2925" t="str">
        <f t="shared" si="2220"/>
        <v>o</v>
      </c>
      <c r="Q2925" t="str">
        <f t="shared" si="2221"/>
        <v>9/2</v>
      </c>
      <c r="R2925">
        <v>28</v>
      </c>
      <c r="AA2925" s="10">
        <f t="shared" si="2170"/>
        <v>2650.4189999999999</v>
      </c>
      <c r="AB2925" s="3">
        <f t="shared" si="2171"/>
        <v>37718.65</v>
      </c>
      <c r="AC2925" s="3" cm="1">
        <f t="array" ref="AC2925">100000000/LvacE(AA2925)</f>
        <v>37718.653567896443</v>
      </c>
      <c r="AD2925" s="10">
        <f t="shared" si="2172"/>
        <v>1.2115602017623713E-2</v>
      </c>
      <c r="AE2925" s="10" t="b">
        <f t="shared" si="2173"/>
        <v>1</v>
      </c>
      <c r="AJ2925" t="s">
        <v>4723</v>
      </c>
      <c r="AK2925" t="s">
        <v>4854</v>
      </c>
      <c r="AL2925">
        <v>27138.55</v>
      </c>
      <c r="AM2925">
        <v>64857.15</v>
      </c>
      <c r="AN2925" s="10" cm="1">
        <f t="array" ref="AN2925">Lair(100000000/($AM2925-$AL2925))</f>
        <v>2650.4227628700255</v>
      </c>
      <c r="AO2925" s="10">
        <f t="shared" si="2222"/>
        <v>2651.2118689452946</v>
      </c>
      <c r="AP2925" s="12">
        <v>5040000</v>
      </c>
      <c r="AQ2925" s="3">
        <v>2.4E-2</v>
      </c>
      <c r="AR2925" s="3"/>
      <c r="AS2925" s="13">
        <f t="shared" si="2223"/>
        <v>1.2930981762737026</v>
      </c>
      <c r="AT2925" s="3"/>
      <c r="AU2925" s="13" cm="1">
        <f t="array" ref="AU2925">$C2925*EXP(poly_from_str(100000000/$E2925,AU$4343))</f>
        <v>2.0177513333320789</v>
      </c>
      <c r="AV2925" s="13"/>
      <c r="AW2925" s="13"/>
      <c r="AX2925" s="13"/>
      <c r="AY2925" s="13"/>
    </row>
    <row r="2926" spans="1:51" x14ac:dyDescent="0.25">
      <c r="A2926" t="s">
        <v>3507</v>
      </c>
      <c r="B2926" s="2" t="str">
        <f t="shared" si="2169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2218"/>
        <v>e</v>
      </c>
      <c r="N2926" t="str">
        <f t="shared" si="2219"/>
        <v>11/2</v>
      </c>
      <c r="O2926">
        <v>63816.91</v>
      </c>
      <c r="P2926" t="str">
        <f t="shared" si="2220"/>
        <v>o</v>
      </c>
      <c r="Q2926" t="str">
        <f t="shared" si="2221"/>
        <v>11/2</v>
      </c>
      <c r="R2926">
        <v>28</v>
      </c>
      <c r="AA2926" s="10">
        <f t="shared" si="2170"/>
        <v>2650.2049999999999</v>
      </c>
      <c r="AB2926" s="3">
        <f t="shared" si="2171"/>
        <v>37721.699999999997</v>
      </c>
      <c r="AC2926" s="3" cm="1">
        <f t="array" ref="AC2926">100000000/LvacE(AA2926)</f>
        <v>37721.699113173476</v>
      </c>
      <c r="AD2926" s="10">
        <f t="shared" si="2172"/>
        <v>1.2116751178337805E-2</v>
      </c>
      <c r="AE2926" s="10" t="b">
        <f t="shared" si="2173"/>
        <v>1</v>
      </c>
      <c r="AJ2926" t="s">
        <v>4738</v>
      </c>
      <c r="AK2926" t="s">
        <v>4928</v>
      </c>
      <c r="AL2926">
        <v>26095.23</v>
      </c>
      <c r="AM2926">
        <v>63816.91</v>
      </c>
      <c r="AN2926" s="10" cm="1">
        <f t="array" ref="AN2926">Lair(100000000/($AM2926-$AL2926))</f>
        <v>2650.2063414410632</v>
      </c>
      <c r="AO2926" s="10">
        <f t="shared" si="2222"/>
        <v>2650.9953957511962</v>
      </c>
      <c r="AP2926" s="12">
        <v>19300000</v>
      </c>
      <c r="AQ2926" s="3">
        <v>7.2999999999999995E-2</v>
      </c>
      <c r="AR2926" s="3">
        <f>LN(AU2926*100000000/($AM2926-$AL2926)/AP2926)</f>
        <v>-6.5800165840892531</v>
      </c>
      <c r="AS2926" s="13">
        <f t="shared" si="2223"/>
        <v>5.3542376703484571</v>
      </c>
      <c r="AT2926" s="3">
        <f t="shared" si="2224"/>
        <v>6.8450422853335788E-2</v>
      </c>
      <c r="AU2926" s="13" cm="1">
        <f t="array" ref="AU2926">$C2926*EXP(poly_from_str(100000000/$E2926,AU$4343))</f>
        <v>10.103769785479775</v>
      </c>
      <c r="AV2926" s="13">
        <f>LN(AS2926/AU2926)</f>
        <v>-0.63502026500789099</v>
      </c>
      <c r="AW2926" s="13"/>
      <c r="AX2926" s="13"/>
      <c r="AY2926" s="13"/>
    </row>
    <row r="2927" spans="1:51" x14ac:dyDescent="0.25">
      <c r="A2927" t="s">
        <v>3508</v>
      </c>
      <c r="B2927" s="2" t="str">
        <f t="shared" si="2169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2218"/>
        <v>e</v>
      </c>
      <c r="N2927" t="str">
        <f t="shared" si="2219"/>
        <v>7/2</v>
      </c>
      <c r="O2927">
        <v>68978.55</v>
      </c>
      <c r="P2927" t="str">
        <f t="shared" si="2220"/>
        <v>o</v>
      </c>
      <c r="Q2927" t="str">
        <f t="shared" si="2221"/>
        <v>5/2</v>
      </c>
      <c r="R2927">
        <v>28</v>
      </c>
      <c r="AA2927" s="10">
        <f t="shared" si="2170"/>
        <v>2650.056</v>
      </c>
      <c r="AB2927" s="3">
        <f t="shared" si="2171"/>
        <v>37723.82</v>
      </c>
      <c r="AC2927" s="3" cm="1">
        <f t="array" ref="AC2927">100000000/LvacE(AA2927)</f>
        <v>37723.819900081617</v>
      </c>
      <c r="AD2927" s="10">
        <f t="shared" si="2172"/>
        <v>1.2117551459305317E-2</v>
      </c>
      <c r="AE2927" s="10" t="b">
        <f t="shared" si="2173"/>
        <v>1</v>
      </c>
      <c r="AJ2927" t="s">
        <v>4735</v>
      </c>
      <c r="AK2927" t="s">
        <v>4918</v>
      </c>
      <c r="AL2927">
        <v>31254.71</v>
      </c>
      <c r="AM2927">
        <v>68978.55</v>
      </c>
      <c r="AN2927" s="10" cm="1">
        <f t="array" ref="AN2927">Lair(100000000/($AM2927-$AL2927))</f>
        <v>2650.0545864552705</v>
      </c>
      <c r="AO2927" s="10">
        <f t="shared" si="2222"/>
        <v>2650.843604468686</v>
      </c>
      <c r="AP2927" s="12">
        <v>13900000</v>
      </c>
      <c r="AQ2927" s="3">
        <v>2.3E-2</v>
      </c>
      <c r="AR2927" s="3"/>
      <c r="AS2927" s="13">
        <f t="shared" si="2223"/>
        <v>2.6178803973080935</v>
      </c>
      <c r="AT2927" s="3"/>
      <c r="AU2927" s="13" cm="1">
        <f t="array" ref="AU2927">$C2927*EXP(poly_from_str(100000000/$E2927,AU$4343))</f>
        <v>2.022840089691285</v>
      </c>
      <c r="AV2927" s="13"/>
      <c r="AW2927" s="13"/>
      <c r="AX2927" s="13"/>
      <c r="AY2927" s="13"/>
    </row>
    <row r="2928" spans="1:51" x14ac:dyDescent="0.25">
      <c r="A2928" t="s">
        <v>3509</v>
      </c>
      <c r="B2928" s="2" t="str">
        <f t="shared" si="2169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2170"/>
        <v>2649.8539999999998</v>
      </c>
      <c r="AB2928" s="3">
        <f t="shared" si="2171"/>
        <v>37726.69</v>
      </c>
      <c r="AC2928" s="3" cm="1">
        <f t="array" ref="AC2928">100000000/LvacE(AA2928)</f>
        <v>37726.695441659067</v>
      </c>
      <c r="AD2928" s="10">
        <f t="shared" si="2172"/>
        <v>1.2118636619538109E-2</v>
      </c>
      <c r="AE2928" s="10" t="b">
        <f t="shared" si="2173"/>
        <v>1</v>
      </c>
      <c r="AP2928"/>
      <c r="AQ2928"/>
      <c r="AU2928" s="13" cm="1">
        <f t="array" ref="AU2928">$C2928*EXP(poly_from_str(100000000/$E2928,AU$4343))</f>
        <v>4.0513260180509878</v>
      </c>
    </row>
    <row r="2929" spans="1:51" x14ac:dyDescent="0.25">
      <c r="A2929" t="s">
        <v>3510</v>
      </c>
      <c r="B2929" s="2" t="str">
        <f t="shared" si="2169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2225">$G2929&amp;""</f>
        <v>e</v>
      </c>
      <c r="N2929" t="str">
        <f t="shared" ref="N2929:N2930" si="2226">$H2929&amp;""</f>
        <v>11/2</v>
      </c>
      <c r="O2929">
        <v>68238.12</v>
      </c>
      <c r="P2929" t="str">
        <f t="shared" ref="P2929:P2930" si="2227">$J2929&amp;""</f>
        <v>o</v>
      </c>
      <c r="Q2929" t="str">
        <f t="shared" ref="Q2929:Q2930" si="2228">$K2929&amp;""</f>
        <v>11/2</v>
      </c>
      <c r="R2929">
        <v>28</v>
      </c>
      <c r="AA2929" s="10">
        <f t="shared" si="2170"/>
        <v>2649.45</v>
      </c>
      <c r="AB2929" s="3">
        <f t="shared" si="2171"/>
        <v>37732.449999999997</v>
      </c>
      <c r="AC2929" s="3" cm="1">
        <f t="array" ref="AC2929">100000000/LvacE(AA2929)</f>
        <v>37732.447840096866</v>
      </c>
      <c r="AD2929" s="10">
        <f t="shared" si="2172"/>
        <v>1.2120807684632069E-2</v>
      </c>
      <c r="AE2929" s="10" t="b">
        <f t="shared" si="2173"/>
        <v>1</v>
      </c>
      <c r="AJ2929" t="s">
        <v>4706</v>
      </c>
      <c r="AK2929" t="s">
        <v>4934</v>
      </c>
      <c r="AL2929">
        <v>30505.72</v>
      </c>
      <c r="AM2929">
        <v>68238.12</v>
      </c>
      <c r="AN2929" s="10" cm="1">
        <f t="array" ref="AN2929">Lair(100000000/($AM2929-$AL2929))</f>
        <v>2649.4533579196673</v>
      </c>
      <c r="AO2929" s="10">
        <f t="shared" ref="AO2929:AO2930" si="2229">100000000/($AM2929-$AL2929)</f>
        <v>2650.2422321400181</v>
      </c>
      <c r="AP2929" s="12">
        <v>14000000</v>
      </c>
      <c r="AQ2929" s="3">
        <v>6.8000000000000005E-2</v>
      </c>
      <c r="AR2929" s="3">
        <f t="shared" ref="AR2929:AR2930" si="2230">LN(AU2929*100000000/($AM2929-$AL2929)/AP2929)</f>
        <v>-7.8634736642495948</v>
      </c>
      <c r="AS2929" s="13">
        <f t="shared" ref="AS2929:AS2930" si="2231">EXP(AR$4341*$AM2929+AR$4342)*$AP2929/(100000000/($AM2929-$AL2929))</f>
        <v>2.7880076312147808</v>
      </c>
      <c r="AT2929" s="3">
        <f t="shared" ref="AT2929:AT2930" si="2232">LN(AS2929/$C2929)</f>
        <v>1.025327230059087</v>
      </c>
      <c r="AU2929" s="13" cm="1">
        <f t="array" ref="AU2929">$C2929*EXP(poly_from_str(100000000/$E2929,AU$4343))</f>
        <v>2.0313242091672277</v>
      </c>
      <c r="AV2929" s="13">
        <f t="shared" ref="AV2929:AV2930" si="2233">LN(AS2929/AU2929)</f>
        <v>0.31663932988665139</v>
      </c>
      <c r="AW2929" s="13"/>
      <c r="AX2929" s="13"/>
      <c r="AY2929" s="13"/>
    </row>
    <row r="2930" spans="1:51" x14ac:dyDescent="0.25">
      <c r="A2930" t="s">
        <v>3511</v>
      </c>
      <c r="B2930" s="2" t="str">
        <f t="shared" si="2169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2225"/>
        <v>o</v>
      </c>
      <c r="N2930" t="str">
        <f t="shared" si="2226"/>
        <v>9/2</v>
      </c>
      <c r="O2930">
        <v>104788.68</v>
      </c>
      <c r="P2930" t="str">
        <f t="shared" si="2227"/>
        <v>e</v>
      </c>
      <c r="Q2930" t="str">
        <f t="shared" si="2228"/>
        <v>11/2</v>
      </c>
      <c r="R2930">
        <v>28</v>
      </c>
      <c r="AA2930" s="10">
        <f t="shared" si="2170"/>
        <v>2648.9569999999999</v>
      </c>
      <c r="AB2930" s="3">
        <f t="shared" si="2171"/>
        <v>37739.47</v>
      </c>
      <c r="AC2930" s="3" cm="1">
        <f t="array" ref="AC2930">100000000/LvacE(AA2930)</f>
        <v>37739.469851580478</v>
      </c>
      <c r="AD2930" s="10">
        <f t="shared" si="2172"/>
        <v>1.212345837466982E-2</v>
      </c>
      <c r="AE2930" s="10" t="b">
        <f t="shared" si="2173"/>
        <v>1</v>
      </c>
      <c r="AJ2930" t="s">
        <v>4862</v>
      </c>
      <c r="AK2930" t="s">
        <v>4836</v>
      </c>
      <c r="AL2930">
        <v>67049.179999999993</v>
      </c>
      <c r="AM2930">
        <v>104788.68</v>
      </c>
      <c r="AN2930" s="10" cm="1">
        <f t="array" ref="AN2930">Lair(100000000/($AM2930-$AL2930))</f>
        <v>2648.9548822904212</v>
      </c>
      <c r="AO2930" s="10">
        <f t="shared" si="2229"/>
        <v>2649.743637303091</v>
      </c>
      <c r="AP2930" s="12">
        <v>1680000000</v>
      </c>
      <c r="AQ2930" s="3">
        <v>0.90100000000000002</v>
      </c>
      <c r="AR2930" s="3">
        <f t="shared" si="2230"/>
        <v>-10.568325035610917</v>
      </c>
      <c r="AS2930" s="13">
        <f t="shared" si="2231"/>
        <v>21.542032409356938</v>
      </c>
      <c r="AT2930" s="3">
        <f t="shared" si="2232"/>
        <v>0.990564480720591</v>
      </c>
      <c r="AU2930" s="13" cm="1">
        <f t="array" ref="AU2930">$C2930*EXP(poly_from_str(100000000/$E2930,AU$4343))</f>
        <v>16.305727412425597</v>
      </c>
      <c r="AV2930" s="13">
        <f t="shared" si="2233"/>
        <v>0.2784896013100116</v>
      </c>
      <c r="AW2930" s="13"/>
      <c r="AX2930" s="13"/>
      <c r="AY2930" s="13"/>
    </row>
    <row r="2931" spans="1:51" x14ac:dyDescent="0.25">
      <c r="A2931" t="s">
        <v>3512</v>
      </c>
      <c r="B2931" s="2" t="str">
        <f t="shared" si="2169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2170"/>
        <v>2648.2649999999999</v>
      </c>
      <c r="AB2931" s="3">
        <f t="shared" si="2171"/>
        <v>37749.33</v>
      </c>
      <c r="AC2931" s="3" cm="1">
        <f t="array" ref="AC2931">100000000/LvacE(AA2931)</f>
        <v>37749.330715748089</v>
      </c>
      <c r="AD2931" s="10">
        <f t="shared" si="2172"/>
        <v>1.2127181516152668E-2</v>
      </c>
      <c r="AE2931" s="10" t="b">
        <f t="shared" si="2173"/>
        <v>1</v>
      </c>
      <c r="AP2931"/>
      <c r="AQ2931"/>
      <c r="AU2931" s="13" cm="1">
        <f t="array" ref="AU2931">$C2931*EXP(poly_from_str(100000000/$E2931,AU$4343))</f>
        <v>4.0957618070540391</v>
      </c>
    </row>
    <row r="2932" spans="1:51" x14ac:dyDescent="0.25">
      <c r="A2932" t="s">
        <v>3513</v>
      </c>
      <c r="B2932" s="2" t="str">
        <f t="shared" si="2169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2170"/>
        <v>2648.0639999999999</v>
      </c>
      <c r="AB2932" s="3">
        <f t="shared" si="2171"/>
        <v>37752.199999999997</v>
      </c>
      <c r="AC2932" s="3" cm="1">
        <f t="array" ref="AC2932">100000000/LvacE(AA2932)</f>
        <v>37752.195892078926</v>
      </c>
      <c r="AD2932" s="10">
        <f t="shared" si="2172"/>
        <v>1.2128263495912284E-2</v>
      </c>
      <c r="AE2932" s="10" t="b">
        <f t="shared" si="2173"/>
        <v>1</v>
      </c>
      <c r="AP2932"/>
      <c r="AQ2932"/>
      <c r="AU2932" s="13" cm="1">
        <f t="array" ref="AU2932">$C2932*EXP(poly_from_str(100000000/$E2932,AU$4343))</f>
        <v>2.0506908329909015</v>
      </c>
    </row>
    <row r="2933" spans="1:51" x14ac:dyDescent="0.25">
      <c r="A2933" t="s">
        <v>3514</v>
      </c>
      <c r="B2933" s="2" t="str">
        <f t="shared" si="2169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2234">$G2933&amp;""</f>
        <v>o</v>
      </c>
      <c r="N2933" t="str">
        <f t="shared" ref="N2933:N2935" si="2235">$H2933&amp;""</f>
        <v>11/2</v>
      </c>
      <c r="O2933">
        <v>100321.12</v>
      </c>
      <c r="P2933" t="str">
        <f t="shared" ref="P2933:P2935" si="2236">$J2933&amp;""</f>
        <v>e</v>
      </c>
      <c r="Q2933" t="str">
        <f t="shared" ref="Q2933:Q2935" si="2237">$K2933&amp;""</f>
        <v>9/2</v>
      </c>
      <c r="R2933">
        <v>28</v>
      </c>
      <c r="AA2933" s="10">
        <f t="shared" si="2170"/>
        <v>2647.3429999999998</v>
      </c>
      <c r="AB2933" s="3">
        <f t="shared" si="2171"/>
        <v>37762.480000000003</v>
      </c>
      <c r="AC2933" s="3" cm="1">
        <f t="array" ref="AC2933">100000000/LvacE(AA2933)</f>
        <v>37762.477043904706</v>
      </c>
      <c r="AD2933" s="10">
        <f t="shared" si="2172"/>
        <v>1.2132146654948887E-2</v>
      </c>
      <c r="AE2933" s="10" t="b">
        <f t="shared" si="2173"/>
        <v>1</v>
      </c>
      <c r="AJ2933" t="s">
        <v>4821</v>
      </c>
      <c r="AK2933" t="s">
        <v>4841</v>
      </c>
      <c r="AL2933">
        <v>62558.67</v>
      </c>
      <c r="AM2933">
        <v>100321.12</v>
      </c>
      <c r="AN2933" s="10" cm="1">
        <f t="array" ref="AN2933">Lair(100000000/($AM2933-$AL2933))</f>
        <v>2647.3448946005828</v>
      </c>
      <c r="AO2933" s="10">
        <f t="shared" ref="AO2933:AO2935" si="2238">100000000/($AM2933-$AL2933)</f>
        <v>2648.133264658411</v>
      </c>
      <c r="AP2933" s="12">
        <v>796000000</v>
      </c>
      <c r="AQ2933" s="3">
        <v>0.51700000000000002</v>
      </c>
      <c r="AR2933" s="3">
        <f t="shared" ref="AR2933:AR2935" si="2239">LN(AU2933*100000000/($AM2933-$AL2933)/AP2933)</f>
        <v>-10.098673316153436</v>
      </c>
      <c r="AS2933" s="13">
        <f t="shared" ref="AS2933:AS2935" si="2240">EXP(AR$4341*$AM2933+AR$4342)*$AP2933/(100000000/($AM2933-$AL2933))</f>
        <v>14.281142629346057</v>
      </c>
      <c r="AT2933" s="3">
        <f t="shared" ref="AT2933:AT2935" si="2241">LN(AS2933/$C2933)</f>
        <v>0.8671805005429174</v>
      </c>
      <c r="AU2933" s="13" cm="1">
        <f t="array" ref="AU2933">$C2933*EXP(poly_from_str(100000000/$E2933,AU$4343))</f>
        <v>12.364459467909615</v>
      </c>
      <c r="AV2933" s="13">
        <f t="shared" ref="AV2933:AV2935" si="2242">LN(AS2933/AU2933)</f>
        <v>0.14411378443894546</v>
      </c>
      <c r="AW2933" s="13"/>
      <c r="AX2933" s="13"/>
      <c r="AY2933" s="13"/>
    </row>
    <row r="2934" spans="1:51" x14ac:dyDescent="0.25">
      <c r="A2934" t="s">
        <v>3515</v>
      </c>
      <c r="B2934" s="2" t="str">
        <f t="shared" si="2169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2234"/>
        <v>o</v>
      </c>
      <c r="N2934" t="str">
        <f t="shared" si="2235"/>
        <v>5/2</v>
      </c>
      <c r="O2934">
        <v>106745.65</v>
      </c>
      <c r="P2934" t="str">
        <f t="shared" si="2236"/>
        <v>e</v>
      </c>
      <c r="Q2934" t="str">
        <f t="shared" si="2237"/>
        <v>5/2</v>
      </c>
      <c r="R2934">
        <v>28</v>
      </c>
      <c r="AA2934" s="10">
        <f t="shared" si="2170"/>
        <v>2647.0189999999998</v>
      </c>
      <c r="AB2934" s="3">
        <f t="shared" si="2171"/>
        <v>37767.1</v>
      </c>
      <c r="AC2934" s="3" cm="1">
        <f t="array" ref="AC2934">100000000/LvacE(AA2934)</f>
        <v>37767.098969159983</v>
      </c>
      <c r="AD2934" s="10">
        <f t="shared" si="2172"/>
        <v>1.2133892686293522E-2</v>
      </c>
      <c r="AE2934" s="10" t="b">
        <f t="shared" si="2173"/>
        <v>1</v>
      </c>
      <c r="AJ2934" t="s">
        <v>4918</v>
      </c>
      <c r="AK2934" t="s">
        <v>4957</v>
      </c>
      <c r="AL2934">
        <v>68978.55</v>
      </c>
      <c r="AM2934">
        <v>106745.65</v>
      </c>
      <c r="AN2934" s="10" cm="1">
        <f t="array" ref="AN2934">Lair(100000000/($AM2934-$AL2934))</f>
        <v>2647.0189263225393</v>
      </c>
      <c r="AO2934" s="10">
        <f t="shared" si="2238"/>
        <v>2647.8072184520397</v>
      </c>
      <c r="AP2934" s="12">
        <v>406000000</v>
      </c>
      <c r="AQ2934" s="3">
        <v>0.45500000000000002</v>
      </c>
      <c r="AR2934" s="3">
        <f t="shared" si="2239"/>
        <v>-11.215123113546117</v>
      </c>
      <c r="AS2934" s="13">
        <f t="shared" si="2240"/>
        <v>4.4981981877345962</v>
      </c>
      <c r="AT2934" s="3">
        <f t="shared" si="2241"/>
        <v>1.5036769138680532</v>
      </c>
      <c r="AU2934" s="13" cm="1">
        <f t="array" ref="AU2934">$C2934*EXP(poly_from_str(100000000/$E2934,AU$4343))</f>
        <v>2.0652545597716658</v>
      </c>
      <c r="AV2934" s="13">
        <f t="shared" si="2242"/>
        <v>0.77842342155543554</v>
      </c>
      <c r="AW2934" s="13"/>
      <c r="AX2934" s="13"/>
      <c r="AY2934" s="13"/>
    </row>
    <row r="2935" spans="1:51" x14ac:dyDescent="0.25">
      <c r="A2935" t="s">
        <v>3516</v>
      </c>
      <c r="B2935" s="2" t="str">
        <f t="shared" si="2169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2234"/>
        <v>e</v>
      </c>
      <c r="N2935" t="str">
        <f t="shared" si="2235"/>
        <v>9/2</v>
      </c>
      <c r="O2935">
        <v>62558.67</v>
      </c>
      <c r="P2935" t="str">
        <f t="shared" si="2236"/>
        <v>o</v>
      </c>
      <c r="Q2935" t="str">
        <f t="shared" si="2237"/>
        <v>11/2</v>
      </c>
      <c r="R2935">
        <v>28</v>
      </c>
      <c r="AA2935" s="10">
        <f t="shared" si="2170"/>
        <v>2646.7669999999998</v>
      </c>
      <c r="AB2935" s="3">
        <f t="shared" si="2171"/>
        <v>37770.69</v>
      </c>
      <c r="AC2935" s="3" cm="1">
        <f t="array" ref="AC2935">100000000/LvacE(AA2935)</f>
        <v>37770.694582149896</v>
      </c>
      <c r="AD2935" s="10">
        <f t="shared" si="2172"/>
        <v>1.2135251153983312E-2</v>
      </c>
      <c r="AE2935" s="10" t="b">
        <f t="shared" si="2173"/>
        <v>1</v>
      </c>
      <c r="AJ2935" t="s">
        <v>4705</v>
      </c>
      <c r="AK2935" t="s">
        <v>4821</v>
      </c>
      <c r="AL2935">
        <v>24788.02</v>
      </c>
      <c r="AM2935">
        <v>62558.67</v>
      </c>
      <c r="AN2935" s="10" cm="1">
        <f t="array" ref="AN2935">Lair(100000000/($AM2935-$AL2935))</f>
        <v>2646.7701228441197</v>
      </c>
      <c r="AO2935" s="10">
        <f t="shared" si="2238"/>
        <v>2647.5583554956033</v>
      </c>
      <c r="AP2935" s="12">
        <v>124000000</v>
      </c>
      <c r="AQ2935" s="3">
        <v>0.41399999999999998</v>
      </c>
      <c r="AR2935" s="3">
        <f t="shared" si="2239"/>
        <v>-7.8302263239807015</v>
      </c>
      <c r="AS2935" s="13">
        <f t="shared" si="2240"/>
        <v>37.855981180420237</v>
      </c>
      <c r="AT2935" s="3">
        <f t="shared" si="2241"/>
        <v>1.4365644133236506</v>
      </c>
      <c r="AU2935" s="13" cm="1">
        <f t="array" ref="AU2935">$C2935*EXP(poly_from_str(100000000/$E2935,AU$4343))</f>
        <v>18.618815968967418</v>
      </c>
      <c r="AV2935" s="13">
        <f t="shared" si="2242"/>
        <v>0.7096163100397338</v>
      </c>
      <c r="AW2935" s="13"/>
      <c r="AX2935" s="13"/>
      <c r="AY2935" s="13"/>
    </row>
    <row r="2936" spans="1:51" x14ac:dyDescent="0.25">
      <c r="A2936" t="s">
        <v>3517</v>
      </c>
      <c r="B2936" s="2" t="str">
        <f t="shared" si="2169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2170"/>
        <v>2645.1619999999998</v>
      </c>
      <c r="AB2936" s="3">
        <f t="shared" si="2171"/>
        <v>37793.61</v>
      </c>
      <c r="AC2936" s="3" cm="1">
        <f t="array" ref="AC2936">100000000/LvacE(AA2936)</f>
        <v>37793.611287816675</v>
      </c>
      <c r="AD2936" s="10">
        <f t="shared" si="2172"/>
        <v>1.2143912412135189E-2</v>
      </c>
      <c r="AE2936" s="10" t="b">
        <f t="shared" si="2173"/>
        <v>1</v>
      </c>
      <c r="AP2936"/>
      <c r="AQ2936"/>
      <c r="AU2936" s="13" cm="1">
        <f t="array" ref="AU2936">$C2936*EXP(poly_from_str(100000000/$E2936,AU$4343))</f>
        <v>6.2731860841252232</v>
      </c>
    </row>
    <row r="2937" spans="1:51" x14ac:dyDescent="0.25">
      <c r="A2937" t="s">
        <v>3518</v>
      </c>
      <c r="B2937" s="2" t="str">
        <f t="shared" si="2169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2170"/>
        <v>2645.0149999999999</v>
      </c>
      <c r="AB2937" s="3">
        <f t="shared" si="2171"/>
        <v>37795.71</v>
      </c>
      <c r="AC2937" s="3" cm="1">
        <f t="array" ref="AC2937">100000000/LvacE(AA2937)</f>
        <v>37795.711591167681</v>
      </c>
      <c r="AD2937" s="10">
        <f t="shared" si="2172"/>
        <v>1.2144706474475133E-2</v>
      </c>
      <c r="AE2937" s="10" t="b">
        <f t="shared" si="2173"/>
        <v>1</v>
      </c>
      <c r="AP2937"/>
      <c r="AQ2937"/>
      <c r="AU2937" s="13" cm="1">
        <f t="array" ref="AU2937">$C2937*EXP(poly_from_str(100000000/$E2937,AU$4343))</f>
        <v>2.0931005106329899</v>
      </c>
    </row>
    <row r="2938" spans="1:51" x14ac:dyDescent="0.25">
      <c r="A2938" t="s">
        <v>3519</v>
      </c>
      <c r="B2938" s="2" t="str">
        <f t="shared" si="2169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2243">$G2938&amp;""</f>
        <v>e</v>
      </c>
      <c r="N2938" t="str">
        <f t="shared" ref="N2938:N2939" si="2244">$H2938&amp;""</f>
        <v>9/2</v>
      </c>
      <c r="O2938">
        <v>83607.320000000007</v>
      </c>
      <c r="P2938" t="str">
        <f t="shared" ref="P2938:P2939" si="2245">$J2938&amp;""</f>
        <v>o</v>
      </c>
      <c r="Q2938" t="str">
        <f t="shared" ref="Q2938:Q2939" si="2246">$K2938&amp;""</f>
        <v>11/2</v>
      </c>
      <c r="R2938">
        <v>28</v>
      </c>
      <c r="AA2938" s="10">
        <f t="shared" si="2170"/>
        <v>2644.6149999999998</v>
      </c>
      <c r="AB2938" s="3">
        <f t="shared" si="2171"/>
        <v>37801.43</v>
      </c>
      <c r="AC2938" s="3" cm="1">
        <f t="array" ref="AC2938">100000000/LvacE(AA2938)</f>
        <v>37801.427884284465</v>
      </c>
      <c r="AD2938" s="10">
        <f t="shared" si="2172"/>
        <v>1.2146867858702396E-2</v>
      </c>
      <c r="AE2938" s="10" t="b">
        <f t="shared" si="2173"/>
        <v>1</v>
      </c>
      <c r="AJ2938" t="s">
        <v>4802</v>
      </c>
      <c r="AK2938" t="s">
        <v>4924</v>
      </c>
      <c r="AL2938">
        <v>45805.95</v>
      </c>
      <c r="AM2938">
        <v>83607.320000000007</v>
      </c>
      <c r="AN2938" s="10" cm="1">
        <f t="array" ref="AN2938">Lair(100000000/($AM2938-$AL2938))</f>
        <v>2644.6190484806452</v>
      </c>
      <c r="AO2938" s="10">
        <f t="shared" ref="AO2938:AO2939" si="2247">100000000/($AM2938-$AL2938)</f>
        <v>2645.4067670034174</v>
      </c>
      <c r="AP2938" s="12">
        <v>1130000000</v>
      </c>
      <c r="AQ2938" s="3">
        <v>0.82099999999999995</v>
      </c>
      <c r="AR2938" s="3">
        <f t="shared" ref="AR2938:AR2939" si="2248">LN(AU2938*100000000/($AM2938-$AL2938)/AP2938)</f>
        <v>-9.2278775160564503</v>
      </c>
      <c r="AS2938" s="13">
        <f t="shared" ref="AS2938:AS2939" si="2249">EXP(AR$4341*$AM2938+AR$4342)*$AP2938/(100000000/($AM2938-$AL2938))</f>
        <v>71.140753174996476</v>
      </c>
      <c r="AT2938" s="3">
        <f t="shared" ref="AT2938:AT2939" si="2250">LN(AS2938/$C2938)</f>
        <v>1.2689280801326028</v>
      </c>
      <c r="AU2938" s="13" cm="1">
        <f t="array" ref="AU2938">$C2938*EXP(poly_from_str(100000000/$E2938,AU$4343))</f>
        <v>41.972969761811058</v>
      </c>
      <c r="AV2938" s="13">
        <f t="shared" ref="AV2938:AV2939" si="2251">LN(AS2938/AU2938)</f>
        <v>0.52763451968760156</v>
      </c>
      <c r="AW2938" s="13"/>
      <c r="AX2938" s="13"/>
      <c r="AY2938" s="13"/>
    </row>
    <row r="2939" spans="1:51" x14ac:dyDescent="0.25">
      <c r="A2939" t="s">
        <v>3520</v>
      </c>
      <c r="B2939" s="2" t="str">
        <f t="shared" si="2169"/>
        <v/>
      </c>
      <c r="C2939">
        <v>2</v>
      </c>
      <c r="D2939" t="s">
        <v>1156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2243"/>
        <v>e</v>
      </c>
      <c r="N2939" t="str">
        <f t="shared" si="2244"/>
        <v>7/2</v>
      </c>
      <c r="O2939">
        <v>73606.17</v>
      </c>
      <c r="P2939" t="str">
        <f t="shared" si="2245"/>
        <v>o</v>
      </c>
      <c r="Q2939" t="str">
        <f t="shared" si="2246"/>
        <v>9/2</v>
      </c>
      <c r="R2939">
        <v>28</v>
      </c>
      <c r="AA2939" s="10">
        <f t="shared" si="2170"/>
        <v>2644.393</v>
      </c>
      <c r="AB2939" s="3">
        <f t="shared" si="2171"/>
        <v>37804.6</v>
      </c>
      <c r="AC2939" s="3" cm="1">
        <f t="array" ref="AC2939">100000000/LvacE(AA2939)</f>
        <v>37804.601173110917</v>
      </c>
      <c r="AD2939" s="10">
        <f t="shared" si="2172"/>
        <v>1.2148067850185452E-2</v>
      </c>
      <c r="AE2939" s="10" t="b">
        <f t="shared" si="2173"/>
        <v>1</v>
      </c>
      <c r="AJ2939" t="s">
        <v>4810</v>
      </c>
      <c r="AK2939" t="s">
        <v>4936</v>
      </c>
      <c r="AL2939">
        <v>35801.120000000003</v>
      </c>
      <c r="AM2939">
        <v>73606.17</v>
      </c>
      <c r="AN2939" s="10" cm="1">
        <f t="array" ref="AN2939">Lair(100000000/($AM2939-$AL2939))</f>
        <v>2644.3616021574376</v>
      </c>
      <c r="AO2939" s="10">
        <f t="shared" si="2247"/>
        <v>2645.1492591598217</v>
      </c>
      <c r="AP2939" s="12">
        <v>18000000</v>
      </c>
      <c r="AQ2939" s="3">
        <v>0.121</v>
      </c>
      <c r="AR2939" s="3">
        <f t="shared" si="2248"/>
        <v>-7.3894961502628433</v>
      </c>
      <c r="AS2939" s="13">
        <f t="shared" si="2249"/>
        <v>2.4005801773907645</v>
      </c>
      <c r="AT2939" s="3">
        <f t="shared" si="2250"/>
        <v>0.18256326815889407</v>
      </c>
      <c r="AU2939" s="13" cm="1">
        <f t="array" ref="AU2939">$C2939*EXP(poly_from_str(100000000/$E2939,AU$4343))</f>
        <v>4.203440649604703</v>
      </c>
      <c r="AV2939" s="13">
        <f t="shared" si="2251"/>
        <v>-0.56019294349426474</v>
      </c>
      <c r="AW2939" s="13"/>
      <c r="AX2939" s="13"/>
      <c r="AY2939" s="13"/>
    </row>
    <row r="2940" spans="1:51" x14ac:dyDescent="0.25">
      <c r="A2940" t="s">
        <v>3521</v>
      </c>
      <c r="B2940" s="2" t="str">
        <f t="shared" si="2169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2170"/>
        <v>2642.7869999999998</v>
      </c>
      <c r="AB2940" s="3">
        <f t="shared" si="2171"/>
        <v>37827.57</v>
      </c>
      <c r="AC2940" s="3" cm="1">
        <f t="array" ref="AC2940">100000000/LvacE(AA2940)</f>
        <v>37827.573364775082</v>
      </c>
      <c r="AD2940" s="10">
        <f t="shared" si="2172"/>
        <v>1.2156757878098969E-2</v>
      </c>
      <c r="AE2940" s="10" t="b">
        <f t="shared" si="2173"/>
        <v>1</v>
      </c>
      <c r="AP2940"/>
      <c r="AQ2940"/>
      <c r="AU2940" s="13" cm="1">
        <f t="array" ref="AU2940">$C2940*EXP(poly_from_str(100000000/$E2940,AU$4343))</f>
        <v>12.743505644038978</v>
      </c>
    </row>
    <row r="2941" spans="1:51" x14ac:dyDescent="0.25">
      <c r="A2941" t="s">
        <v>3522</v>
      </c>
      <c r="B2941" s="2" t="str">
        <f t="shared" si="2169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2252">$G2941&amp;""</f>
        <v>e</v>
      </c>
      <c r="N2941" t="str">
        <f t="shared" ref="N2941:N2946" si="2253">$H2941&amp;""</f>
        <v>5/2</v>
      </c>
      <c r="O2941">
        <v>63768.66</v>
      </c>
      <c r="P2941" t="str">
        <f t="shared" ref="P2941:P2946" si="2254">$J2941&amp;""</f>
        <v>o</v>
      </c>
      <c r="Q2941" t="str">
        <f t="shared" ref="Q2941:Q2946" si="2255">$K2941&amp;""</f>
        <v>7/2</v>
      </c>
      <c r="R2941">
        <v>28</v>
      </c>
      <c r="AA2941" s="10">
        <f t="shared" si="2170"/>
        <v>2642.36</v>
      </c>
      <c r="AB2941" s="3">
        <f t="shared" si="2171"/>
        <v>37833.69</v>
      </c>
      <c r="AC2941" s="3" cm="1">
        <f t="array" ref="AC2941">100000000/LvacE(AA2941)</f>
        <v>37833.685862928192</v>
      </c>
      <c r="AD2941" s="10">
        <f t="shared" si="2172"/>
        <v>1.2159071031753468E-2</v>
      </c>
      <c r="AE2941" s="10" t="b">
        <f t="shared" si="2173"/>
        <v>1</v>
      </c>
      <c r="AJ2941" t="s">
        <v>4713</v>
      </c>
      <c r="AK2941" t="s">
        <v>4850</v>
      </c>
      <c r="AL2941">
        <v>25934.98</v>
      </c>
      <c r="AM2941">
        <v>63768.66</v>
      </c>
      <c r="AN2941" s="10" cm="1">
        <f t="array" ref="AN2941">Lair(100000000/($AM2941-$AL2941))</f>
        <v>2642.3604081414801</v>
      </c>
      <c r="AO2941" s="10">
        <f t="shared" ref="AO2941:AO2946" si="2256">100000000/($AM2941-$AL2941)</f>
        <v>2643.1475870177042</v>
      </c>
      <c r="AP2941" s="12">
        <v>39900000</v>
      </c>
      <c r="AQ2941" s="3">
        <v>0.115</v>
      </c>
      <c r="AR2941" s="3">
        <f>LN(AU2941*100000000/($AM2941-$AL2941)/AP2941)</f>
        <v>-7.7675145735159994</v>
      </c>
      <c r="AS2941" s="13">
        <f t="shared" ref="AS2941:AS2946" si="2257">EXP(AR$4341*$AM2941+AR$4342)*$AP2941/(100000000/($AM2941-$AL2941))</f>
        <v>11.142262214071655</v>
      </c>
      <c r="AT2941" s="3">
        <f t="shared" ref="AT2941:AT2946" si="2258">LN(AS2941/$C2941)</f>
        <v>1.3121329964959647</v>
      </c>
      <c r="AU2941" s="13" cm="1">
        <f t="array" ref="AU2941">$C2941*EXP(poly_from_str(100000000/$E2941,AU$4343))</f>
        <v>6.3894395333436336</v>
      </c>
      <c r="AV2941" s="13">
        <f>LN(AS2941/AU2941)</f>
        <v>0.55609873058324732</v>
      </c>
      <c r="AW2941" s="13"/>
      <c r="AX2941" s="13"/>
      <c r="AY2941" s="13"/>
    </row>
    <row r="2942" spans="1:51" x14ac:dyDescent="0.25">
      <c r="A2942" t="s">
        <v>3523</v>
      </c>
      <c r="B2942" s="2">
        <f t="shared" si="2169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2252"/>
        <v>e</v>
      </c>
      <c r="N2942" t="str">
        <f t="shared" si="2253"/>
        <v>5/2</v>
      </c>
      <c r="O2942">
        <v>71501</v>
      </c>
      <c r="P2942" t="str">
        <f t="shared" si="2254"/>
        <v>o</v>
      </c>
      <c r="Q2942" t="str">
        <f t="shared" si="2255"/>
        <v>3/2</v>
      </c>
      <c r="R2942">
        <v>28</v>
      </c>
      <c r="AA2942" s="10">
        <f t="shared" si="2170"/>
        <v>2641.846</v>
      </c>
      <c r="AB2942" s="3">
        <f t="shared" si="2171"/>
        <v>37841.050000000003</v>
      </c>
      <c r="AC2942" s="3" cm="1">
        <f t="array" ref="AC2942">100000000/LvacE(AA2942)</f>
        <v>37841.046385211172</v>
      </c>
      <c r="AD2942" s="10">
        <f t="shared" si="2172"/>
        <v>1.2161856971453139E-2</v>
      </c>
      <c r="AE2942" s="10" t="b">
        <f t="shared" si="2173"/>
        <v>1</v>
      </c>
      <c r="AJ2942" t="s">
        <v>4895</v>
      </c>
      <c r="AK2942" t="s">
        <v>4959</v>
      </c>
      <c r="AL2942">
        <v>33659.99</v>
      </c>
      <c r="AM2942">
        <v>71501</v>
      </c>
      <c r="AN2942" s="10" cm="1">
        <f t="array" ref="AN2942">Lair(100000000/($AM2942-$AL2942))</f>
        <v>2641.8485390093451</v>
      </c>
      <c r="AO2942" s="10">
        <f t="shared" si="2256"/>
        <v>2642.6355956143875</v>
      </c>
      <c r="AP2942" s="12">
        <v>356000</v>
      </c>
      <c r="AQ2942" s="3">
        <v>2.7E-2</v>
      </c>
      <c r="AR2942" s="3"/>
      <c r="AS2942" s="13">
        <f t="shared" si="2257"/>
        <v>5.5656916335250224E-2</v>
      </c>
      <c r="AT2942" s="3"/>
      <c r="AU2942" s="13" cm="1">
        <f t="array" ref="AU2942">$C2942*EXP(poly_from_str(100000000/$E2942,AU$4343))</f>
        <v>6.4106781781041837</v>
      </c>
      <c r="AV2942" s="13"/>
      <c r="AW2942" s="13"/>
      <c r="AX2942" s="13"/>
      <c r="AY2942" s="13"/>
    </row>
    <row r="2943" spans="1:51" x14ac:dyDescent="0.25">
      <c r="A2943" t="s">
        <v>3523</v>
      </c>
      <c r="B2943" s="2">
        <f t="shared" si="2169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2252"/>
        <v>e</v>
      </c>
      <c r="N2943" t="str">
        <f t="shared" si="2253"/>
        <v>7/2</v>
      </c>
      <c r="O2943">
        <v>64979.55</v>
      </c>
      <c r="P2943" t="str">
        <f t="shared" si="2254"/>
        <v>o</v>
      </c>
      <c r="Q2943" t="str">
        <f t="shared" si="2255"/>
        <v>7/2</v>
      </c>
      <c r="R2943">
        <v>28</v>
      </c>
      <c r="AA2943" s="10">
        <f t="shared" si="2170"/>
        <v>2641.846</v>
      </c>
      <c r="AB2943" s="3">
        <f t="shared" si="2171"/>
        <v>37841.050000000003</v>
      </c>
      <c r="AC2943" s="3" cm="1">
        <f t="array" ref="AC2943">100000000/LvacE(AA2943)</f>
        <v>37841.046385211172</v>
      </c>
      <c r="AD2943" s="10">
        <f t="shared" si="2172"/>
        <v>1.2161856971453139E-2</v>
      </c>
      <c r="AE2943" s="10" t="b">
        <f t="shared" si="2173"/>
        <v>1</v>
      </c>
      <c r="AJ2943" t="s">
        <v>4723</v>
      </c>
      <c r="AK2943" t="s">
        <v>4912</v>
      </c>
      <c r="AL2943">
        <v>27138.55</v>
      </c>
      <c r="AM2943">
        <v>64979.55</v>
      </c>
      <c r="AN2943" s="10" cm="1">
        <f t="array" ref="AN2943">Lair(100000000/($AM2943-$AL2943))</f>
        <v>2641.8492371950492</v>
      </c>
      <c r="AO2943" s="10">
        <f t="shared" si="2256"/>
        <v>2642.6362939668616</v>
      </c>
      <c r="AP2943" s="12">
        <v>17500000</v>
      </c>
      <c r="AQ2943" s="3">
        <v>3.3000000000000002E-2</v>
      </c>
      <c r="AR2943" s="3"/>
      <c r="AS2943" s="13">
        <f t="shared" si="2257"/>
        <v>4.4633068202118995</v>
      </c>
      <c r="AT2943" s="3"/>
      <c r="AU2943" s="13" cm="1">
        <f t="array" ref="AU2943">$C2943*EXP(poly_from_str(100000000/$E2943,AU$4343))</f>
        <v>6.4106781781041837</v>
      </c>
      <c r="AV2943" s="13"/>
      <c r="AW2943" s="13"/>
      <c r="AX2943" s="13"/>
      <c r="AY2943" s="13"/>
    </row>
    <row r="2944" spans="1:51" x14ac:dyDescent="0.25">
      <c r="A2944" t="s">
        <v>3524</v>
      </c>
      <c r="B2944" s="2" t="str">
        <f t="shared" si="2169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2252"/>
        <v>e</v>
      </c>
      <c r="N2944" t="str">
        <f t="shared" si="2253"/>
        <v>9/2</v>
      </c>
      <c r="O2944">
        <v>58158.080000000002</v>
      </c>
      <c r="P2944" t="str">
        <f t="shared" si="2254"/>
        <v>o</v>
      </c>
      <c r="Q2944" t="str">
        <f t="shared" si="2255"/>
        <v>7/2</v>
      </c>
      <c r="R2944">
        <v>28</v>
      </c>
      <c r="AA2944" s="10">
        <f t="shared" si="2170"/>
        <v>2641.7449999999999</v>
      </c>
      <c r="AB2944" s="3">
        <f t="shared" si="2171"/>
        <v>37842.49</v>
      </c>
      <c r="AC2944" s="3" cm="1">
        <f t="array" ref="AC2944">100000000/LvacE(AA2944)</f>
        <v>37842.493050188808</v>
      </c>
      <c r="AD2944" s="10">
        <f t="shared" si="2172"/>
        <v>1.2162404594347451E-2</v>
      </c>
      <c r="AE2944" s="10" t="b">
        <f t="shared" si="2173"/>
        <v>1</v>
      </c>
      <c r="AJ2944" t="s">
        <v>4964</v>
      </c>
      <c r="AK2944" t="s">
        <v>4902</v>
      </c>
      <c r="AL2944">
        <v>20315.650000000001</v>
      </c>
      <c r="AM2944">
        <v>58158.080000000002</v>
      </c>
      <c r="AN2944" s="10" cm="1">
        <f t="array" ref="AN2944">Lair(100000000/($AM2944-$AL2944))</f>
        <v>2641.7494003856646</v>
      </c>
      <c r="AO2944" s="10">
        <f t="shared" si="2256"/>
        <v>2642.5364333104403</v>
      </c>
      <c r="AP2944" s="12">
        <v>3110000</v>
      </c>
      <c r="AQ2944" s="3">
        <v>3.5999999999999997E-2</v>
      </c>
      <c r="AR2944" s="3"/>
      <c r="AS2944" s="13">
        <f t="shared" si="2257"/>
        <v>1.3234987340953395</v>
      </c>
      <c r="AT2944" s="3"/>
      <c r="AU2944" s="13" cm="1">
        <f t="array" ref="AU2944">$C2944*EXP(poly_from_str(100000000/$E2944,AU$4343))</f>
        <v>2.1382764966614105</v>
      </c>
      <c r="AV2944" s="13"/>
      <c r="AW2944" s="13"/>
      <c r="AX2944" s="13"/>
      <c r="AY2944" s="13"/>
    </row>
    <row r="2945" spans="1:51" x14ac:dyDescent="0.25">
      <c r="A2945" t="s">
        <v>3525</v>
      </c>
      <c r="B2945" s="2" t="str">
        <f t="shared" si="2169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2252"/>
        <v>o</v>
      </c>
      <c r="N2945" t="str">
        <f t="shared" si="2253"/>
        <v>7/2</v>
      </c>
      <c r="O2945">
        <v>106665.07</v>
      </c>
      <c r="P2945" t="str">
        <f t="shared" si="2254"/>
        <v>e</v>
      </c>
      <c r="Q2945" t="str">
        <f t="shared" si="2255"/>
        <v>7/2</v>
      </c>
      <c r="R2945">
        <v>28</v>
      </c>
      <c r="AA2945" s="10">
        <f t="shared" si="2170"/>
        <v>2640.29</v>
      </c>
      <c r="AB2945" s="3">
        <f t="shared" si="2171"/>
        <v>37863.35</v>
      </c>
      <c r="AC2945" s="3" cm="1">
        <f t="array" ref="AC2945">100000000/LvacE(AA2945)</f>
        <v>37863.345900518172</v>
      </c>
      <c r="AD2945" s="10">
        <f t="shared" si="2172"/>
        <v>1.2170300592078555E-2</v>
      </c>
      <c r="AE2945" s="10" t="b">
        <f t="shared" si="2173"/>
        <v>1</v>
      </c>
      <c r="AJ2945" t="s">
        <v>4857</v>
      </c>
      <c r="AK2945" t="s">
        <v>4958</v>
      </c>
      <c r="AL2945">
        <v>68801.67</v>
      </c>
      <c r="AM2945">
        <v>106665.07</v>
      </c>
      <c r="AN2945" s="10" cm="1">
        <f t="array" ref="AN2945">Lair(100000000/($AM2945-$AL2945))</f>
        <v>2640.2862259837825</v>
      </c>
      <c r="AO2945" s="10">
        <f t="shared" si="2256"/>
        <v>2641.0729094587377</v>
      </c>
      <c r="AP2945" s="15">
        <v>60400000</v>
      </c>
      <c r="AQ2945" s="3">
        <v>0.1</v>
      </c>
      <c r="AR2945" s="14"/>
      <c r="AS2945" s="13">
        <f t="shared" si="2257"/>
        <v>0.67496578394086748</v>
      </c>
      <c r="AT2945" s="14"/>
      <c r="AU2945" s="13" cm="1">
        <f t="array" ref="AU2945">$C2945*EXP(poly_from_str(100000000/$E2945,AU$4343))</f>
        <v>8.6330851874835801</v>
      </c>
      <c r="AV2945" s="13"/>
      <c r="AW2945" s="13"/>
      <c r="AX2945" s="13"/>
      <c r="AY2945" s="13"/>
    </row>
    <row r="2946" spans="1:51" x14ac:dyDescent="0.25">
      <c r="A2946" t="s">
        <v>3526</v>
      </c>
      <c r="B2946" s="2" t="str">
        <f t="shared" ref="B2946:B3009" si="2259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2252"/>
        <v>e</v>
      </c>
      <c r="N2946" t="str">
        <f t="shared" si="2253"/>
        <v>11/2</v>
      </c>
      <c r="O2946">
        <v>68374.539999999994</v>
      </c>
      <c r="P2946" t="str">
        <f t="shared" si="2254"/>
        <v>o</v>
      </c>
      <c r="Q2946" t="str">
        <f t="shared" si="2255"/>
        <v>9/2</v>
      </c>
      <c r="R2946">
        <v>28</v>
      </c>
      <c r="AA2946" s="10">
        <f t="shared" si="2170"/>
        <v>2639.904</v>
      </c>
      <c r="AB2946" s="3">
        <f t="shared" si="2171"/>
        <v>37868.879999999997</v>
      </c>
      <c r="AC2946" s="3" cm="1">
        <f t="array" ref="AC2946">100000000/LvacE(AA2946)</f>
        <v>37868.881854407817</v>
      </c>
      <c r="AD2946" s="10">
        <f t="shared" si="2172"/>
        <v>1.2172397529305577E-2</v>
      </c>
      <c r="AE2946" s="10" t="b">
        <f t="shared" si="2173"/>
        <v>1</v>
      </c>
      <c r="AJ2946" t="s">
        <v>4706</v>
      </c>
      <c r="AK2946" t="s">
        <v>4739</v>
      </c>
      <c r="AL2946">
        <v>30505.72</v>
      </c>
      <c r="AM2946">
        <v>68374.539999999994</v>
      </c>
      <c r="AN2946" s="10" cm="1">
        <f t="array" ref="AN2946">Lair(100000000/($AM2946-$AL2946))</f>
        <v>2639.9083109144053</v>
      </c>
      <c r="AO2946" s="10">
        <f t="shared" si="2256"/>
        <v>2640.6949041454163</v>
      </c>
      <c r="AP2946" s="12">
        <v>117000000</v>
      </c>
      <c r="AQ2946" s="3">
        <v>0.28000000000000003</v>
      </c>
      <c r="AR2946" s="3">
        <f>LN(AU2946*100000000/($AM2946-$AL2946)/AP2946)</f>
        <v>-7.8476924917204567</v>
      </c>
      <c r="AS2946" s="13">
        <f t="shared" si="2257"/>
        <v>23.145836062529927</v>
      </c>
      <c r="AT2946" s="3">
        <f t="shared" si="2258"/>
        <v>1.0623733549649803</v>
      </c>
      <c r="AU2946" s="13" cm="1">
        <f t="array" ref="AU2946">$C2946*EXP(poly_from_str(100000000/$E2946,AU$4343))</f>
        <v>17.308446481334506</v>
      </c>
      <c r="AV2946" s="13">
        <f>LN(AS2946/AU2946)</f>
        <v>0.29062027837416793</v>
      </c>
      <c r="AW2946" s="13"/>
      <c r="AX2946" s="13"/>
      <c r="AY2946" s="13"/>
    </row>
    <row r="2947" spans="1:51" x14ac:dyDescent="0.25">
      <c r="A2947" t="s">
        <v>3527</v>
      </c>
      <c r="B2947" s="2" t="str">
        <f t="shared" si="2259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2260">ROUND($A2947,3)+0</f>
        <v>2639.8029999999999</v>
      </c>
      <c r="AB2947" s="3">
        <f t="shared" ref="AB2947:AB3010" si="2261">ROUND($E2947,2)+0</f>
        <v>37870.33</v>
      </c>
      <c r="AC2947" s="3" cm="1">
        <f t="array" ref="AC2947">100000000/LvacE(AA2947)</f>
        <v>37870.330648402516</v>
      </c>
      <c r="AD2947" s="10">
        <f t="shared" ref="AD2947:AD3010" si="2262">0.0005/$AA2947*AC2947+0.005</f>
        <v>1.2172946361603976E-2</v>
      </c>
      <c r="AE2947" s="10" t="b">
        <f t="shared" ref="AE2947:AE3010" si="2263">ABS(AB2947-AC2947)&lt;AD2947</f>
        <v>1</v>
      </c>
      <c r="AP2947"/>
      <c r="AQ2947"/>
      <c r="AU2947" s="13" cm="1">
        <f t="array" ref="AU2947">$C2947*EXP(poly_from_str(100000000/$E2947,AU$4343))</f>
        <v>8.6597612325991005</v>
      </c>
    </row>
    <row r="2948" spans="1:51" x14ac:dyDescent="0.25">
      <c r="A2948" t="s">
        <v>3528</v>
      </c>
      <c r="B2948" s="2" t="str">
        <f t="shared" si="2259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2260"/>
        <v>2639.703</v>
      </c>
      <c r="AB2948" s="3">
        <f t="shared" si="2261"/>
        <v>37871.760000000002</v>
      </c>
      <c r="AC2948" s="3" cm="1">
        <f t="array" ref="AC2948">100000000/LvacE(AA2948)</f>
        <v>37871.765207116201</v>
      </c>
      <c r="AD2948" s="10">
        <f t="shared" si="2262"/>
        <v>1.2173489821983043E-2</v>
      </c>
      <c r="AE2948" s="10" t="b">
        <f t="shared" si="2263"/>
        <v>1</v>
      </c>
      <c r="AP2948"/>
      <c r="AQ2948"/>
      <c r="AU2948" s="13" cm="1">
        <f t="array" ref="AU2948">$C2948*EXP(poly_from_str(100000000/$E2948,AU$4343))</f>
        <v>4.3326104925605824</v>
      </c>
    </row>
    <row r="2949" spans="1:51" x14ac:dyDescent="0.25">
      <c r="A2949" t="s">
        <v>3529</v>
      </c>
      <c r="B2949" s="2" t="str">
        <f t="shared" si="2259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2260"/>
        <v>2638.8820000000001</v>
      </c>
      <c r="AB2949" s="3">
        <f t="shared" si="2261"/>
        <v>37883.550000000003</v>
      </c>
      <c r="AC2949" s="3" cm="1">
        <f t="array" ref="AC2949">100000000/LvacE(AA2949)</f>
        <v>37883.547044262807</v>
      </c>
      <c r="AD2949" s="10">
        <f t="shared" si="2262"/>
        <v>1.2177953967676996E-2</v>
      </c>
      <c r="AE2949" s="10" t="b">
        <f t="shared" si="2263"/>
        <v>1</v>
      </c>
      <c r="AJ2949" t="s">
        <v>4735</v>
      </c>
      <c r="AK2949" t="s">
        <v>4879</v>
      </c>
      <c r="AL2949">
        <v>31254.71</v>
      </c>
      <c r="AM2949">
        <v>69138.28</v>
      </c>
      <c r="AN2949" s="10" cm="1">
        <f t="array" ref="AN2949">Lair(100000000/($AM2949-$AL2949))</f>
        <v>2638.8803995527378</v>
      </c>
      <c r="AO2949" s="10">
        <f>100000000/($AM2949-$AL2949)</f>
        <v>2639.6667473524803</v>
      </c>
      <c r="AP2949" s="12">
        <v>3480000</v>
      </c>
      <c r="AQ2949" s="3">
        <v>7.0000000000000001E-3</v>
      </c>
      <c r="AR2949" s="3"/>
      <c r="AS2949" s="13">
        <f>EXP(AR$4341*$AM2949+AR$4342)*$AP2949/(100000000/($AM2949-$AL2949))</f>
        <v>0.65034419199340732</v>
      </c>
      <c r="AT2949" s="3"/>
      <c r="AU2949" s="13" cm="1">
        <f t="array" ref="AU2949">$C2949*EXP(poly_from_str(100000000/$E2949,AU$4343))</f>
        <v>2.1775411656005441</v>
      </c>
      <c r="AV2949" s="13"/>
      <c r="AW2949" s="13"/>
      <c r="AX2949" s="13"/>
      <c r="AY2949" s="13"/>
    </row>
    <row r="2950" spans="1:51" x14ac:dyDescent="0.25">
      <c r="A2950" t="s">
        <v>3530</v>
      </c>
      <c r="B2950" s="2" t="str">
        <f t="shared" si="2259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2260"/>
        <v>2637.28</v>
      </c>
      <c r="AB2950" s="3">
        <f t="shared" si="2261"/>
        <v>37906.559999999998</v>
      </c>
      <c r="AC2950" s="3" cm="1">
        <f t="array" ref="AC2950">100000000/LvacE(AA2950)</f>
        <v>37906.557814217209</v>
      </c>
      <c r="AD2950" s="10">
        <f t="shared" si="2262"/>
        <v>1.2186676768150748E-2</v>
      </c>
      <c r="AE2950" s="10" t="b">
        <f t="shared" si="2263"/>
        <v>1</v>
      </c>
      <c r="AP2950"/>
      <c r="AQ2950"/>
      <c r="AU2950" s="13" cm="1">
        <f t="array" ref="AU2950">$C2950*EXP(poly_from_str(100000000/$E2950,AU$4343))</f>
        <v>2.1993774698507997</v>
      </c>
    </row>
    <row r="2951" spans="1:51" x14ac:dyDescent="0.25">
      <c r="A2951" t="s">
        <v>3531</v>
      </c>
      <c r="B2951" s="2" t="str">
        <f t="shared" si="2259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2260"/>
        <v>2636.9589999999998</v>
      </c>
      <c r="AB2951" s="3">
        <f t="shared" si="2261"/>
        <v>37911.17</v>
      </c>
      <c r="AC2951" s="3" cm="1">
        <f t="array" ref="AC2951">100000000/LvacE(AA2951)</f>
        <v>37911.171948503135</v>
      </c>
      <c r="AD2951" s="10">
        <f t="shared" si="2262"/>
        <v>1.2188426507295552E-2</v>
      </c>
      <c r="AE2951" s="10" t="b">
        <f t="shared" si="2263"/>
        <v>1</v>
      </c>
      <c r="AP2951"/>
      <c r="AQ2951"/>
      <c r="AU2951" s="13" cm="1">
        <f t="array" ref="AU2951">$C2951*EXP(poly_from_str(100000000/$E2951,AU$4343))</f>
        <v>6.6112121144879774</v>
      </c>
    </row>
    <row r="2952" spans="1:51" x14ac:dyDescent="0.25">
      <c r="A2952" t="s">
        <v>3532</v>
      </c>
      <c r="B2952" s="2" t="str">
        <f t="shared" si="2259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2264">$G2952&amp;""</f>
        <v>e</v>
      </c>
      <c r="N2952" t="str">
        <f t="shared" ref="N2952:N2956" si="2265">$H2952&amp;""</f>
        <v>11/2</v>
      </c>
      <c r="O2952">
        <v>61357.04</v>
      </c>
      <c r="P2952" t="str">
        <f t="shared" ref="P2952:P2956" si="2266">$J2952&amp;""</f>
        <v>o</v>
      </c>
      <c r="Q2952" t="str">
        <f t="shared" ref="Q2952:Q2956" si="2267">$K2952&amp;""</f>
        <v>9/2</v>
      </c>
      <c r="R2952">
        <v>28</v>
      </c>
      <c r="AA2952" s="10">
        <f t="shared" si="2260"/>
        <v>2636.7049999999999</v>
      </c>
      <c r="AB2952" s="3">
        <f t="shared" si="2261"/>
        <v>37914.82</v>
      </c>
      <c r="AC2952" s="3" cm="1">
        <f t="array" ref="AC2952">100000000/LvacE(AA2952)</f>
        <v>37914.823804148895</v>
      </c>
      <c r="AD2952" s="10">
        <f t="shared" si="2262"/>
        <v>1.2189811488988889E-2</v>
      </c>
      <c r="AE2952" s="10" t="b">
        <f t="shared" si="2263"/>
        <v>1</v>
      </c>
      <c r="AJ2952" t="s">
        <v>4782</v>
      </c>
      <c r="AK2952" t="s">
        <v>4903</v>
      </c>
      <c r="AL2952">
        <v>23442.25</v>
      </c>
      <c r="AM2952">
        <v>61357.04</v>
      </c>
      <c r="AN2952" s="10" cm="1">
        <f t="array" ref="AN2952">Lair(100000000/($AM2952-$AL2952))</f>
        <v>2636.7073497006986</v>
      </c>
      <c r="AO2952" s="10">
        <f t="shared" ref="AO2952:AO2956" si="2268">100000000/($AM2952-$AL2952)</f>
        <v>2637.4931787832661</v>
      </c>
      <c r="AP2952" s="12">
        <v>8670000</v>
      </c>
      <c r="AQ2952" s="3">
        <v>3.5000000000000003E-2</v>
      </c>
      <c r="AR2952" s="3"/>
      <c r="AS2952" s="13">
        <f t="shared" ref="AS2952:AS2956" si="2269">EXP(AR$4341*$AM2952+AR$4342)*$AP2952/(100000000/($AM2952-$AL2952))</f>
        <v>2.907703462183282</v>
      </c>
      <c r="AT2952" s="3"/>
      <c r="AU2952" s="13" cm="1">
        <f t="array" ref="AU2952">$C2952*EXP(poly_from_str(100000000/$E2952,AU$4343))</f>
        <v>6.6215572920399604</v>
      </c>
      <c r="AV2952" s="13"/>
      <c r="AW2952" s="13"/>
      <c r="AX2952" s="13"/>
      <c r="AY2952" s="13"/>
    </row>
    <row r="2953" spans="1:51" x14ac:dyDescent="0.25">
      <c r="A2953" t="s">
        <v>3533</v>
      </c>
      <c r="B2953" s="2" t="str">
        <f t="shared" si="2259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2264"/>
        <v>o</v>
      </c>
      <c r="N2953" t="str">
        <f t="shared" si="2265"/>
        <v>9/2</v>
      </c>
      <c r="O2953">
        <v>107081.94</v>
      </c>
      <c r="P2953" t="str">
        <f t="shared" si="2266"/>
        <v>e</v>
      </c>
      <c r="Q2953" t="str">
        <f t="shared" si="2267"/>
        <v>9/2</v>
      </c>
      <c r="R2953">
        <v>28</v>
      </c>
      <c r="AA2953" s="10">
        <f t="shared" si="2260"/>
        <v>2634.7069999999999</v>
      </c>
      <c r="AB2953" s="3">
        <f t="shared" si="2261"/>
        <v>37943.57</v>
      </c>
      <c r="AC2953" s="3" cm="1">
        <f t="array" ref="AC2953">100000000/LvacE(AA2953)</f>
        <v>37943.574368906731</v>
      </c>
      <c r="AD2953" s="10">
        <f t="shared" si="2262"/>
        <v>1.220071992234938E-2</v>
      </c>
      <c r="AE2953" s="10" t="b">
        <f t="shared" si="2263"/>
        <v>1</v>
      </c>
      <c r="AJ2953" t="s">
        <v>4879</v>
      </c>
      <c r="AK2953" t="s">
        <v>4956</v>
      </c>
      <c r="AL2953">
        <v>69138.28</v>
      </c>
      <c r="AM2953">
        <v>107081.94</v>
      </c>
      <c r="AN2953" s="10" cm="1">
        <f t="array" ref="AN2953">Lair(100000000/($AM2953-$AL2953))</f>
        <v>2634.7010524013181</v>
      </c>
      <c r="AO2953" s="10">
        <f t="shared" si="2268"/>
        <v>2635.4864027350022</v>
      </c>
      <c r="AP2953" s="12">
        <v>501000000</v>
      </c>
      <c r="AQ2953" s="3">
        <v>0.311</v>
      </c>
      <c r="AR2953" s="3">
        <f>LN(AU2953*100000000/($AM2953-$AL2953)/AP2953)</f>
        <v>-9.7419568081049697</v>
      </c>
      <c r="AS2953" s="13">
        <f t="shared" si="2269"/>
        <v>5.4377015107074476</v>
      </c>
      <c r="AT2953" s="3">
        <f t="shared" ref="AT2953:AT2956" si="2270">LN(AS2953/$C2953)</f>
        <v>8.3918542734468179E-2</v>
      </c>
      <c r="AU2953" s="13" cm="1">
        <f t="array" ref="AU2953">$C2953*EXP(poly_from_str(100000000/$E2953,AU$4343))</f>
        <v>11.171175155357229</v>
      </c>
      <c r="AV2953" s="13">
        <f>LN(AS2953/AU2953)</f>
        <v>-0.71998035876702959</v>
      </c>
      <c r="AW2953" s="13"/>
      <c r="AX2953" s="13"/>
      <c r="AY2953" s="13"/>
    </row>
    <row r="2954" spans="1:51" x14ac:dyDescent="0.25">
      <c r="A2954" t="s">
        <v>3534</v>
      </c>
      <c r="B2954" s="2" t="str">
        <f t="shared" si="2259"/>
        <v/>
      </c>
      <c r="C2954">
        <v>3</v>
      </c>
      <c r="D2954" t="s">
        <v>1156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2264"/>
        <v>e</v>
      </c>
      <c r="N2954" t="str">
        <f t="shared" si="2265"/>
        <v>9/2</v>
      </c>
      <c r="O2954">
        <v>66852.87</v>
      </c>
      <c r="P2954" t="str">
        <f t="shared" si="2266"/>
        <v>o</v>
      </c>
      <c r="Q2954" t="str">
        <f t="shared" si="2267"/>
        <v>7/2</v>
      </c>
      <c r="R2954">
        <v>28</v>
      </c>
      <c r="AA2954" s="10">
        <f t="shared" si="2260"/>
        <v>2632.9830000000002</v>
      </c>
      <c r="AB2954" s="3">
        <f t="shared" si="2261"/>
        <v>37968.42</v>
      </c>
      <c r="AC2954" s="3" cm="1">
        <f t="array" ref="AC2954">100000000/LvacE(AA2954)</f>
        <v>37968.417228064449</v>
      </c>
      <c r="AD2954" s="10">
        <f t="shared" si="2262"/>
        <v>1.2210152368637482E-2</v>
      </c>
      <c r="AE2954" s="10" t="b">
        <f t="shared" si="2263"/>
        <v>1</v>
      </c>
      <c r="AJ2954" t="s">
        <v>4742</v>
      </c>
      <c r="AK2954" t="s">
        <v>4830</v>
      </c>
      <c r="AL2954">
        <v>28885.14</v>
      </c>
      <c r="AM2954">
        <v>66852.87</v>
      </c>
      <c r="AN2954" s="10" cm="1">
        <f t="array" ref="AN2954">Lair(100000000/($AM2954-$AL2954))</f>
        <v>2633.030659450249</v>
      </c>
      <c r="AO2954" s="10">
        <f t="shared" si="2268"/>
        <v>2633.8156113099208</v>
      </c>
      <c r="AP2954" s="12">
        <v>5690000</v>
      </c>
      <c r="AQ2954" s="3">
        <v>0.02</v>
      </c>
      <c r="AR2954" s="3"/>
      <c r="AS2954" s="13">
        <f t="shared" si="2269"/>
        <v>1.2651062608390429</v>
      </c>
      <c r="AT2954" s="3"/>
      <c r="AU2954" s="13" cm="1">
        <f t="array" ref="AU2954">$C2954*EXP(poly_from_str(100000000/$E2954,AU$4343))</f>
        <v>6.7723497502317542</v>
      </c>
      <c r="AV2954" s="13"/>
      <c r="AW2954" s="13"/>
      <c r="AX2954" s="13"/>
      <c r="AY2954" s="13"/>
    </row>
    <row r="2955" spans="1:51" x14ac:dyDescent="0.25">
      <c r="A2955" t="s">
        <v>3535</v>
      </c>
      <c r="B2955" s="2" t="str">
        <f t="shared" si="2259"/>
        <v/>
      </c>
      <c r="C2955">
        <v>1</v>
      </c>
      <c r="D2955" t="s">
        <v>1156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2264"/>
        <v>e</v>
      </c>
      <c r="N2955" t="str">
        <f t="shared" si="2265"/>
        <v>9/2</v>
      </c>
      <c r="O2955">
        <v>68987.070000000007</v>
      </c>
      <c r="P2955" t="str">
        <f t="shared" si="2266"/>
        <v>o</v>
      </c>
      <c r="Q2955" t="str">
        <f t="shared" si="2267"/>
        <v>7/2</v>
      </c>
      <c r="R2955">
        <v>28</v>
      </c>
      <c r="S2955" t="s">
        <v>2205</v>
      </c>
      <c r="AA2955" s="10">
        <f t="shared" si="2260"/>
        <v>2631.31</v>
      </c>
      <c r="AB2955" s="3">
        <f t="shared" si="2261"/>
        <v>37992.559999999998</v>
      </c>
      <c r="AC2955" s="3" cm="1">
        <f t="array" ref="AC2955">100000000/LvacE(AA2955)</f>
        <v>37992.556296353614</v>
      </c>
      <c r="AD2955" s="10">
        <f t="shared" si="2262"/>
        <v>1.2219323511170029E-2</v>
      </c>
      <c r="AE2955" s="10" t="b">
        <f t="shared" si="2263"/>
        <v>1</v>
      </c>
      <c r="AJ2955" t="s">
        <v>4788</v>
      </c>
      <c r="AK2955" t="s">
        <v>4920</v>
      </c>
      <c r="AL2955">
        <v>30994.55</v>
      </c>
      <c r="AM2955">
        <v>68987.070000000007</v>
      </c>
      <c r="AN2955" s="10" cm="1">
        <f t="array" ref="AN2955">Lair(100000000/($AM2955-$AL2955))</f>
        <v>2631.3125127855328</v>
      </c>
      <c r="AO2955" s="10">
        <f t="shared" si="2268"/>
        <v>2632.0970548939631</v>
      </c>
      <c r="AP2955" s="12">
        <v>9080000</v>
      </c>
      <c r="AQ2955" s="3">
        <v>3.9E-2</v>
      </c>
      <c r="AR2955" s="3"/>
      <c r="AS2955" s="13">
        <f t="shared" si="2269"/>
        <v>1.7211763451811746</v>
      </c>
      <c r="AT2955" s="3"/>
      <c r="AU2955" s="13" cm="1">
        <f t="array" ref="AU2955">$C2955*EXP(poly_from_str(100000000/$E2955,AU$4343))</f>
        <v>2.2798503731949364</v>
      </c>
      <c r="AV2955" s="13"/>
      <c r="AW2955" s="13"/>
      <c r="AX2955" s="13"/>
      <c r="AY2955" s="13"/>
    </row>
    <row r="2956" spans="1:51" x14ac:dyDescent="0.25">
      <c r="A2956" t="s">
        <v>3536</v>
      </c>
      <c r="B2956" s="2" t="str">
        <f t="shared" si="2259"/>
        <v/>
      </c>
      <c r="C2956">
        <v>4</v>
      </c>
      <c r="D2956" t="s">
        <v>1156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2264"/>
        <v>e</v>
      </c>
      <c r="N2956" t="str">
        <f t="shared" si="2265"/>
        <v>5/2</v>
      </c>
      <c r="O2956">
        <v>73378.42</v>
      </c>
      <c r="P2956" t="str">
        <f t="shared" si="2266"/>
        <v>o</v>
      </c>
      <c r="Q2956" t="str">
        <f t="shared" si="2267"/>
        <v>7/2</v>
      </c>
      <c r="R2956">
        <v>28</v>
      </c>
      <c r="AA2956" s="10">
        <f t="shared" si="2260"/>
        <v>2631.2130000000002</v>
      </c>
      <c r="AB2956" s="3">
        <f t="shared" si="2261"/>
        <v>37993.96</v>
      </c>
      <c r="AC2956" s="3" cm="1">
        <f t="array" ref="AC2956">100000000/LvacE(AA2956)</f>
        <v>37993.95681312184</v>
      </c>
      <c r="AD2956" s="10">
        <f t="shared" si="2262"/>
        <v>1.2219855787638978E-2</v>
      </c>
      <c r="AE2956" s="10" t="b">
        <f t="shared" si="2263"/>
        <v>1</v>
      </c>
      <c r="AJ2956" t="s">
        <v>4728</v>
      </c>
      <c r="AK2956" t="s">
        <v>4919</v>
      </c>
      <c r="AL2956">
        <v>35384.17</v>
      </c>
      <c r="AM2956">
        <v>73378.42</v>
      </c>
      <c r="AN2956" s="10" cm="1">
        <f t="array" ref="AN2956">Lair(100000000/($AM2956-$AL2956))</f>
        <v>2631.1926935396423</v>
      </c>
      <c r="AO2956" s="10">
        <f t="shared" si="2268"/>
        <v>2631.9772070773865</v>
      </c>
      <c r="AP2956" s="12">
        <v>69800000</v>
      </c>
      <c r="AQ2956" s="3">
        <v>0.23499999999999999</v>
      </c>
      <c r="AR2956" s="3">
        <f>LN(AU2956*100000000/($AM2956-$AL2956)/AP2956)</f>
        <v>-7.974682138116588</v>
      </c>
      <c r="AS2956" s="13">
        <f t="shared" si="2269"/>
        <v>9.5167817583358794</v>
      </c>
      <c r="AT2956" s="3">
        <f t="shared" si="2270"/>
        <v>0.86676237993642979</v>
      </c>
      <c r="AU2956" s="13" cm="1">
        <f t="array" ref="AU2956">$C2956*EXP(poly_from_str(100000000/$E2956,AU$4343))</f>
        <v>9.1245793258879679</v>
      </c>
      <c r="AV2956" s="13">
        <f>LN(AS2956/AU2956)</f>
        <v>4.2084943923013055E-2</v>
      </c>
      <c r="AW2956" s="13"/>
      <c r="AX2956" s="13"/>
      <c r="AY2956" s="13"/>
    </row>
    <row r="2957" spans="1:51" x14ac:dyDescent="0.25">
      <c r="A2957" t="s">
        <v>3537</v>
      </c>
      <c r="B2957" s="2" t="str">
        <f t="shared" si="2259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2260"/>
        <v>2630.7550000000001</v>
      </c>
      <c r="AB2957" s="3">
        <f t="shared" si="2261"/>
        <v>38000.57</v>
      </c>
      <c r="AC2957" s="3" cm="1">
        <f t="array" ref="AC2957">100000000/LvacE(AA2957)</f>
        <v>38000.570957308446</v>
      </c>
      <c r="AD2957" s="10">
        <f t="shared" si="2262"/>
        <v>1.2222369805874824E-2</v>
      </c>
      <c r="AE2957" s="10" t="b">
        <f t="shared" si="2263"/>
        <v>1</v>
      </c>
      <c r="AP2957"/>
      <c r="AQ2957"/>
      <c r="AU2957" s="13" cm="1">
        <f t="array" ref="AU2957">$C2957*EXP(poly_from_str(100000000/$E2957,AU$4343))</f>
        <v>2.2872495476456889</v>
      </c>
    </row>
    <row r="2958" spans="1:51" x14ac:dyDescent="0.25">
      <c r="A2958" t="s">
        <v>3538</v>
      </c>
      <c r="B2958" s="2" t="str">
        <f t="shared" si="2259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2260"/>
        <v>2630.36</v>
      </c>
      <c r="AB2958" s="3">
        <f t="shared" si="2261"/>
        <v>38006.28</v>
      </c>
      <c r="AC2958" s="3" cm="1">
        <f t="array" ref="AC2958">100000000/LvacE(AA2958)</f>
        <v>38006.277145289721</v>
      </c>
      <c r="AD2958" s="10">
        <f t="shared" si="2262"/>
        <v>1.2224539064099538E-2</v>
      </c>
      <c r="AE2958" s="10" t="b">
        <f t="shared" si="2263"/>
        <v>1</v>
      </c>
      <c r="AP2958"/>
      <c r="AQ2958"/>
      <c r="AU2958" s="13" cm="1">
        <f t="array" ref="AU2958">$C2958*EXP(poly_from_str(100000000/$E2958,AU$4343))</f>
        <v>2.2925137480897941</v>
      </c>
    </row>
    <row r="2959" spans="1:51" x14ac:dyDescent="0.25">
      <c r="A2959" t="s">
        <v>3539</v>
      </c>
      <c r="B2959" s="2" t="str">
        <f t="shared" si="2259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2271">$G2959&amp;""</f>
        <v>o</v>
      </c>
      <c r="N2959" t="str">
        <f t="shared" ref="N2959:N2960" si="2272">$H2959&amp;""</f>
        <v>7/2</v>
      </c>
      <c r="O2959">
        <v>103308.53</v>
      </c>
      <c r="P2959" t="str">
        <f t="shared" ref="P2959:P2960" si="2273">$J2959&amp;""</f>
        <v>e</v>
      </c>
      <c r="Q2959" t="str">
        <f t="shared" ref="Q2959:Q2960" si="2274">$K2959&amp;""</f>
        <v>7/2</v>
      </c>
      <c r="R2959">
        <v>28</v>
      </c>
      <c r="AA2959" s="10">
        <f t="shared" si="2260"/>
        <v>2629.9180000000001</v>
      </c>
      <c r="AB2959" s="3">
        <f t="shared" si="2261"/>
        <v>38012.660000000003</v>
      </c>
      <c r="AC2959" s="3" cm="1">
        <f t="array" ref="AC2959">100000000/LvacE(AA2959)</f>
        <v>38012.664329327461</v>
      </c>
      <c r="AD2959" s="10">
        <f t="shared" si="2262"/>
        <v>1.2226967595439755E-2</v>
      </c>
      <c r="AE2959" s="10" t="b">
        <f t="shared" si="2263"/>
        <v>1</v>
      </c>
      <c r="AJ2959" t="s">
        <v>4825</v>
      </c>
      <c r="AK2959" t="s">
        <v>4906</v>
      </c>
      <c r="AL2959">
        <v>65295.9</v>
      </c>
      <c r="AM2959">
        <v>103308.53</v>
      </c>
      <c r="AN2959" s="10" cm="1">
        <f t="array" ref="AN2959">Lair(100000000/($AM2959-$AL2959))</f>
        <v>2629.9203740490998</v>
      </c>
      <c r="AO2959" s="10">
        <f t="shared" ref="AO2959:AO2960" si="2275">100000000/($AM2959-$AL2959)</f>
        <v>2630.7045842395019</v>
      </c>
      <c r="AP2959" s="12">
        <v>240000000</v>
      </c>
      <c r="AQ2959" s="3">
        <v>0.14799999999999999</v>
      </c>
      <c r="AR2959" s="3">
        <f t="shared" ref="AR2959:AR2960" si="2276">LN(AU2959*100000000/($AM2959-$AL2959)/AP2959)</f>
        <v>-10.588935630152818</v>
      </c>
      <c r="AS2959" s="13">
        <f t="shared" ref="AS2959:AS2960" si="2277">EXP(AR$4341*$AM2959+AR$4342)*$AP2959/(100000000/($AM2959-$AL2959))</f>
        <v>3.4638736560294459</v>
      </c>
      <c r="AT2959" s="3">
        <f t="shared" ref="AT2959:AT2960" si="2278">LN(AS2959/$C2959)</f>
        <v>1.242387516602409</v>
      </c>
      <c r="AU2959" s="13" cm="1">
        <f t="array" ref="AU2959">$C2959*EXP(poly_from_str(100000000/$E2959,AU$4343))</f>
        <v>2.2983853602167481</v>
      </c>
      <c r="AV2959" s="13">
        <f t="shared" ref="AV2959:AV2960" si="2279">LN(AS2959/AU2959)</f>
        <v>0.41018065749389909</v>
      </c>
      <c r="AW2959" s="13"/>
      <c r="AX2959" s="13"/>
      <c r="AY2959" s="13"/>
    </row>
    <row r="2960" spans="1:51" x14ac:dyDescent="0.25">
      <c r="A2960" t="s">
        <v>3540</v>
      </c>
      <c r="B2960" s="2" t="str">
        <f t="shared" si="2259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2271"/>
        <v>e</v>
      </c>
      <c r="N2960" t="str">
        <f t="shared" si="2272"/>
        <v>11/2</v>
      </c>
      <c r="O2960">
        <v>68525.62</v>
      </c>
      <c r="P2960" t="str">
        <f t="shared" si="2273"/>
        <v>o</v>
      </c>
      <c r="Q2960" t="str">
        <f t="shared" si="2274"/>
        <v>11/2</v>
      </c>
      <c r="R2960">
        <v>28</v>
      </c>
      <c r="AA2960" s="10">
        <f t="shared" si="2260"/>
        <v>2629.413</v>
      </c>
      <c r="AB2960" s="3">
        <f t="shared" si="2261"/>
        <v>38019.96</v>
      </c>
      <c r="AC2960" s="3" cm="1">
        <f t="array" ref="AC2960">100000000/LvacE(AA2960)</f>
        <v>38019.964531824618</v>
      </c>
      <c r="AD2960" s="10">
        <f t="shared" si="2262"/>
        <v>1.2229743773957271E-2</v>
      </c>
      <c r="AE2960" s="10" t="b">
        <f t="shared" si="2263"/>
        <v>1</v>
      </c>
      <c r="AJ2960" t="s">
        <v>4706</v>
      </c>
      <c r="AK2960" t="s">
        <v>4869</v>
      </c>
      <c r="AL2960">
        <v>30505.72</v>
      </c>
      <c r="AM2960">
        <v>68525.62</v>
      </c>
      <c r="AN2960" s="10" cm="1">
        <f t="array" ref="AN2960">Lair(100000000/($AM2960-$AL2960))</f>
        <v>2629.4174620415529</v>
      </c>
      <c r="AO2960" s="10">
        <f t="shared" si="2275"/>
        <v>2630.2015523449568</v>
      </c>
      <c r="AP2960" s="12">
        <v>70000000</v>
      </c>
      <c r="AQ2960" s="3">
        <v>0.217</v>
      </c>
      <c r="AR2960" s="3">
        <f t="shared" si="2276"/>
        <v>-7.4081600563081187</v>
      </c>
      <c r="AS2960" s="13">
        <f t="shared" si="2277"/>
        <v>13.746438385853741</v>
      </c>
      <c r="AT2960" s="3">
        <f t="shared" si="2278"/>
        <v>0.67486961502074894</v>
      </c>
      <c r="AU2960" s="13" cm="1">
        <f t="array" ref="AU2960">$C2960*EXP(poly_from_str(100000000/$E2960,AU$4343))</f>
        <v>16.135631860481215</v>
      </c>
      <c r="AV2960" s="13">
        <f t="shared" si="2279"/>
        <v>-0.16025022152141347</v>
      </c>
      <c r="AW2960" s="13"/>
      <c r="AX2960" s="13"/>
      <c r="AY2960" s="13"/>
    </row>
    <row r="2961" spans="1:51" x14ac:dyDescent="0.25">
      <c r="A2961" t="s">
        <v>3541</v>
      </c>
      <c r="B2961" s="2" t="str">
        <f t="shared" si="2259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2260"/>
        <v>2629.0889999999999</v>
      </c>
      <c r="AB2961" s="3">
        <f t="shared" si="2261"/>
        <v>38024.65</v>
      </c>
      <c r="AC2961" s="3" cm="1">
        <f t="array" ref="AC2961">100000000/LvacE(AA2961)</f>
        <v>38024.649702789487</v>
      </c>
      <c r="AD2961" s="10">
        <f t="shared" si="2262"/>
        <v>1.2231525768581719E-2</v>
      </c>
      <c r="AE2961" s="10" t="b">
        <f t="shared" si="2263"/>
        <v>1</v>
      </c>
      <c r="AP2961"/>
      <c r="AQ2961"/>
      <c r="AU2961" s="13" cm="1">
        <f t="array" ref="AU2961">$C2961*EXP(poly_from_str(100000000/$E2961,AU$4343))</f>
        <v>4.6187806950567918</v>
      </c>
    </row>
    <row r="2962" spans="1:51" x14ac:dyDescent="0.25">
      <c r="A2962" t="s">
        <v>3542</v>
      </c>
      <c r="B2962" s="2" t="str">
        <f t="shared" si="2259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2260"/>
        <v>2629.0149999999999</v>
      </c>
      <c r="AB2962" s="3">
        <f t="shared" si="2261"/>
        <v>38025.72</v>
      </c>
      <c r="AC2962" s="3" cm="1">
        <f t="array" ref="AC2962">100000000/LvacE(AA2962)</f>
        <v>38025.71993467828</v>
      </c>
      <c r="AD2962" s="10">
        <f t="shared" si="2262"/>
        <v>1.2231932859774152E-2</v>
      </c>
      <c r="AE2962" s="10" t="b">
        <f t="shared" si="2263"/>
        <v>1</v>
      </c>
      <c r="AP2962"/>
      <c r="AQ2962"/>
      <c r="AU2962" s="13" cm="1">
        <f t="array" ref="AU2962">$C2962*EXP(poly_from_str(100000000/$E2962,AU$4343))</f>
        <v>16.172593878631215</v>
      </c>
    </row>
    <row r="2963" spans="1:51" x14ac:dyDescent="0.25">
      <c r="A2963" t="s">
        <v>3543</v>
      </c>
      <c r="B2963" s="2" t="str">
        <f t="shared" si="2259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2260"/>
        <v>2628.6329999999998</v>
      </c>
      <c r="AB2963" s="3">
        <f t="shared" si="2261"/>
        <v>38031.25</v>
      </c>
      <c r="AC2963" s="3" cm="1">
        <f t="array" ref="AC2963">100000000/LvacE(AA2963)</f>
        <v>38031.245603526782</v>
      </c>
      <c r="AD2963" s="10">
        <f t="shared" si="2262"/>
        <v>1.2234034877353892E-2</v>
      </c>
      <c r="AE2963" s="10" t="b">
        <f t="shared" si="2263"/>
        <v>1</v>
      </c>
      <c r="AP2963"/>
      <c r="AQ2963"/>
      <c r="AU2963" s="13" cm="1">
        <f t="array" ref="AU2963">$C2963*EXP(poly_from_str(100000000/$E2963,AU$4343))</f>
        <v>2.3154315150602778</v>
      </c>
    </row>
    <row r="2964" spans="1:51" x14ac:dyDescent="0.25">
      <c r="A2964" t="s">
        <v>3544</v>
      </c>
      <c r="B2964" s="2" t="str">
        <f t="shared" si="2259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2260"/>
        <v>2628.123</v>
      </c>
      <c r="AB2964" s="3">
        <f t="shared" si="2261"/>
        <v>38038.629999999997</v>
      </c>
      <c r="AC2964" s="3" cm="1">
        <f t="array" ref="AC2964">100000000/LvacE(AA2964)</f>
        <v>38038.625308976603</v>
      </c>
      <c r="AD2964" s="10">
        <f t="shared" si="2262"/>
        <v>1.2236842664703403E-2</v>
      </c>
      <c r="AE2964" s="10" t="b">
        <f t="shared" si="2263"/>
        <v>1</v>
      </c>
      <c r="AP2964"/>
      <c r="AQ2964"/>
      <c r="AU2964" s="13" cm="1">
        <f t="array" ref="AU2964">$C2964*EXP(poly_from_str(100000000/$E2964,AU$4343))</f>
        <v>11.61086270369802</v>
      </c>
    </row>
    <row r="2965" spans="1:51" x14ac:dyDescent="0.25">
      <c r="A2965" t="s">
        <v>3545</v>
      </c>
      <c r="B2965" s="2" t="str">
        <f t="shared" si="2259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2260"/>
        <v>2627.136</v>
      </c>
      <c r="AB2965" s="3">
        <f t="shared" si="2261"/>
        <v>38052.92</v>
      </c>
      <c r="AC2965" s="3" cm="1">
        <f t="array" ref="AC2965">100000000/LvacE(AA2965)</f>
        <v>38052.915346752663</v>
      </c>
      <c r="AD2965" s="10">
        <f t="shared" si="2262"/>
        <v>1.2242281204085489E-2</v>
      </c>
      <c r="AE2965" s="10" t="b">
        <f t="shared" si="2263"/>
        <v>1</v>
      </c>
      <c r="AP2965"/>
      <c r="AQ2965"/>
      <c r="AU2965" s="13" cm="1">
        <f t="array" ref="AU2965">$C2965*EXP(poly_from_str(100000000/$E2965,AU$4343))</f>
        <v>2.3351825879606238</v>
      </c>
    </row>
    <row r="2966" spans="1:51" x14ac:dyDescent="0.25">
      <c r="A2966" t="s">
        <v>3546</v>
      </c>
      <c r="B2966" s="2" t="str">
        <f t="shared" si="2259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2280">$G2966&amp;""</f>
        <v>e</v>
      </c>
      <c r="N2966" t="str">
        <f t="shared" ref="N2966:N2967" si="2281">$H2966&amp;""</f>
        <v>11/2</v>
      </c>
      <c r="O2966">
        <v>64150.94</v>
      </c>
      <c r="P2966" t="str">
        <f t="shared" ref="P2966:P2967" si="2282">$J2966&amp;""</f>
        <v>o</v>
      </c>
      <c r="Q2966" t="str">
        <f t="shared" ref="Q2966:Q2967" si="2283">$K2966&amp;""</f>
        <v>11/2</v>
      </c>
      <c r="R2966">
        <v>28</v>
      </c>
      <c r="AA2966" s="10">
        <f t="shared" si="2260"/>
        <v>2626.9380000000001</v>
      </c>
      <c r="AB2966" s="3">
        <f t="shared" si="2261"/>
        <v>38055.78</v>
      </c>
      <c r="AC2966" s="3" cm="1">
        <f t="array" ref="AC2966">100000000/LvacE(AA2966)</f>
        <v>38055.783334268919</v>
      </c>
      <c r="AD2966" s="10">
        <f t="shared" si="2262"/>
        <v>1.2243372956321946E-2</v>
      </c>
      <c r="AE2966" s="10" t="b">
        <f t="shared" si="2263"/>
        <v>1</v>
      </c>
      <c r="AJ2966" t="s">
        <v>4738</v>
      </c>
      <c r="AK2966" t="s">
        <v>4931</v>
      </c>
      <c r="AL2966">
        <v>26095.23</v>
      </c>
      <c r="AM2966">
        <v>64150.94</v>
      </c>
      <c r="AN2966" s="10" cm="1">
        <f t="array" ref="AN2966">Lair(100000000/($AM2966-$AL2966))</f>
        <v>2626.9430613393715</v>
      </c>
      <c r="AO2966" s="10">
        <f t="shared" ref="AO2966:AO2967" si="2284">100000000/($AM2966-$AL2966)</f>
        <v>2627.7265619272371</v>
      </c>
      <c r="AP2966" s="12">
        <v>11600000</v>
      </c>
      <c r="AQ2966" s="3">
        <v>7.2999999999999995E-2</v>
      </c>
      <c r="AR2966" s="3">
        <f t="shared" ref="AR2966:AR2967" si="2285">LN(AU2966*100000000/($AM2966-$AL2966)/AP2966)</f>
        <v>-5.934001826061138</v>
      </c>
      <c r="AS2966" s="13">
        <f t="shared" ref="AS2966:AS2967" si="2286">EXP(AR$4341*$AM2966+AR$4342)*$AP2966/(100000000/($AM2966-$AL2966))</f>
        <v>3.1662141874563687</v>
      </c>
      <c r="AT2966" s="3">
        <f t="shared" ref="AT2966:AT2967" si="2287">LN(AS2966/$C2966)</f>
        <v>-0.4569013008768753</v>
      </c>
      <c r="AU2966" s="13" cm="1">
        <f t="array" ref="AU2966">$C2966*EXP(poly_from_str(100000000/$E2966,AU$4343))</f>
        <v>11.688898015925488</v>
      </c>
      <c r="AV2966" s="13">
        <f t="shared" ref="AV2966:AV2967" si="2288">LN(AS2966/AU2966)</f>
        <v>-1.3061028922399875</v>
      </c>
      <c r="AW2966" s="13"/>
      <c r="AX2966" s="13"/>
      <c r="AY2966" s="13"/>
    </row>
    <row r="2967" spans="1:51" x14ac:dyDescent="0.25">
      <c r="A2967" t="s">
        <v>3547</v>
      </c>
      <c r="B2967" s="2" t="str">
        <f t="shared" si="2259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2280"/>
        <v>o</v>
      </c>
      <c r="N2967" t="str">
        <f t="shared" si="2281"/>
        <v>11/2</v>
      </c>
      <c r="O2967">
        <v>100625.04</v>
      </c>
      <c r="P2967" t="str">
        <f t="shared" si="2282"/>
        <v>e</v>
      </c>
      <c r="Q2967" t="str">
        <f t="shared" si="2283"/>
        <v>11/2</v>
      </c>
      <c r="R2967">
        <v>28</v>
      </c>
      <c r="AA2967" s="10">
        <f t="shared" si="2260"/>
        <v>2626.21</v>
      </c>
      <c r="AB2967" s="3">
        <f t="shared" si="2261"/>
        <v>38066.33</v>
      </c>
      <c r="AC2967" s="3" cm="1">
        <f t="array" ref="AC2967">100000000/LvacE(AA2967)</f>
        <v>38066.33197578197</v>
      </c>
      <c r="AD2967" s="10">
        <f t="shared" si="2262"/>
        <v>1.2247389198842051E-2</v>
      </c>
      <c r="AE2967" s="10" t="b">
        <f t="shared" si="2263"/>
        <v>1</v>
      </c>
      <c r="AJ2967" t="s">
        <v>4821</v>
      </c>
      <c r="AK2967" t="s">
        <v>4871</v>
      </c>
      <c r="AL2967">
        <v>62558.67</v>
      </c>
      <c r="AM2967">
        <v>100625.04</v>
      </c>
      <c r="AN2967" s="10" cm="1">
        <f t="array" ref="AN2967">Lair(100000000/($AM2967-$AL2967))</f>
        <v>2626.2073754143589</v>
      </c>
      <c r="AO2967" s="10">
        <f t="shared" si="2284"/>
        <v>2626.9907007156189</v>
      </c>
      <c r="AP2967" s="12">
        <v>409000000</v>
      </c>
      <c r="AQ2967" s="3">
        <v>0.55000000000000004</v>
      </c>
      <c r="AR2967" s="3">
        <f t="shared" si="2285"/>
        <v>-10.409201648742609</v>
      </c>
      <c r="AS2967" s="13">
        <f t="shared" si="2286"/>
        <v>7.2301784752316278</v>
      </c>
      <c r="AT2967" s="3">
        <f t="shared" si="2287"/>
        <v>1.2851165406769522</v>
      </c>
      <c r="AU2967" s="13" cm="1">
        <f t="array" ref="AU2967">$C2967*EXP(poly_from_str(100000000/$E2967,AU$4343))</f>
        <v>4.6946793556540625</v>
      </c>
      <c r="AV2967" s="13">
        <f t="shared" si="2288"/>
        <v>0.43183390576423575</v>
      </c>
      <c r="AW2967" s="13"/>
      <c r="AX2967" s="13"/>
      <c r="AY2967" s="13"/>
    </row>
    <row r="2968" spans="1:51" x14ac:dyDescent="0.25">
      <c r="A2968" t="s">
        <v>3548</v>
      </c>
      <c r="B2968" s="2" t="str">
        <f t="shared" si="2259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2260"/>
        <v>2626.0160000000001</v>
      </c>
      <c r="AB2968" s="3">
        <f t="shared" si="2261"/>
        <v>38069.14</v>
      </c>
      <c r="AC2968" s="3" cm="1">
        <f t="array" ref="AC2968">100000000/LvacE(AA2968)</f>
        <v>38069.144001717614</v>
      </c>
      <c r="AD2968" s="10">
        <f t="shared" si="2262"/>
        <v>1.2248460024942273E-2</v>
      </c>
      <c r="AE2968" s="10" t="b">
        <f t="shared" si="2263"/>
        <v>1</v>
      </c>
      <c r="AP2968"/>
      <c r="AQ2968"/>
      <c r="AU2968" s="13" cm="1">
        <f t="array" ref="AU2968">$C2968*EXP(poly_from_str(100000000/$E2968,AU$4343))</f>
        <v>2.3498807244017601</v>
      </c>
    </row>
    <row r="2969" spans="1:51" x14ac:dyDescent="0.25">
      <c r="A2969" t="s">
        <v>3549</v>
      </c>
      <c r="B2969" s="2" t="str">
        <f t="shared" si="2259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2289">$G2969&amp;""</f>
        <v>e</v>
      </c>
      <c r="N2969" t="str">
        <f t="shared" ref="N2969:N2972" si="2290">$H2969&amp;""</f>
        <v>5/2</v>
      </c>
      <c r="O2969">
        <v>61605.66</v>
      </c>
      <c r="P2969" t="str">
        <f t="shared" ref="P2969:P2972" si="2291">$J2969&amp;""</f>
        <v>o</v>
      </c>
      <c r="Q2969" t="str">
        <f t="shared" ref="Q2969:Q2972" si="2292">$K2969&amp;""</f>
        <v>7/2</v>
      </c>
      <c r="R2969">
        <v>28</v>
      </c>
      <c r="AA2969" s="10">
        <f t="shared" si="2260"/>
        <v>2625.761</v>
      </c>
      <c r="AB2969" s="3">
        <f t="shared" si="2261"/>
        <v>38072.839999999997</v>
      </c>
      <c r="AC2969" s="3" cm="1">
        <f t="array" ref="AC2969">100000000/LvacE(AA2969)</f>
        <v>38072.840853350579</v>
      </c>
      <c r="AD2969" s="10">
        <f t="shared" si="2262"/>
        <v>1.2249867915120718E-2</v>
      </c>
      <c r="AE2969" s="10" t="b">
        <f t="shared" si="2263"/>
        <v>1</v>
      </c>
      <c r="AJ2969" t="s">
        <v>4756</v>
      </c>
      <c r="AK2969" t="s">
        <v>4822</v>
      </c>
      <c r="AL2969">
        <v>23532.86</v>
      </c>
      <c r="AM2969">
        <v>61605.66</v>
      </c>
      <c r="AN2969" s="10" cm="1">
        <f t="array" ref="AN2969">Lair(100000000/($AM2969-$AL2969))</f>
        <v>2625.7638165762269</v>
      </c>
      <c r="AO2969" s="10">
        <f t="shared" ref="AO2969:AO2972" si="2293">100000000/($AM2969-$AL2969)</f>
        <v>2626.5470362043243</v>
      </c>
      <c r="AP2969" s="12">
        <v>30400000</v>
      </c>
      <c r="AQ2969" s="3">
        <v>0.16600000000000001</v>
      </c>
      <c r="AR2969" s="3">
        <f t="shared" ref="AR2969:AR2972" si="2294">LN(AU2969*100000000/($AM2969-$AL2969)/AP2969)</f>
        <v>-6.8913039519880241</v>
      </c>
      <c r="AS2969" s="13">
        <f t="shared" ref="AS2969:AS2972" si="2295">EXP(AR$4341*$AM2969+AR$4342)*$AP2969/(100000000/($AM2969-$AL2969))</f>
        <v>10.048648185153187</v>
      </c>
      <c r="AT2969" s="3">
        <f t="shared" ref="AT2969:AT2972" si="2296">LN(AS2969/$C2969)</f>
        <v>0.6980002040838641</v>
      </c>
      <c r="AU2969" s="13" cm="1">
        <f t="array" ref="AU2969">$C2969*EXP(poly_from_str(100000000/$E2969,AU$4343))</f>
        <v>11.766115888514577</v>
      </c>
      <c r="AV2969" s="13">
        <f t="shared" ref="AV2969:AV2972" si="2297">LN(AS2969/AU2969)</f>
        <v>-0.15778574931609482</v>
      </c>
      <c r="AW2969" s="13"/>
      <c r="AX2969" s="13"/>
      <c r="AY2969" s="13"/>
    </row>
    <row r="2970" spans="1:51" x14ac:dyDescent="0.25">
      <c r="A2970" t="s">
        <v>3550</v>
      </c>
      <c r="B2970" s="2" t="str">
        <f t="shared" si="2259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2289"/>
        <v>o</v>
      </c>
      <c r="N2970" t="str">
        <f t="shared" si="2290"/>
        <v>11/2</v>
      </c>
      <c r="O2970">
        <v>100321.12</v>
      </c>
      <c r="P2970" t="str">
        <f t="shared" si="2291"/>
        <v>e</v>
      </c>
      <c r="Q2970" t="str">
        <f t="shared" si="2292"/>
        <v>9/2</v>
      </c>
      <c r="R2970">
        <v>28</v>
      </c>
      <c r="AA2970" s="10">
        <f t="shared" si="2260"/>
        <v>2625.2449999999999</v>
      </c>
      <c r="AB2970" s="3">
        <f t="shared" si="2261"/>
        <v>38080.32</v>
      </c>
      <c r="AC2970" s="3" cm="1">
        <f t="array" ref="AC2970">100000000/LvacE(AA2970)</f>
        <v>38080.323738093626</v>
      </c>
      <c r="AD2970" s="10">
        <f t="shared" si="2262"/>
        <v>1.2252718077378232E-2</v>
      </c>
      <c r="AE2970" s="10" t="b">
        <f t="shared" si="2263"/>
        <v>1</v>
      </c>
      <c r="AJ2970" t="s">
        <v>4892</v>
      </c>
      <c r="AK2970" t="s">
        <v>4841</v>
      </c>
      <c r="AL2970">
        <v>62240.83</v>
      </c>
      <c r="AM2970">
        <v>100321.12</v>
      </c>
      <c r="AN2970" s="10" cm="1">
        <f t="array" ref="AN2970">Lair(100000000/($AM2970-$AL2970))</f>
        <v>2625.2473249226641</v>
      </c>
      <c r="AO2970" s="10">
        <f t="shared" si="2293"/>
        <v>2626.0304215120213</v>
      </c>
      <c r="AP2970" s="12">
        <v>919000000</v>
      </c>
      <c r="AQ2970" s="3">
        <v>0.51600000000000001</v>
      </c>
      <c r="AR2970" s="3">
        <f t="shared" si="2294"/>
        <v>-9.9610096326605611</v>
      </c>
      <c r="AS2970" s="13">
        <f t="shared" si="2295"/>
        <v>16.626677921791543</v>
      </c>
      <c r="AT2970" s="3">
        <f t="shared" si="2296"/>
        <v>0.86509836002031326</v>
      </c>
      <c r="AU2970" s="13" cm="1">
        <f t="array" ref="AU2970">$C2970*EXP(poly_from_str(100000000/$E2970,AU$4343))</f>
        <v>16.519779294881001</v>
      </c>
      <c r="AV2970" s="13">
        <f t="shared" si="2297"/>
        <v>6.4501009460699813E-3</v>
      </c>
      <c r="AW2970" s="13"/>
      <c r="AX2970" s="13"/>
      <c r="AY2970" s="13"/>
    </row>
    <row r="2971" spans="1:51" x14ac:dyDescent="0.25">
      <c r="A2971" t="s">
        <v>3551</v>
      </c>
      <c r="B2971" s="2" t="str">
        <f t="shared" si="2259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2289"/>
        <v>e</v>
      </c>
      <c r="N2971" t="str">
        <f t="shared" si="2290"/>
        <v>7/2</v>
      </c>
      <c r="O2971">
        <v>60166.2</v>
      </c>
      <c r="P2971" t="str">
        <f t="shared" si="2291"/>
        <v>o</v>
      </c>
      <c r="Q2971" t="str">
        <f t="shared" si="2292"/>
        <v>9/2</v>
      </c>
      <c r="R2971">
        <v>28</v>
      </c>
      <c r="AA2971" s="10">
        <f t="shared" si="2260"/>
        <v>2624.9029999999998</v>
      </c>
      <c r="AB2971" s="3">
        <f t="shared" si="2261"/>
        <v>38085.279999999999</v>
      </c>
      <c r="AC2971" s="3" cm="1">
        <f t="array" ref="AC2971">100000000/LvacE(AA2971)</f>
        <v>38085.284945446838</v>
      </c>
      <c r="AD2971" s="10">
        <f t="shared" si="2262"/>
        <v>1.2254608064649787E-2</v>
      </c>
      <c r="AE2971" s="10" t="b">
        <f t="shared" si="2263"/>
        <v>1</v>
      </c>
      <c r="AJ2971" t="s">
        <v>4790</v>
      </c>
      <c r="AK2971" t="s">
        <v>4726</v>
      </c>
      <c r="AL2971">
        <v>22080.94</v>
      </c>
      <c r="AM2971">
        <v>60166.2</v>
      </c>
      <c r="AN2971" s="10" cm="1">
        <f t="array" ref="AN2971">Lair(100000000/($AM2971-$AL2971))</f>
        <v>2624.9047182801228</v>
      </c>
      <c r="AO2971" s="10">
        <f t="shared" si="2293"/>
        <v>2625.6877332595345</v>
      </c>
      <c r="AP2971" s="12">
        <v>228000000</v>
      </c>
      <c r="AQ2971" s="3">
        <v>0.44500000000000001</v>
      </c>
      <c r="AR2971" s="3">
        <f t="shared" si="2294"/>
        <v>-6.822340572768371</v>
      </c>
      <c r="AS2971" s="13">
        <f t="shared" si="2295"/>
        <v>83.989782980645018</v>
      </c>
      <c r="AT2971" s="3">
        <f t="shared" si="2296"/>
        <v>0.74181570614890779</v>
      </c>
      <c r="AU2971" s="13" cm="1">
        <f t="array" ref="AU2971">$C2971*EXP(poly_from_str(100000000/$E2971,AU$4343))</f>
        <v>94.577299079725492</v>
      </c>
      <c r="AV2971" s="13">
        <f t="shared" si="2297"/>
        <v>-0.1187223195534321</v>
      </c>
      <c r="AW2971" s="13"/>
      <c r="AX2971" s="13"/>
      <c r="AY2971" s="13"/>
    </row>
    <row r="2972" spans="1:51" x14ac:dyDescent="0.25">
      <c r="A2972" t="s">
        <v>3552</v>
      </c>
      <c r="B2972" s="2" t="str">
        <f t="shared" si="2259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2289"/>
        <v>o</v>
      </c>
      <c r="N2972" t="str">
        <f t="shared" si="2290"/>
        <v>5/2</v>
      </c>
      <c r="O2972">
        <v>101665.58</v>
      </c>
      <c r="P2972" t="str">
        <f t="shared" si="2291"/>
        <v>e</v>
      </c>
      <c r="Q2972" t="str">
        <f t="shared" si="2292"/>
        <v>5/2</v>
      </c>
      <c r="R2972">
        <v>28</v>
      </c>
      <c r="AA2972" s="10">
        <f t="shared" si="2260"/>
        <v>2624.6239999999998</v>
      </c>
      <c r="AB2972" s="3">
        <f t="shared" si="2261"/>
        <v>38089.33</v>
      </c>
      <c r="AC2972" s="3" cm="1">
        <f t="array" ref="AC2972">100000000/LvacE(AA2972)</f>
        <v>38089.333203687442</v>
      </c>
      <c r="AD2972" s="10">
        <f t="shared" si="2262"/>
        <v>1.2256150443584957E-2</v>
      </c>
      <c r="AE2972" s="10" t="b">
        <f t="shared" si="2263"/>
        <v>1</v>
      </c>
      <c r="AJ2972" t="s">
        <v>4843</v>
      </c>
      <c r="AK2972" t="s">
        <v>4946</v>
      </c>
      <c r="AL2972">
        <v>63576.27</v>
      </c>
      <c r="AM2972">
        <v>101665.58</v>
      </c>
      <c r="AN2972" s="10" cm="1">
        <f t="array" ref="AN2972">Lair(100000000/($AM2972-$AL2972))</f>
        <v>2624.6255978918734</v>
      </c>
      <c r="AO2972" s="10">
        <f t="shared" si="2293"/>
        <v>2625.4085463874244</v>
      </c>
      <c r="AP2972" s="12">
        <v>252000000</v>
      </c>
      <c r="AQ2972" s="3">
        <v>0.59699999999999998</v>
      </c>
      <c r="AR2972" s="3">
        <f t="shared" si="2294"/>
        <v>-10.609871618915227</v>
      </c>
      <c r="AS2972" s="13">
        <f t="shared" si="2295"/>
        <v>4.1226285080849125</v>
      </c>
      <c r="AT2972" s="3">
        <f t="shared" si="2296"/>
        <v>1.416490947333243</v>
      </c>
      <c r="AU2972" s="13" cm="1">
        <f t="array" ref="AU2972">$C2972*EXP(poly_from_str(100000000/$E2972,AU$4343))</f>
        <v>2.3680722485550647</v>
      </c>
      <c r="AV2972" s="13">
        <f t="shared" si="2297"/>
        <v>0.55441472040737816</v>
      </c>
      <c r="AW2972" s="13"/>
      <c r="AX2972" s="13"/>
      <c r="AY2972" s="13"/>
    </row>
    <row r="2973" spans="1:51" x14ac:dyDescent="0.25">
      <c r="A2973" t="s">
        <v>3553</v>
      </c>
      <c r="B2973" s="2" t="str">
        <f t="shared" si="2259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2260"/>
        <v>2624.0160000000001</v>
      </c>
      <c r="AB2973" s="3">
        <f t="shared" si="2261"/>
        <v>38098.160000000003</v>
      </c>
      <c r="AC2973" s="3" cm="1">
        <f t="array" ref="AC2973">100000000/LvacE(AA2973)</f>
        <v>38098.158196258424</v>
      </c>
      <c r="AD2973" s="10">
        <f t="shared" si="2262"/>
        <v>1.2259513317803401E-2</v>
      </c>
      <c r="AE2973" s="10" t="b">
        <f t="shared" si="2263"/>
        <v>1</v>
      </c>
      <c r="AP2973"/>
      <c r="AQ2973"/>
      <c r="AU2973" s="13" cm="1">
        <f t="array" ref="AU2973">$C2973*EXP(poly_from_str(100000000/$E2973,AU$4343))</f>
        <v>16.631940194887161</v>
      </c>
    </row>
    <row r="2974" spans="1:51" x14ac:dyDescent="0.25">
      <c r="A2974" t="s">
        <v>3554</v>
      </c>
      <c r="B2974" s="2" t="str">
        <f t="shared" si="2259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2298">$G2974&amp;""</f>
        <v>o</v>
      </c>
      <c r="N2974" t="str">
        <f t="shared" ref="N2974:N2977" si="2299">$H2974&amp;""</f>
        <v>11/2</v>
      </c>
      <c r="O2974">
        <v>102981.94</v>
      </c>
      <c r="P2974" t="str">
        <f t="shared" ref="P2974:P2977" si="2300">$J2974&amp;""</f>
        <v>e</v>
      </c>
      <c r="Q2974" t="str">
        <f t="shared" ref="Q2974:Q2977" si="2301">$K2974&amp;""</f>
        <v>13/2</v>
      </c>
      <c r="R2974">
        <v>29</v>
      </c>
      <c r="S2974" t="s">
        <v>6</v>
      </c>
      <c r="AA2974" s="10">
        <f t="shared" si="2260"/>
        <v>2622.7339999999999</v>
      </c>
      <c r="AB2974" s="3">
        <f t="shared" si="2261"/>
        <v>38116.78</v>
      </c>
      <c r="AC2974" s="3" cm="1">
        <f t="array" ref="AC2974">100000000/LvacE(AA2974)</f>
        <v>38116.779565363169</v>
      </c>
      <c r="AD2974" s="10">
        <f t="shared" si="2262"/>
        <v>1.2266611780943695E-2</v>
      </c>
      <c r="AE2974" s="10" t="b">
        <f t="shared" si="2263"/>
        <v>1</v>
      </c>
      <c r="AJ2974" t="s">
        <v>4896</v>
      </c>
      <c r="AK2974" t="s">
        <v>4846</v>
      </c>
      <c r="AL2974">
        <v>64865.15</v>
      </c>
      <c r="AM2974">
        <v>102981.94</v>
      </c>
      <c r="AN2974" s="10" cm="1">
        <f t="array" ref="AN2974">Lair(100000000/($AM2974-$AL2974))</f>
        <v>2622.7332808965484</v>
      </c>
      <c r="AO2974" s="10">
        <f t="shared" ref="AO2974:AO2977" si="2302">100000000/($AM2974-$AL2974)</f>
        <v>2623.515778742124</v>
      </c>
      <c r="AP2974" s="12">
        <v>318000000</v>
      </c>
      <c r="AQ2974" s="3">
        <v>0.24299999999999999</v>
      </c>
      <c r="AR2974" s="3">
        <f t="shared" ref="AR2974:AR2975" si="2303">LN(AU2974*100000000/($AM2974-$AL2974)/AP2974)</f>
        <v>-10.832903787605744</v>
      </c>
      <c r="AS2974" s="13">
        <f t="shared" ref="AS2974:AS2977" si="2304">EXP(AR$4341*$AM2974+AR$4342)*$AP2974/(100000000/($AM2974-$AL2974))</f>
        <v>4.7164004489104823</v>
      </c>
      <c r="AT2974" s="3">
        <f t="shared" ref="AT2974:AT2977" si="2305">LN(AS2974/$C2974)</f>
        <v>1.5510458919011252</v>
      </c>
      <c r="AU2974" s="13" cm="1">
        <f t="array" ref="AU2974">$C2974*EXP(poly_from_str(100000000/$E2974,AU$4343))</f>
        <v>2.3926165446210721</v>
      </c>
      <c r="AV2974" s="13">
        <f t="shared" ref="AV2974:AV2975" si="2306">LN(AS2974/AU2974)</f>
        <v>0.67865833625727101</v>
      </c>
      <c r="AW2974" s="13"/>
      <c r="AX2974" s="13"/>
      <c r="AY2974" s="13"/>
    </row>
    <row r="2975" spans="1:51" x14ac:dyDescent="0.25">
      <c r="A2975" t="s">
        <v>3555</v>
      </c>
      <c r="B2975" s="2" t="str">
        <f t="shared" si="2259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2298"/>
        <v>o</v>
      </c>
      <c r="N2975" t="str">
        <f t="shared" si="2299"/>
        <v>9/2</v>
      </c>
      <c r="O2975">
        <v>106665.07</v>
      </c>
      <c r="P2975" t="str">
        <f t="shared" si="2300"/>
        <v>e</v>
      </c>
      <c r="Q2975" t="str">
        <f t="shared" si="2301"/>
        <v>7/2</v>
      </c>
      <c r="R2975">
        <v>29</v>
      </c>
      <c r="S2975" t="s">
        <v>3556</v>
      </c>
      <c r="AA2975" s="10">
        <f t="shared" si="2260"/>
        <v>2622.4479999999999</v>
      </c>
      <c r="AB2975" s="3">
        <f t="shared" si="2261"/>
        <v>38120.94</v>
      </c>
      <c r="AC2975" s="3" cm="1">
        <f t="array" ref="AC2975">100000000/LvacE(AA2975)</f>
        <v>38120.936270141188</v>
      </c>
      <c r="AD2975" s="10">
        <f t="shared" si="2262"/>
        <v>1.2268196789820274E-2</v>
      </c>
      <c r="AE2975" s="10" t="b">
        <f t="shared" si="2263"/>
        <v>1</v>
      </c>
      <c r="AJ2975" t="s">
        <v>4901</v>
      </c>
      <c r="AK2975" t="s">
        <v>4958</v>
      </c>
      <c r="AL2975">
        <v>68544.19</v>
      </c>
      <c r="AM2975">
        <v>106665.07</v>
      </c>
      <c r="AN2975" s="10" cm="1">
        <f t="array" ref="AN2975">Lair(100000000/($AM2975-$AL2975))</f>
        <v>2622.451870151348</v>
      </c>
      <c r="AO2975" s="10">
        <f t="shared" si="2302"/>
        <v>2623.2343009920019</v>
      </c>
      <c r="AP2975" s="12">
        <v>1140000000</v>
      </c>
      <c r="AQ2975" s="3">
        <v>0.83</v>
      </c>
      <c r="AR2975" s="3">
        <f t="shared" si="2303"/>
        <v>-10.498759927996705</v>
      </c>
      <c r="AS2975" s="13">
        <f t="shared" si="2304"/>
        <v>12.82605147200808</v>
      </c>
      <c r="AT2975" s="3">
        <f t="shared" si="2305"/>
        <v>0.94204046138354214</v>
      </c>
      <c r="AU2975" s="13" cm="1">
        <f t="array" ref="AU2975">$C2975*EXP(poly_from_str(100000000/$E2975,AU$4343))</f>
        <v>11.9815847858235</v>
      </c>
      <c r="AV2975" s="13">
        <f t="shared" si="2306"/>
        <v>6.8107503917460691E-2</v>
      </c>
      <c r="AW2975" s="13"/>
      <c r="AX2975" s="13"/>
      <c r="AY2975" s="13"/>
    </row>
    <row r="2976" spans="1:51" x14ac:dyDescent="0.25">
      <c r="A2976" t="s">
        <v>3557</v>
      </c>
      <c r="B2976" s="2" t="str">
        <f t="shared" si="2259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2298"/>
        <v>e</v>
      </c>
      <c r="N2976" t="str">
        <f t="shared" si="2299"/>
        <v>5/2</v>
      </c>
      <c r="O2976">
        <v>67395.320000000007</v>
      </c>
      <c r="P2976" t="str">
        <f t="shared" si="2300"/>
        <v>o</v>
      </c>
      <c r="Q2976" t="str">
        <f t="shared" si="2301"/>
        <v>5/2</v>
      </c>
      <c r="R2976">
        <v>29</v>
      </c>
      <c r="AA2976" s="10">
        <f t="shared" si="2260"/>
        <v>2621.9989999999998</v>
      </c>
      <c r="AB2976" s="3">
        <f t="shared" si="2261"/>
        <v>38127.46</v>
      </c>
      <c r="AC2976" s="3" cm="1">
        <f t="array" ref="AC2976">100000000/LvacE(AA2976)</f>
        <v>38127.463835054783</v>
      </c>
      <c r="AD2976" s="10">
        <f t="shared" si="2262"/>
        <v>1.2270686189250032E-2</v>
      </c>
      <c r="AE2976" s="10" t="b">
        <f t="shared" si="2263"/>
        <v>1</v>
      </c>
      <c r="AJ2976" t="s">
        <v>4700</v>
      </c>
      <c r="AK2976" t="s">
        <v>4894</v>
      </c>
      <c r="AL2976">
        <v>29267.86</v>
      </c>
      <c r="AM2976">
        <v>67395.320000000007</v>
      </c>
      <c r="AN2976" s="10" cm="1">
        <f t="array" ref="AN2976">Lair(100000000/($AM2976-$AL2976))</f>
        <v>2621.9992626853814</v>
      </c>
      <c r="AO2976" s="10">
        <f t="shared" si="2302"/>
        <v>2622.7815857652199</v>
      </c>
      <c r="AP2976" s="12">
        <v>7230000</v>
      </c>
      <c r="AQ2976" s="3">
        <v>2.8000000000000001E-2</v>
      </c>
      <c r="AR2976" s="3"/>
      <c r="AS2976" s="13">
        <f t="shared" si="2304"/>
        <v>1.5498745024128349</v>
      </c>
      <c r="AT2976" s="3"/>
      <c r="AU2976" s="13" cm="1">
        <f t="array" ref="AU2976">$C2976*EXP(poly_from_str(100000000/$E2976,AU$4343))</f>
        <v>4.8042127120561631</v>
      </c>
      <c r="AV2976" s="13"/>
      <c r="AW2976" s="13"/>
      <c r="AX2976" s="13"/>
      <c r="AY2976" s="13"/>
    </row>
    <row r="2977" spans="1:51" x14ac:dyDescent="0.25">
      <c r="A2977" t="s">
        <v>3558</v>
      </c>
      <c r="B2977" s="2" t="str">
        <f t="shared" si="2259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2298"/>
        <v>e</v>
      </c>
      <c r="N2977" t="str">
        <f t="shared" si="2299"/>
        <v>9/2</v>
      </c>
      <c r="O2977">
        <v>66852.87</v>
      </c>
      <c r="P2977" t="str">
        <f t="shared" si="2300"/>
        <v>o</v>
      </c>
      <c r="Q2977" t="str">
        <f t="shared" si="2301"/>
        <v>7/2</v>
      </c>
      <c r="R2977">
        <v>29</v>
      </c>
      <c r="AA2977" s="10">
        <f t="shared" si="2260"/>
        <v>2621.6709999999998</v>
      </c>
      <c r="AB2977" s="3">
        <f t="shared" si="2261"/>
        <v>38132.230000000003</v>
      </c>
      <c r="AC2977" s="3" cm="1">
        <f t="array" ref="AC2977">100000000/LvacE(AA2977)</f>
        <v>38132.233714281771</v>
      </c>
      <c r="AD2977" s="10">
        <f t="shared" si="2262"/>
        <v>1.2272505534501044E-2</v>
      </c>
      <c r="AE2977" s="10" t="b">
        <f t="shared" si="2263"/>
        <v>1</v>
      </c>
      <c r="AJ2977" t="s">
        <v>4708</v>
      </c>
      <c r="AK2977" t="s">
        <v>4830</v>
      </c>
      <c r="AL2977">
        <v>28720.71</v>
      </c>
      <c r="AM2977">
        <v>66852.87</v>
      </c>
      <c r="AN2977" s="10" cm="1">
        <f t="array" ref="AN2977">Lair(100000000/($AM2977-$AL2977))</f>
        <v>2621.6760672670189</v>
      </c>
      <c r="AO2977" s="10">
        <f t="shared" si="2302"/>
        <v>2622.4583134026502</v>
      </c>
      <c r="AP2977" s="12">
        <v>76600000</v>
      </c>
      <c r="AQ2977" s="3">
        <v>0.22600000000000001</v>
      </c>
      <c r="AR2977" s="3">
        <f>LN(AU2977*100000000/($AM2977-$AL2977)/AP2977)</f>
        <v>-7.7946979062207076</v>
      </c>
      <c r="AS2977" s="13">
        <f t="shared" si="2304"/>
        <v>17.104889872386877</v>
      </c>
      <c r="AT2977" s="3">
        <f t="shared" si="2305"/>
        <v>1.229926467646</v>
      </c>
      <c r="AU2977" s="13" cm="1">
        <f t="array" ref="AU2977">$C2977*EXP(poly_from_str(100000000/$E2977,AU$4343))</f>
        <v>12.031669327714349</v>
      </c>
      <c r="AV2977" s="13">
        <f>LN(AS2977/AU2977)</f>
        <v>0.35182209598678071</v>
      </c>
      <c r="AW2977" s="13"/>
      <c r="AX2977" s="13"/>
      <c r="AY2977" s="13"/>
    </row>
    <row r="2978" spans="1:51" x14ac:dyDescent="0.25">
      <c r="A2978" t="s">
        <v>3559</v>
      </c>
      <c r="B2978" s="2" t="str">
        <f t="shared" si="2259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2260"/>
        <v>2621.181</v>
      </c>
      <c r="AB2978" s="3">
        <f t="shared" si="2261"/>
        <v>38139.360000000001</v>
      </c>
      <c r="AC2978" s="3" cm="1">
        <f t="array" ref="AC2978">100000000/LvacE(AA2978)</f>
        <v>38139.361671991166</v>
      </c>
      <c r="AD2978" s="10">
        <f t="shared" si="2262"/>
        <v>1.22752247311405E-2</v>
      </c>
      <c r="AE2978" s="10" t="b">
        <f t="shared" si="2263"/>
        <v>1</v>
      </c>
      <c r="AP2978"/>
      <c r="AQ2978"/>
      <c r="AU2978" s="13" cm="1">
        <f t="array" ref="AU2978">$C2978*EXP(poly_from_str(100000000/$E2978,AU$4343))</f>
        <v>2.4126403326597159</v>
      </c>
    </row>
    <row r="2979" spans="1:51" x14ac:dyDescent="0.25">
      <c r="A2979" t="s">
        <v>3560</v>
      </c>
      <c r="B2979" s="2" t="str">
        <f t="shared" si="2259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2260"/>
        <v>2620.2869999999998</v>
      </c>
      <c r="AB2979" s="3">
        <f t="shared" si="2261"/>
        <v>38152.370000000003</v>
      </c>
      <c r="AC2979" s="3" cm="1">
        <f t="array" ref="AC2979">100000000/LvacE(AA2979)</f>
        <v>38152.373426324673</v>
      </c>
      <c r="AD2979" s="10">
        <f t="shared" si="2262"/>
        <v>1.2280189808659256E-2</v>
      </c>
      <c r="AE2979" s="10" t="b">
        <f t="shared" si="2263"/>
        <v>1</v>
      </c>
      <c r="AP2979"/>
      <c r="AQ2979"/>
      <c r="AU2979" s="13" cm="1">
        <f t="array" ref="AU2979">$C2979*EXP(poly_from_str(100000000/$E2979,AU$4343))</f>
        <v>4.8482167431800276</v>
      </c>
    </row>
    <row r="2980" spans="1:51" x14ac:dyDescent="0.25">
      <c r="A2980" t="s">
        <v>3561</v>
      </c>
      <c r="B2980" s="2" t="str">
        <f t="shared" si="2259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2307">$G2980&amp;""</f>
        <v>e</v>
      </c>
      <c r="N2980" t="str">
        <f t="shared" ref="N2980:N2984" si="2308">$H2980&amp;""</f>
        <v>7/2</v>
      </c>
      <c r="O2980">
        <v>65295.9</v>
      </c>
      <c r="P2980" t="str">
        <f t="shared" ref="P2980:P2984" si="2309">$J2980&amp;""</f>
        <v>o</v>
      </c>
      <c r="Q2980" t="str">
        <f t="shared" ref="Q2980:Q2984" si="2310">$K2980&amp;""</f>
        <v>7/2</v>
      </c>
      <c r="R2980">
        <v>29</v>
      </c>
      <c r="AA2980" s="10">
        <f t="shared" si="2260"/>
        <v>2619.9450000000002</v>
      </c>
      <c r="AB2980" s="3">
        <f t="shared" si="2261"/>
        <v>38157.35</v>
      </c>
      <c r="AC2980" s="3" cm="1">
        <f t="array" ref="AC2980">100000000/LvacE(AA2980)</f>
        <v>38157.353425330082</v>
      </c>
      <c r="AD2980" s="10">
        <f t="shared" si="2262"/>
        <v>1.2282090544902676E-2</v>
      </c>
      <c r="AE2980" s="10" t="b">
        <f t="shared" si="2263"/>
        <v>1</v>
      </c>
      <c r="AJ2980" t="s">
        <v>4723</v>
      </c>
      <c r="AK2980" t="s">
        <v>4825</v>
      </c>
      <c r="AL2980">
        <v>27138.55</v>
      </c>
      <c r="AM2980">
        <v>65295.9</v>
      </c>
      <c r="AN2980" s="10" cm="1">
        <f t="array" ref="AN2980">Lair(100000000/($AM2980-$AL2980))</f>
        <v>2619.9452341685969</v>
      </c>
      <c r="AO2980" s="10">
        <f t="shared" ref="AO2980:AO2984" si="2311">100000000/($AM2980-$AL2980)</f>
        <v>2620.7270683105612</v>
      </c>
      <c r="AP2980" s="12">
        <v>9640000</v>
      </c>
      <c r="AQ2980" s="3">
        <v>3.3000000000000002E-2</v>
      </c>
      <c r="AR2980" s="3"/>
      <c r="AS2980" s="13">
        <f t="shared" ref="AS2980:AS2982" si="2312">EXP(AR$4341*$AM2980+AR$4342)*$AP2980/(100000000/($AM2980-$AL2980))</f>
        <v>2.4210330877599557</v>
      </c>
      <c r="AT2980" s="3"/>
      <c r="AU2980" s="13" cm="1">
        <f t="array" ref="AU2980">$C2980*EXP(poly_from_str(100000000/$E2980,AU$4343))</f>
        <v>2.4284846267925992</v>
      </c>
      <c r="AV2980" s="13"/>
      <c r="AW2980" s="13"/>
      <c r="AX2980" s="13"/>
      <c r="AY2980" s="13"/>
    </row>
    <row r="2981" spans="1:51" x14ac:dyDescent="0.25">
      <c r="A2981" t="s">
        <v>3562</v>
      </c>
      <c r="B2981" s="2" t="str">
        <f t="shared" si="2259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2307"/>
        <v>o</v>
      </c>
      <c r="N2981" t="str">
        <f t="shared" si="2308"/>
        <v>9/2</v>
      </c>
      <c r="O2981">
        <v>107299.07</v>
      </c>
      <c r="P2981" t="str">
        <f t="shared" si="2309"/>
        <v>e</v>
      </c>
      <c r="Q2981" t="str">
        <f t="shared" si="2310"/>
        <v>7/2</v>
      </c>
      <c r="R2981">
        <v>29</v>
      </c>
      <c r="AA2981" s="10">
        <f t="shared" si="2260"/>
        <v>2619.7060000000001</v>
      </c>
      <c r="AB2981" s="3">
        <f t="shared" si="2261"/>
        <v>38160.83</v>
      </c>
      <c r="AC2981" s="3" cm="1">
        <f t="array" ref="AC2981">100000000/LvacE(AA2981)</f>
        <v>38160.834371821475</v>
      </c>
      <c r="AD2981" s="10">
        <f t="shared" si="2262"/>
        <v>1.2283419279075872E-2</v>
      </c>
      <c r="AE2981" s="10" t="b">
        <f t="shared" si="2263"/>
        <v>1</v>
      </c>
      <c r="AJ2981" t="s">
        <v>4879</v>
      </c>
      <c r="AK2981" t="s">
        <v>4891</v>
      </c>
      <c r="AL2981">
        <v>69138.28</v>
      </c>
      <c r="AM2981">
        <v>107299.07</v>
      </c>
      <c r="AN2981" s="10" cm="1">
        <f t="array" ref="AN2981">Lair(100000000/($AM2981-$AL2981))</f>
        <v>2619.7090452413599</v>
      </c>
      <c r="AO2981" s="10">
        <f t="shared" si="2311"/>
        <v>2620.4908231721611</v>
      </c>
      <c r="AP2981" s="12">
        <v>850000000</v>
      </c>
      <c r="AQ2981" s="3">
        <v>0.80100000000000005</v>
      </c>
      <c r="AR2981" s="3">
        <f>LN(AU2981*100000000/($AM2981-$AL2981)/AP2981)</f>
        <v>-10.702493612010342</v>
      </c>
      <c r="AS2981" s="13">
        <f t="shared" si="2312"/>
        <v>9.128468358239175</v>
      </c>
      <c r="AT2981" s="3">
        <f t="shared" ref="AT2981" si="2313">LN(AS2981/$C2981)</f>
        <v>1.1127856326366079</v>
      </c>
      <c r="AU2981" s="13" cm="1">
        <f t="array" ref="AU2981">$C2981*EXP(poly_from_str(100000000/$E2981,AU$4343))</f>
        <v>7.2946148134896482</v>
      </c>
      <c r="AV2981" s="13">
        <f>LN(AS2981/AU2981)</f>
        <v>0.22426154216477481</v>
      </c>
      <c r="AW2981" s="13"/>
      <c r="AX2981" s="13"/>
      <c r="AY2981" s="13"/>
    </row>
    <row r="2982" spans="1:51" x14ac:dyDescent="0.25">
      <c r="A2982" t="s">
        <v>3563</v>
      </c>
      <c r="B2982" s="2" t="str">
        <f t="shared" si="2259"/>
        <v/>
      </c>
      <c r="C2982">
        <v>1</v>
      </c>
      <c r="D2982" t="s">
        <v>1156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2307"/>
        <v>e</v>
      </c>
      <c r="N2982" t="str">
        <f t="shared" si="2308"/>
        <v>9/2</v>
      </c>
      <c r="O2982">
        <v>67049.179999999993</v>
      </c>
      <c r="P2982" t="str">
        <f t="shared" si="2309"/>
        <v>o</v>
      </c>
      <c r="Q2982" t="str">
        <f t="shared" si="2310"/>
        <v>9/2</v>
      </c>
      <c r="R2982">
        <v>29</v>
      </c>
      <c r="AA2982" s="10">
        <f t="shared" si="2260"/>
        <v>2619.4470000000001</v>
      </c>
      <c r="AB2982" s="3">
        <f t="shared" si="2261"/>
        <v>38164.61</v>
      </c>
      <c r="AC2982" s="3" cm="1">
        <f t="array" ref="AC2982">100000000/LvacE(AA2982)</f>
        <v>38164.607327989776</v>
      </c>
      <c r="AD2982" s="10">
        <f t="shared" si="2262"/>
        <v>1.2284859615023663E-2</v>
      </c>
      <c r="AE2982" s="10" t="b">
        <f t="shared" si="2263"/>
        <v>1</v>
      </c>
      <c r="AJ2982" t="s">
        <v>4742</v>
      </c>
      <c r="AK2982" t="s">
        <v>4862</v>
      </c>
      <c r="AL2982">
        <v>28885.14</v>
      </c>
      <c r="AM2982">
        <v>67049.179999999993</v>
      </c>
      <c r="AN2982" s="10" cm="1">
        <f t="array" ref="AN2982">Lair(100000000/($AM2982-$AL2982))</f>
        <v>2619.4859407468743</v>
      </c>
      <c r="AO2982" s="10">
        <f t="shared" si="2311"/>
        <v>2620.2676655825749</v>
      </c>
      <c r="AP2982" s="12">
        <v>8890000</v>
      </c>
      <c r="AQ2982" s="3">
        <v>0.01</v>
      </c>
      <c r="AR2982" s="3"/>
      <c r="AS2982" s="13">
        <f t="shared" si="2312"/>
        <v>1.9577534440796702</v>
      </c>
      <c r="AT2982" s="3"/>
      <c r="AU2982" s="13" cm="1">
        <f t="array" ref="AU2982">$C2982*EXP(poly_from_str(100000000/$E2982,AU$4343))</f>
        <v>2.4348509901342728</v>
      </c>
      <c r="AV2982" s="13"/>
      <c r="AW2982" s="13"/>
      <c r="AX2982" s="13"/>
      <c r="AY2982" s="13"/>
    </row>
    <row r="2983" spans="1:51" x14ac:dyDescent="0.25">
      <c r="A2983" t="s">
        <v>3564</v>
      </c>
      <c r="B2983" s="2" t="str">
        <f t="shared" si="2259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2307"/>
        <v>o</v>
      </c>
      <c r="N2983" t="str">
        <f t="shared" si="2308"/>
        <v>13/2</v>
      </c>
      <c r="O2983">
        <v>104904.55</v>
      </c>
      <c r="P2983" t="str">
        <f t="shared" si="2309"/>
        <v>e</v>
      </c>
      <c r="Q2983" t="str">
        <f t="shared" si="2310"/>
        <v>11/2</v>
      </c>
      <c r="R2983">
        <v>29</v>
      </c>
      <c r="AA2983" s="10">
        <f t="shared" si="2260"/>
        <v>2619.1619999999998</v>
      </c>
      <c r="AB2983" s="3">
        <f t="shared" si="2261"/>
        <v>38168.76</v>
      </c>
      <c r="AC2983" s="3" cm="1">
        <f t="array" ref="AC2983">100000000/LvacE(AA2983)</f>
        <v>38168.759898726938</v>
      </c>
      <c r="AD2983" s="10">
        <f t="shared" si="2262"/>
        <v>1.2286445034466548E-2</v>
      </c>
      <c r="AE2983" s="10" t="b">
        <f t="shared" si="2263"/>
        <v>1</v>
      </c>
      <c r="AJ2983" t="s">
        <v>4909</v>
      </c>
      <c r="AK2983" t="s">
        <v>4853</v>
      </c>
      <c r="AL2983">
        <v>66735.88</v>
      </c>
      <c r="AM2983">
        <v>104904.55</v>
      </c>
      <c r="AN2983" s="10" cm="1">
        <f t="array" ref="AN2983">Lair(100000000/($AM2983-$AL2983))</f>
        <v>2619.1681682665076</v>
      </c>
      <c r="AO2983" s="10">
        <f t="shared" si="2311"/>
        <v>2619.9498174811961</v>
      </c>
      <c r="AU2983" s="13" cm="1">
        <f t="array" ref="AU2983">$C2983*EXP(poly_from_str(100000000/$E2983,AU$4343))</f>
        <v>2.4384829555569536</v>
      </c>
    </row>
    <row r="2984" spans="1:51" x14ac:dyDescent="0.25">
      <c r="A2984" t="s">
        <v>3565</v>
      </c>
      <c r="B2984" s="2" t="str">
        <f t="shared" si="2259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2307"/>
        <v>o</v>
      </c>
      <c r="N2984" t="str">
        <f t="shared" si="2308"/>
        <v>7/2</v>
      </c>
      <c r="O2984">
        <v>106665.07</v>
      </c>
      <c r="P2984" t="str">
        <f t="shared" si="2309"/>
        <v>e</v>
      </c>
      <c r="Q2984" t="str">
        <f t="shared" si="2310"/>
        <v>7/2</v>
      </c>
      <c r="R2984">
        <v>29</v>
      </c>
      <c r="AA2984" s="10">
        <f t="shared" si="2260"/>
        <v>2618.8910000000001</v>
      </c>
      <c r="AB2984" s="3">
        <f t="shared" si="2261"/>
        <v>38172.71</v>
      </c>
      <c r="AC2984" s="3" cm="1">
        <f t="array" ref="AC2984">100000000/LvacE(AA2984)</f>
        <v>38172.70932173686</v>
      </c>
      <c r="AD2984" s="10">
        <f t="shared" si="2262"/>
        <v>1.2287953053742378E-2</v>
      </c>
      <c r="AE2984" s="10" t="b">
        <f t="shared" si="2263"/>
        <v>1</v>
      </c>
      <c r="AJ2984" t="s">
        <v>4831</v>
      </c>
      <c r="AK2984" t="s">
        <v>4958</v>
      </c>
      <c r="AL2984">
        <v>68492.429999999993</v>
      </c>
      <c r="AM2984">
        <v>106665.07</v>
      </c>
      <c r="AN2984" s="10" cm="1">
        <f t="array" ref="AN2984">Lair(100000000/($AM2984-$AL2984))</f>
        <v>2618.8957551902377</v>
      </c>
      <c r="AO2984" s="10">
        <f t="shared" si="2311"/>
        <v>2619.6773395814375</v>
      </c>
      <c r="AP2984" s="12">
        <v>353000000</v>
      </c>
      <c r="AQ2984" s="3">
        <v>0.375</v>
      </c>
      <c r="AR2984" s="3">
        <f>LN(AU2984*100000000/($AM2984-$AL2984)/AP2984)</f>
        <v>-10.225234240845303</v>
      </c>
      <c r="AS2984" s="13">
        <f>EXP(AR$4341*$AM2984+AR$4342)*$AP2984/(100000000/($AM2984-$AL2984))</f>
        <v>3.9769681374101165</v>
      </c>
      <c r="AT2984" s="3">
        <f>LN(AS2984/$C2984)</f>
        <v>0.68737257391868312</v>
      </c>
      <c r="AU2984" s="13" cm="1">
        <f t="array" ref="AU2984">$C2984*EXP(poly_from_str(100000000/$E2984,AU$4343))</f>
        <v>4.8838699968009776</v>
      </c>
      <c r="AV2984" s="13">
        <f>LN(AS2984/AU2984)</f>
        <v>-0.20541818323394165</v>
      </c>
      <c r="AW2984" s="13"/>
      <c r="AX2984" s="13"/>
      <c r="AY2984" s="13"/>
    </row>
    <row r="2985" spans="1:51" x14ac:dyDescent="0.25">
      <c r="A2985" t="s">
        <v>3566</v>
      </c>
      <c r="B2985" s="2" t="str">
        <f t="shared" si="2259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2260"/>
        <v>2618.7809999999999</v>
      </c>
      <c r="AB2985" s="3">
        <f t="shared" si="2261"/>
        <v>38174.31</v>
      </c>
      <c r="AC2985" s="3" cm="1">
        <f t="array" ref="AC2985">100000000/LvacE(AA2985)</f>
        <v>38174.312641770164</v>
      </c>
      <c r="AD2985" s="10">
        <f t="shared" si="2262"/>
        <v>1.2288565298467143E-2</v>
      </c>
      <c r="AE2985" s="10" t="b">
        <f t="shared" si="2263"/>
        <v>1</v>
      </c>
      <c r="AP2985"/>
      <c r="AQ2985"/>
      <c r="AU2985" s="13" cm="1">
        <f t="array" ref="AU2985">$C2985*EXP(poly_from_str(100000000/$E2985,AU$4343))</f>
        <v>4.886663869279837</v>
      </c>
    </row>
    <row r="2986" spans="1:51" x14ac:dyDescent="0.25">
      <c r="A2986" t="s">
        <v>3567</v>
      </c>
      <c r="B2986" s="2" t="str">
        <f t="shared" si="2259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2260"/>
        <v>2618.433</v>
      </c>
      <c r="AB2986" s="3">
        <f t="shared" si="2261"/>
        <v>38179.39</v>
      </c>
      <c r="AC2986" s="3" cm="1">
        <f t="array" ref="AC2986">100000000/LvacE(AA2986)</f>
        <v>38179.385850448292</v>
      </c>
      <c r="AD2986" s="10">
        <f t="shared" si="2262"/>
        <v>1.229050272633447E-2</v>
      </c>
      <c r="AE2986" s="10" t="b">
        <f t="shared" si="2263"/>
        <v>1</v>
      </c>
      <c r="AP2986"/>
      <c r="AQ2986"/>
      <c r="AU2986" s="13" cm="1">
        <f t="array" ref="AU2986">$C2986*EXP(poly_from_str(100000000/$E2986,AU$4343))</f>
        <v>2.447761999390857</v>
      </c>
    </row>
    <row r="2987" spans="1:51" x14ac:dyDescent="0.25">
      <c r="A2987" t="s">
        <v>3568</v>
      </c>
      <c r="B2987" s="2" t="str">
        <f t="shared" si="2259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2314">$G2987&amp;""</f>
        <v>e</v>
      </c>
      <c r="N2987" t="str">
        <f t="shared" ref="N2987:N2988" si="2315">$H2987&amp;""</f>
        <v>7/2</v>
      </c>
      <c r="O2987">
        <v>63593.35</v>
      </c>
      <c r="P2987" t="str">
        <f t="shared" ref="P2987:P2988" si="2316">$J2987&amp;""</f>
        <v>o</v>
      </c>
      <c r="Q2987" t="str">
        <f t="shared" ref="Q2987:Q2988" si="2317">$K2987&amp;""</f>
        <v>9/2</v>
      </c>
      <c r="R2987">
        <v>29</v>
      </c>
      <c r="AA2987" s="10">
        <f t="shared" si="2260"/>
        <v>2618.143</v>
      </c>
      <c r="AB2987" s="3">
        <f t="shared" si="2261"/>
        <v>38183.61</v>
      </c>
      <c r="AC2987" s="3" cm="1">
        <f t="array" ref="AC2987">100000000/LvacE(AA2987)</f>
        <v>38183.614554446991</v>
      </c>
      <c r="AD2987" s="10">
        <f t="shared" si="2262"/>
        <v>1.2292117839714446E-2</v>
      </c>
      <c r="AE2987" s="10" t="b">
        <f t="shared" si="2263"/>
        <v>1</v>
      </c>
      <c r="AJ2987" t="s">
        <v>4720</v>
      </c>
      <c r="AK2987" t="s">
        <v>4840</v>
      </c>
      <c r="AL2987">
        <v>25409.74</v>
      </c>
      <c r="AM2987">
        <v>63593.35</v>
      </c>
      <c r="AN2987" s="10" cm="1">
        <f t="array" ref="AN2987">Lair(100000000/($AM2987-$AL2987))</f>
        <v>2618.1433112969494</v>
      </c>
      <c r="AO2987" s="10">
        <f t="shared" ref="AO2987:AO2988" si="2318">100000000/($AM2987-$AL2987)</f>
        <v>2618.9247166519876</v>
      </c>
      <c r="AP2987" s="12">
        <v>29600000</v>
      </c>
      <c r="AQ2987" s="3">
        <v>0.15</v>
      </c>
      <c r="AR2987" s="3">
        <f t="shared" ref="AR2987:AR2988" si="2319">LN(AU2987*100000000/($AM2987-$AL2987)/AP2987)</f>
        <v>-6.6443323532079557</v>
      </c>
      <c r="AS2987" s="13">
        <f t="shared" ref="AS2987:AS2988" si="2320">EXP(AR$4341*$AM2987+AR$4342)*$AP2987/(100000000/($AM2987-$AL2987))</f>
        <v>8.452873348543374</v>
      </c>
      <c r="AT2987" s="3">
        <f t="shared" ref="AT2987:AT2988" si="2321">LN(AS2987/$C2987)</f>
        <v>0.34274695558784174</v>
      </c>
      <c r="AU2987" s="13" cm="1">
        <f t="array" ref="AU2987">$C2987*EXP(poly_from_str(100000000/$E2987,AU$4343))</f>
        <v>14.708616331450855</v>
      </c>
      <c r="AV2987" s="13">
        <f t="shared" ref="AV2987:AV2988" si="2322">LN(AS2987/AU2987)</f>
        <v>-0.55392704224956923</v>
      </c>
      <c r="AW2987" s="13"/>
      <c r="AX2987" s="13"/>
      <c r="AY2987" s="13"/>
    </row>
    <row r="2988" spans="1:51" x14ac:dyDescent="0.25">
      <c r="A2988" t="s">
        <v>3569</v>
      </c>
      <c r="B2988" s="2" t="str">
        <f t="shared" si="2259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2314"/>
        <v>o</v>
      </c>
      <c r="N2988" t="str">
        <f t="shared" si="2315"/>
        <v>11/2</v>
      </c>
      <c r="O2988">
        <v>100430.29</v>
      </c>
      <c r="P2988" t="str">
        <f t="shared" si="2316"/>
        <v>e</v>
      </c>
      <c r="Q2988" t="str">
        <f t="shared" si="2317"/>
        <v>9/2</v>
      </c>
      <c r="R2988">
        <v>29</v>
      </c>
      <c r="AA2988" s="10">
        <f t="shared" si="2260"/>
        <v>2617.7399999999998</v>
      </c>
      <c r="AB2988" s="3">
        <f t="shared" si="2261"/>
        <v>38189.49</v>
      </c>
      <c r="AC2988" s="3" cm="1">
        <f t="array" ref="AC2988">100000000/LvacE(AA2988)</f>
        <v>38189.492550337571</v>
      </c>
      <c r="AD2988" s="10">
        <f t="shared" si="2262"/>
        <v>1.2294363181663874E-2</v>
      </c>
      <c r="AE2988" s="10" t="b">
        <f t="shared" si="2263"/>
        <v>1</v>
      </c>
      <c r="AJ2988" t="s">
        <v>4892</v>
      </c>
      <c r="AK2988" t="s">
        <v>4732</v>
      </c>
      <c r="AL2988">
        <v>62240.83</v>
      </c>
      <c r="AM2988">
        <v>100430.29</v>
      </c>
      <c r="AN2988" s="10" cm="1">
        <f t="array" ref="AN2988">Lair(100000000/($AM2988-$AL2988))</f>
        <v>2617.7422303334001</v>
      </c>
      <c r="AO2988" s="10">
        <f t="shared" si="2318"/>
        <v>2618.523540264775</v>
      </c>
      <c r="AP2988" s="12">
        <v>370000000</v>
      </c>
      <c r="AQ2988" s="3">
        <v>0.40100000000000002</v>
      </c>
      <c r="AR2988" s="3">
        <f t="shared" si="2319"/>
        <v>-9.8612789956252698</v>
      </c>
      <c r="AS2988" s="13">
        <f t="shared" si="2320"/>
        <v>6.6585069214579189</v>
      </c>
      <c r="AT2988" s="3">
        <f t="shared" si="2321"/>
        <v>0.79728298478347825</v>
      </c>
      <c r="AU2988" s="13" cm="1">
        <f t="array" ref="AU2988">$C2988*EXP(poly_from_str(100000000/$E2988,AU$4343))</f>
        <v>7.369638570178167</v>
      </c>
      <c r="AV2988" s="13">
        <f t="shared" si="2322"/>
        <v>-0.10147339086573537</v>
      </c>
      <c r="AW2988" s="13"/>
      <c r="AX2988" s="13"/>
      <c r="AY2988" s="13"/>
    </row>
    <row r="2989" spans="1:51" x14ac:dyDescent="0.25">
      <c r="A2989" t="s">
        <v>3570</v>
      </c>
      <c r="B2989" s="2" t="str">
        <f t="shared" si="2259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2260"/>
        <v>2617.4949999999999</v>
      </c>
      <c r="AB2989" s="3">
        <f t="shared" si="2261"/>
        <v>38193.07</v>
      </c>
      <c r="AC2989" s="3" cm="1">
        <f t="array" ref="AC2989">100000000/LvacE(AA2989)</f>
        <v>38193.066906350439</v>
      </c>
      <c r="AD2989" s="10">
        <f t="shared" si="2262"/>
        <v>1.2295728722757911E-2</v>
      </c>
      <c r="AE2989" s="10" t="b">
        <f t="shared" si="2263"/>
        <v>1</v>
      </c>
      <c r="AP2989"/>
      <c r="AQ2989"/>
      <c r="AU2989" s="13" cm="1">
        <f t="array" ref="AU2989">$C2989*EXP(poly_from_str(100000000/$E2989,AU$4343))</f>
        <v>19.677217763912701</v>
      </c>
    </row>
    <row r="2990" spans="1:51" x14ac:dyDescent="0.25">
      <c r="A2990" t="s">
        <v>3571</v>
      </c>
      <c r="B2990" s="2" t="str">
        <f t="shared" si="2259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2260"/>
        <v>2616.902</v>
      </c>
      <c r="AB2990" s="3">
        <f t="shared" si="2261"/>
        <v>38201.72</v>
      </c>
      <c r="AC2990" s="3" cm="1">
        <f t="array" ref="AC2990">100000000/LvacE(AA2990)</f>
        <v>38201.721076910653</v>
      </c>
      <c r="AD2990" s="10">
        <f t="shared" si="2262"/>
        <v>1.2299035477238096E-2</v>
      </c>
      <c r="AE2990" s="10" t="b">
        <f t="shared" si="2263"/>
        <v>1</v>
      </c>
      <c r="AP2990"/>
      <c r="AQ2990"/>
      <c r="AU2990" s="13" cm="1">
        <f t="array" ref="AU2990">$C2990*EXP(poly_from_str(100000000/$E2990,AU$4343))</f>
        <v>9.8685623106958342</v>
      </c>
    </row>
    <row r="2991" spans="1:51" x14ac:dyDescent="0.25">
      <c r="A2991" t="s">
        <v>3572</v>
      </c>
      <c r="B2991" s="2" t="str">
        <f t="shared" si="2259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2260"/>
        <v>2616.799</v>
      </c>
      <c r="AB2991" s="3">
        <f t="shared" si="2261"/>
        <v>38203.22</v>
      </c>
      <c r="AC2991" s="3" cm="1">
        <f t="array" ref="AC2991">100000000/LvacE(AA2991)</f>
        <v>38203.224646260343</v>
      </c>
      <c r="AD2991" s="10">
        <f t="shared" si="2262"/>
        <v>1.2299610066776307E-2</v>
      </c>
      <c r="AE2991" s="10" t="b">
        <f t="shared" si="2263"/>
        <v>1</v>
      </c>
      <c r="AP2991"/>
      <c r="AQ2991"/>
      <c r="AU2991" s="13" cm="1">
        <f t="array" ref="AU2991">$C2991*EXP(poly_from_str(100000000/$E2991,AU$4343))</f>
        <v>2.4684367644306802</v>
      </c>
    </row>
    <row r="2992" spans="1:51" x14ac:dyDescent="0.25">
      <c r="A2992" t="s">
        <v>3573</v>
      </c>
      <c r="B2992" s="2" t="str">
        <f t="shared" si="2259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2323">$G2992&amp;""</f>
        <v>e</v>
      </c>
      <c r="N2992" t="str">
        <f t="shared" ref="N2992:N2995" si="2324">$H2992&amp;""</f>
        <v>3/2</v>
      </c>
      <c r="O2992">
        <v>75409.58</v>
      </c>
      <c r="P2992" t="str">
        <f t="shared" ref="P2992:P2995" si="2325">$J2992&amp;""</f>
        <v>o</v>
      </c>
      <c r="Q2992" t="str">
        <f t="shared" ref="Q2992:Q2995" si="2326">$K2992&amp;""</f>
        <v>3/2</v>
      </c>
      <c r="R2992">
        <v>29</v>
      </c>
      <c r="AA2992" s="10">
        <f t="shared" si="2260"/>
        <v>2616.1990000000001</v>
      </c>
      <c r="AB2992" s="3">
        <f t="shared" si="2261"/>
        <v>38211.99</v>
      </c>
      <c r="AC2992" s="3" cm="1">
        <f t="array" ref="AC2992">100000000/LvacE(AA2992)</f>
        <v>38211.985655940953</v>
      </c>
      <c r="AD2992" s="10">
        <f t="shared" si="2262"/>
        <v>1.2302958539457617E-2</v>
      </c>
      <c r="AE2992" s="10" t="b">
        <f t="shared" si="2263"/>
        <v>1</v>
      </c>
      <c r="AJ2992" t="s">
        <v>4787</v>
      </c>
      <c r="AK2992" t="s">
        <v>4905</v>
      </c>
      <c r="AL2992">
        <v>37197.64</v>
      </c>
      <c r="AM2992">
        <v>75409.58</v>
      </c>
      <c r="AN2992" s="10" cm="1">
        <f t="array" ref="AN2992">Lair(100000000/($AM2992-$AL2992))</f>
        <v>2616.2021250669809</v>
      </c>
      <c r="AO2992" s="10">
        <f t="shared" ref="AO2992:AO2995" si="2327">100000000/($AM2992-$AL2992)</f>
        <v>2616.9830686429423</v>
      </c>
      <c r="AP2992" s="12">
        <v>42200000</v>
      </c>
      <c r="AQ2992" s="3">
        <v>0.11700000000000001</v>
      </c>
      <c r="AR2992" s="3">
        <f t="shared" ref="AR2992:AR2995" si="2328">LN(AU2992*100000000/($AM2992-$AL2992)/AP2992)</f>
        <v>-7.6828962793708371</v>
      </c>
      <c r="AS2992" s="13">
        <f t="shared" ref="AS2992:AS2995" si="2329">EXP(AR$4341*$AM2992+AR$4342)*$AP2992/(100000000/($AM2992-$AL2992))</f>
        <v>4.9685307628946633</v>
      </c>
      <c r="AT2992" s="3">
        <f t="shared" ref="AT2992:AT2995" si="2330">LN(AS2992/$C2992)</f>
        <v>0.50451188658792756</v>
      </c>
      <c r="AU2992" s="13" cm="1">
        <f t="array" ref="AU2992">$C2992*EXP(poly_from_str(100000000/$E2992,AU$4343))</f>
        <v>7.4280031449703241</v>
      </c>
      <c r="AV2992" s="13">
        <f t="shared" ref="AV2992:AV2995" si="2331">LN(AS2992/AU2992)</f>
        <v>-0.40213289162829108</v>
      </c>
      <c r="AW2992" s="13"/>
      <c r="AX2992" s="13"/>
      <c r="AY2992" s="13"/>
    </row>
    <row r="2993" spans="1:51" x14ac:dyDescent="0.25">
      <c r="A2993" t="s">
        <v>3574</v>
      </c>
      <c r="B2993" s="2" t="str">
        <f t="shared" si="2259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2323"/>
        <v>o</v>
      </c>
      <c r="N2993" t="str">
        <f t="shared" si="2324"/>
        <v>7/2</v>
      </c>
      <c r="O2993">
        <v>101446.27</v>
      </c>
      <c r="P2993" t="str">
        <f t="shared" si="2325"/>
        <v>e</v>
      </c>
      <c r="Q2993" t="str">
        <f t="shared" si="2326"/>
        <v>7/2</v>
      </c>
      <c r="R2993">
        <v>29</v>
      </c>
      <c r="S2993" t="s">
        <v>3575</v>
      </c>
      <c r="AA2993" s="10">
        <f t="shared" si="2260"/>
        <v>2616.047</v>
      </c>
      <c r="AB2993" s="3">
        <f t="shared" si="2261"/>
        <v>38214.21</v>
      </c>
      <c r="AC2993" s="3" cm="1">
        <f t="array" ref="AC2993">100000000/LvacE(AA2993)</f>
        <v>38214.205749651323</v>
      </c>
      <c r="AD2993" s="10">
        <f t="shared" si="2262"/>
        <v>1.2303807184972464E-2</v>
      </c>
      <c r="AE2993" s="10" t="b">
        <f t="shared" si="2263"/>
        <v>1</v>
      </c>
      <c r="AJ2993" t="s">
        <v>4819</v>
      </c>
      <c r="AK2993" t="s">
        <v>4908</v>
      </c>
      <c r="AL2993">
        <v>63232.14</v>
      </c>
      <c r="AM2993">
        <v>101446.27</v>
      </c>
      <c r="AN2993" s="10" cm="1">
        <f t="array" ref="AN2993">Lair(100000000/($AM2993-$AL2993))</f>
        <v>2616.0521849761599</v>
      </c>
      <c r="AO2993" s="10">
        <f t="shared" si="2327"/>
        <v>2616.8330928899854</v>
      </c>
      <c r="AP2993" s="12">
        <v>231000000</v>
      </c>
      <c r="AQ2993" s="3">
        <v>0.41899999999999998</v>
      </c>
      <c r="AR2993" s="3">
        <f t="shared" si="2328"/>
        <v>-10.480791870785744</v>
      </c>
      <c r="AS2993" s="13">
        <f t="shared" si="2329"/>
        <v>3.8543784136694832</v>
      </c>
      <c r="AT2993" s="3">
        <f t="shared" si="2330"/>
        <v>1.3492097524241933</v>
      </c>
      <c r="AU2993" s="13" cm="1">
        <f t="array" ref="AU2993">$C2993*EXP(poly_from_str(100000000/$E2993,AU$4343))</f>
        <v>2.4779120128105805</v>
      </c>
      <c r="AV2993" s="13">
        <f t="shared" si="2331"/>
        <v>0.44179347718800616</v>
      </c>
      <c r="AW2993" s="13"/>
      <c r="AX2993" s="13"/>
      <c r="AY2993" s="13"/>
    </row>
    <row r="2994" spans="1:51" x14ac:dyDescent="0.25">
      <c r="A2994" t="s">
        <v>3576</v>
      </c>
      <c r="B2994" s="2" t="str">
        <f t="shared" si="2259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2323"/>
        <v>o</v>
      </c>
      <c r="N2994" t="str">
        <f t="shared" si="2324"/>
        <v>13/2</v>
      </c>
      <c r="O2994">
        <v>102435.67</v>
      </c>
      <c r="P2994" t="str">
        <f t="shared" si="2325"/>
        <v>e</v>
      </c>
      <c r="Q2994" t="str">
        <f t="shared" si="2326"/>
        <v>11/2</v>
      </c>
      <c r="R2994">
        <v>29</v>
      </c>
      <c r="AA2994" s="10">
        <f t="shared" si="2260"/>
        <v>2615.6350000000002</v>
      </c>
      <c r="AB2994" s="3">
        <f t="shared" si="2261"/>
        <v>38220.22</v>
      </c>
      <c r="AC2994" s="3" cm="1">
        <f t="array" ref="AC2994">100000000/LvacE(AA2994)</f>
        <v>38220.224669487397</v>
      </c>
      <c r="AD2994" s="10">
        <f t="shared" si="2262"/>
        <v>1.2306108204984144E-2</v>
      </c>
      <c r="AE2994" s="10" t="b">
        <f t="shared" si="2263"/>
        <v>1</v>
      </c>
      <c r="AJ2994" t="s">
        <v>4823</v>
      </c>
      <c r="AK2994" t="s">
        <v>4950</v>
      </c>
      <c r="AL2994">
        <v>64215.45</v>
      </c>
      <c r="AM2994">
        <v>102435.67</v>
      </c>
      <c r="AN2994" s="10" cm="1">
        <f t="array" ref="AN2994">Lair(100000000/($AM2994-$AL2994))</f>
        <v>2615.6353186096335</v>
      </c>
      <c r="AO2994" s="10">
        <f t="shared" si="2327"/>
        <v>2616.4161273796958</v>
      </c>
      <c r="AP2994" s="12">
        <v>2270000000</v>
      </c>
      <c r="AQ2994" s="3">
        <v>0.66400000000000003</v>
      </c>
      <c r="AR2994" s="3">
        <f t="shared" si="2328"/>
        <v>-10.566761559469784</v>
      </c>
      <c r="AS2994" s="13">
        <f t="shared" si="2329"/>
        <v>35.171469929249923</v>
      </c>
      <c r="AT2994" s="3">
        <f t="shared" si="2330"/>
        <v>1.363010663250694</v>
      </c>
      <c r="AU2994" s="13" cm="1">
        <f t="array" ref="AU2994">$C2994*EXP(poly_from_str(100000000/$E2994,AU$4343))</f>
        <v>22.347698468224593</v>
      </c>
      <c r="AV2994" s="13">
        <f t="shared" si="2331"/>
        <v>0.4535119016430289</v>
      </c>
      <c r="AW2994" s="13"/>
      <c r="AX2994" s="13"/>
      <c r="AY2994" s="13"/>
    </row>
    <row r="2995" spans="1:51" x14ac:dyDescent="0.25">
      <c r="A2995" t="s">
        <v>3577</v>
      </c>
      <c r="B2995" s="2" t="str">
        <f t="shared" si="2259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2323"/>
        <v>e</v>
      </c>
      <c r="N2995" t="str">
        <f t="shared" si="2324"/>
        <v>15/2</v>
      </c>
      <c r="O2995">
        <v>64215.45</v>
      </c>
      <c r="P2995" t="str">
        <f t="shared" si="2325"/>
        <v>o</v>
      </c>
      <c r="Q2995" t="str">
        <f t="shared" si="2326"/>
        <v>13/2</v>
      </c>
      <c r="R2995">
        <v>29</v>
      </c>
      <c r="AA2995" s="10">
        <f t="shared" si="2260"/>
        <v>2614.5459999999998</v>
      </c>
      <c r="AB2995" s="3">
        <f t="shared" si="2261"/>
        <v>38236.14</v>
      </c>
      <c r="AC2995" s="3" cm="1">
        <f t="array" ref="AC2995">100000000/LvacE(AA2995)</f>
        <v>38236.143034155699</v>
      </c>
      <c r="AD2995" s="10">
        <f t="shared" si="2262"/>
        <v>1.2312195508160061E-2</v>
      </c>
      <c r="AE2995" s="10" t="b">
        <f t="shared" si="2263"/>
        <v>1</v>
      </c>
      <c r="AJ2995" t="s">
        <v>4963</v>
      </c>
      <c r="AK2995" t="s">
        <v>4823</v>
      </c>
      <c r="AL2995">
        <v>25979.34</v>
      </c>
      <c r="AM2995">
        <v>64215.45</v>
      </c>
      <c r="AN2995" s="10" cm="1">
        <f t="array" ref="AN2995">Lair(100000000/($AM2995-$AL2995))</f>
        <v>2614.5482580248572</v>
      </c>
      <c r="AO2995" s="10">
        <f t="shared" si="2327"/>
        <v>2615.3288082914291</v>
      </c>
      <c r="AP2995" s="12">
        <v>151000000</v>
      </c>
      <c r="AQ2995" s="3">
        <v>0.253</v>
      </c>
      <c r="AR2995" s="3">
        <f t="shared" si="2328"/>
        <v>-7.8514485819121465</v>
      </c>
      <c r="AS2995" s="13">
        <f t="shared" si="2329"/>
        <v>41.210756488378344</v>
      </c>
      <c r="AT2995" s="3">
        <f t="shared" si="2330"/>
        <v>1.5214747247588656</v>
      </c>
      <c r="AU2995" s="13" cm="1">
        <f t="array" ref="AU2995">$C2995*EXP(poly_from_str(100000000/$E2995,AU$4343))</f>
        <v>22.470350956433649</v>
      </c>
      <c r="AV2995" s="13">
        <f t="shared" si="2331"/>
        <v>0.60650259713091781</v>
      </c>
      <c r="AW2995" s="13"/>
      <c r="AX2995" s="13"/>
      <c r="AY2995" s="13"/>
    </row>
    <row r="2996" spans="1:51" x14ac:dyDescent="0.25">
      <c r="A2996" t="s">
        <v>3578</v>
      </c>
      <c r="B2996" s="2" t="str">
        <f t="shared" si="2259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2260"/>
        <v>2613.9630000000002</v>
      </c>
      <c r="AB2996" s="3">
        <f t="shared" si="2261"/>
        <v>38244.67</v>
      </c>
      <c r="AC2996" s="3" cm="1">
        <f t="array" ref="AC2996">100000000/LvacE(AA2996)</f>
        <v>38244.670437333305</v>
      </c>
      <c r="AD2996" s="10">
        <f t="shared" si="2262"/>
        <v>1.2315457494488886E-2</v>
      </c>
      <c r="AE2996" s="10" t="b">
        <f t="shared" si="2263"/>
        <v>1</v>
      </c>
      <c r="AP2996"/>
      <c r="AQ2996"/>
      <c r="AU2996" s="13" cm="1">
        <f t="array" ref="AU2996">$C2996*EXP(poly_from_str(100000000/$E2996,AU$4343))</f>
        <v>7.5119234182017172</v>
      </c>
    </row>
    <row r="2997" spans="1:51" x14ac:dyDescent="0.25">
      <c r="A2997" t="s">
        <v>3579</v>
      </c>
      <c r="B2997" s="2" t="str">
        <f t="shared" si="2259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2332">$G2997&amp;""</f>
        <v>o</v>
      </c>
      <c r="N2997" t="str">
        <f t="shared" ref="N2997:N2998" si="2333">$H2997&amp;""</f>
        <v>9/2</v>
      </c>
      <c r="O2997">
        <v>102484.66</v>
      </c>
      <c r="P2997" t="str">
        <f t="shared" ref="P2997:P2998" si="2334">$J2997&amp;""</f>
        <v>e</v>
      </c>
      <c r="Q2997" t="str">
        <f t="shared" ref="Q2997:Q2998" si="2335">$K2997&amp;""</f>
        <v>9/2</v>
      </c>
      <c r="R2997">
        <v>29</v>
      </c>
      <c r="S2997" t="s">
        <v>6</v>
      </c>
      <c r="AA2997" s="10">
        <f t="shared" si="2260"/>
        <v>2613.6660000000002</v>
      </c>
      <c r="AB2997" s="3">
        <f t="shared" si="2261"/>
        <v>38249.019999999997</v>
      </c>
      <c r="AC2997" s="3" cm="1">
        <f t="array" ref="AC2997">100000000/LvacE(AA2997)</f>
        <v>38249.016048594349</v>
      </c>
      <c r="AD2997" s="10">
        <f t="shared" si="2262"/>
        <v>1.2317120100386649E-2</v>
      </c>
      <c r="AE2997" s="10" t="b">
        <f t="shared" si="2263"/>
        <v>1</v>
      </c>
      <c r="AJ2997" t="s">
        <v>4842</v>
      </c>
      <c r="AK2997" t="s">
        <v>4832</v>
      </c>
      <c r="AL2997">
        <v>64235.61</v>
      </c>
      <c r="AM2997">
        <v>102484.66</v>
      </c>
      <c r="AN2997" s="10" cm="1">
        <f t="array" ref="AN2997">Lair(100000000/($AM2997-$AL2997))</f>
        <v>2613.663678922248</v>
      </c>
      <c r="AO2997" s="10">
        <f t="shared" ref="AO2997:AO2998" si="2336">100000000/($AM2997-$AL2997)</f>
        <v>2614.4440188710569</v>
      </c>
      <c r="AP2997" s="12">
        <v>462000000</v>
      </c>
      <c r="AQ2997" s="3">
        <v>0.72199999999999998</v>
      </c>
      <c r="AR2997" s="3">
        <f t="shared" ref="AR2997:AR2998" si="2337">LN(AU2997*100000000/($AM2997-$AL2997)/AP2997)</f>
        <v>-10.46976655193966</v>
      </c>
      <c r="AS2997" s="13">
        <f t="shared" ref="AS2997:AS2998" si="2338">EXP(AR$4341*$AM2997+AR$4342)*$AP2997/(100000000/($AM2997-$AL2997))</f>
        <v>7.1373567793841026</v>
      </c>
      <c r="AT2997" s="3">
        <f t="shared" ref="AT2997:AT2998" si="2339">LN(AS2997/$C2997)</f>
        <v>1.2721953282851823</v>
      </c>
      <c r="AU2997" s="13" cm="1">
        <f t="array" ref="AU2997">$C2997*EXP(poly_from_str(100000000/$E2997,AU$4343))</f>
        <v>5.0153447132830635</v>
      </c>
      <c r="AV2997" s="13">
        <f t="shared" ref="AV2997:AV2998" si="2340">LN(AS2997/AU2997)</f>
        <v>0.35284035334619929</v>
      </c>
      <c r="AW2997" s="13"/>
      <c r="AX2997" s="13"/>
      <c r="AY2997" s="13"/>
    </row>
    <row r="2998" spans="1:51" x14ac:dyDescent="0.25">
      <c r="A2998" t="s">
        <v>3580</v>
      </c>
      <c r="B2998" s="2" t="str">
        <f t="shared" si="2259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2332"/>
        <v>o</v>
      </c>
      <c r="N2998" t="str">
        <f t="shared" si="2333"/>
        <v>7/2</v>
      </c>
      <c r="O2998">
        <v>106745.65</v>
      </c>
      <c r="P2998" t="str">
        <f t="shared" si="2334"/>
        <v>e</v>
      </c>
      <c r="Q2998" t="str">
        <f t="shared" si="2335"/>
        <v>5/2</v>
      </c>
      <c r="R2998">
        <v>29</v>
      </c>
      <c r="AA2998" s="10">
        <f t="shared" si="2260"/>
        <v>2613.377</v>
      </c>
      <c r="AB2998" s="3">
        <f t="shared" si="2261"/>
        <v>38253.24</v>
      </c>
      <c r="AC2998" s="3" cm="1">
        <f t="array" ref="AC2998">100000000/LvacE(AA2998)</f>
        <v>38253.245554418623</v>
      </c>
      <c r="AD2998" s="10">
        <f t="shared" si="2262"/>
        <v>1.2318738466439903E-2</v>
      </c>
      <c r="AE2998" s="10" t="b">
        <f t="shared" si="2263"/>
        <v>1</v>
      </c>
      <c r="AJ2998" t="s">
        <v>4831</v>
      </c>
      <c r="AK2998" t="s">
        <v>4957</v>
      </c>
      <c r="AL2998">
        <v>68492.429999999993</v>
      </c>
      <c r="AM2998">
        <v>106745.65</v>
      </c>
      <c r="AN2998" s="10" cm="1">
        <f t="array" ref="AN2998">Lair(100000000/($AM2998-$AL2998))</f>
        <v>2613.3787449920464</v>
      </c>
      <c r="AO2998" s="10">
        <f t="shared" si="2336"/>
        <v>2614.159017201689</v>
      </c>
      <c r="AP2998" s="12">
        <v>175000000</v>
      </c>
      <c r="AQ2998" s="3">
        <v>0.59499999999999997</v>
      </c>
      <c r="AR2998" s="3">
        <f t="shared" si="2337"/>
        <v>-9.0922043151983445</v>
      </c>
      <c r="AS2998" s="13">
        <f t="shared" si="2338"/>
        <v>1.963834843835216</v>
      </c>
      <c r="AT2998" s="3">
        <f t="shared" si="2339"/>
        <v>-0.42371317400534037</v>
      </c>
      <c r="AU2998" s="13" cm="1">
        <f t="array" ref="AU2998">$C2998*EXP(poly_from_str(100000000/$E2998,AU$4343))</f>
        <v>7.5337617951494931</v>
      </c>
      <c r="AV2998" s="13">
        <f t="shared" si="2340"/>
        <v>-1.3444953767923353</v>
      </c>
      <c r="AW2998" s="13"/>
      <c r="AX2998" s="13"/>
      <c r="AY2998" s="13"/>
    </row>
    <row r="2999" spans="1:51" x14ac:dyDescent="0.25">
      <c r="A2999" t="s">
        <v>3581</v>
      </c>
      <c r="B2999" s="2" t="str">
        <f t="shared" si="2259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2260"/>
        <v>2612.9319999999998</v>
      </c>
      <c r="AB2999" s="3">
        <f t="shared" si="2261"/>
        <v>38259.760000000002</v>
      </c>
      <c r="AC2999" s="3" cm="1">
        <f t="array" ref="AC2999">100000000/LvacE(AA2999)</f>
        <v>38259.759944527512</v>
      </c>
      <c r="AD2999" s="10">
        <f t="shared" si="2262"/>
        <v>1.2321231464218648E-2</v>
      </c>
      <c r="AE2999" s="10" t="b">
        <f t="shared" si="2263"/>
        <v>1</v>
      </c>
      <c r="AP2999"/>
      <c r="AQ2999"/>
      <c r="AU2999" s="13" cm="1">
        <f t="array" ref="AU2999">$C2999*EXP(poly_from_str(100000000/$E2999,AU$4343))</f>
        <v>10.06710518124334</v>
      </c>
    </row>
    <row r="3000" spans="1:51" x14ac:dyDescent="0.25">
      <c r="A3000" t="s">
        <v>3582</v>
      </c>
      <c r="B3000" s="2" t="str">
        <f t="shared" si="2259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2260"/>
        <v>2611.527</v>
      </c>
      <c r="AB3000" s="3">
        <f t="shared" si="2261"/>
        <v>38280.339999999997</v>
      </c>
      <c r="AC3000" s="3" cm="1">
        <f t="array" ref="AC3000">100000000/LvacE(AA3000)</f>
        <v>38280.342418969361</v>
      </c>
      <c r="AD3000" s="10">
        <f t="shared" si="2262"/>
        <v>1.2329110979700643E-2</v>
      </c>
      <c r="AE3000" s="10" t="b">
        <f t="shared" si="2263"/>
        <v>1</v>
      </c>
      <c r="AJ3000" t="s">
        <v>4857</v>
      </c>
      <c r="AK3000" t="s">
        <v>4956</v>
      </c>
      <c r="AL3000">
        <v>68801.67</v>
      </c>
      <c r="AM3000">
        <v>107081.94</v>
      </c>
      <c r="AN3000" s="10" cm="1">
        <f t="array" ref="AN3000">Lair(100000000/($AM3000-$AL3000))</f>
        <v>2611.5319399032201</v>
      </c>
      <c r="AO3000" s="10">
        <f>100000000/($AM3000-$AL3000)</f>
        <v>2612.311773140576</v>
      </c>
      <c r="AP3000" s="12">
        <v>13100000</v>
      </c>
      <c r="AQ3000" s="3">
        <v>1.4999999999999999E-2</v>
      </c>
      <c r="AR3000" s="3"/>
      <c r="AS3000" s="13">
        <f>EXP(AR$4341*$AM3000+AR$4342)*$AP3000/(100000000/($AM3000-$AL3000))</f>
        <v>0.14344476599737097</v>
      </c>
      <c r="AT3000" s="3"/>
      <c r="AU3000" s="13" cm="1">
        <f t="array" ref="AU3000">$C3000*EXP(poly_from_str(100000000/$E3000,AU$4343))</f>
        <v>2.5341171949135899</v>
      </c>
      <c r="AV3000" s="13"/>
      <c r="AW3000" s="13"/>
      <c r="AX3000" s="13"/>
      <c r="AY3000" s="13"/>
    </row>
    <row r="3001" spans="1:51" x14ac:dyDescent="0.25">
      <c r="A3001" t="s">
        <v>3583</v>
      </c>
      <c r="B3001" s="2" t="str">
        <f t="shared" si="2259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2260"/>
        <v>2611.395</v>
      </c>
      <c r="AB3001" s="3">
        <f t="shared" si="2261"/>
        <v>38282.28</v>
      </c>
      <c r="AC3001" s="3" cm="1">
        <f t="array" ref="AC3001">100000000/LvacE(AA3001)</f>
        <v>38282.277284117343</v>
      </c>
      <c r="AD3001" s="10">
        <f t="shared" si="2262"/>
        <v>1.2329851915186586E-2</v>
      </c>
      <c r="AE3001" s="10" t="b">
        <f t="shared" si="2263"/>
        <v>1</v>
      </c>
      <c r="AP3001"/>
      <c r="AQ3001"/>
      <c r="AU3001" s="13" cm="1">
        <f t="array" ref="AU3001">$C3001*EXP(poly_from_str(100000000/$E3001,AU$4343))</f>
        <v>7.607234290244981</v>
      </c>
    </row>
    <row r="3002" spans="1:51" x14ac:dyDescent="0.25">
      <c r="A3002" t="s">
        <v>3584</v>
      </c>
      <c r="B3002" s="2" t="str">
        <f t="shared" si="2259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2341">$G3002&amp;""</f>
        <v>o</v>
      </c>
      <c r="N3002" t="str">
        <f t="shared" ref="N3002:N3003" si="2342">$H3002&amp;""</f>
        <v>13/2</v>
      </c>
      <c r="O3002">
        <v>105019.06</v>
      </c>
      <c r="P3002" t="str">
        <f t="shared" ref="P3002:P3003" si="2343">$J3002&amp;""</f>
        <v>e</v>
      </c>
      <c r="Q3002" t="str">
        <f t="shared" ref="Q3002:Q3003" si="2344">$K3002&amp;""</f>
        <v>13/2</v>
      </c>
      <c r="R3002">
        <v>29</v>
      </c>
      <c r="AA3002" s="10">
        <f t="shared" si="2260"/>
        <v>2611.33</v>
      </c>
      <c r="AB3002" s="3">
        <f t="shared" si="2261"/>
        <v>38283.230000000003</v>
      </c>
      <c r="AC3002" s="3" cm="1">
        <f t="array" ref="AC3002">100000000/LvacE(AA3002)</f>
        <v>38283.230130491567</v>
      </c>
      <c r="AD3002" s="10">
        <f t="shared" si="2262"/>
        <v>1.2330216811067841E-2</v>
      </c>
      <c r="AE3002" s="10" t="b">
        <f t="shared" si="2263"/>
        <v>1</v>
      </c>
      <c r="AJ3002" t="s">
        <v>4909</v>
      </c>
      <c r="AK3002" t="s">
        <v>4855</v>
      </c>
      <c r="AL3002">
        <v>66735.88</v>
      </c>
      <c r="AM3002">
        <v>105019.06</v>
      </c>
      <c r="AN3002" s="10" cm="1">
        <f t="array" ref="AN3002">Lair(100000000/($AM3002-$AL3002))</f>
        <v>2611.3334187482947</v>
      </c>
      <c r="AO3002" s="10">
        <f t="shared" ref="AO3002:AO3003" si="2345">100000000/($AM3002-$AL3002)</f>
        <v>2612.1132048069157</v>
      </c>
      <c r="AU3002" s="13" cm="1">
        <f t="array" ref="AU3002">$C3002*EXP(poly_from_str(100000000/$E3002,AU$4343))</f>
        <v>7.6096239634135161</v>
      </c>
    </row>
    <row r="3003" spans="1:51" x14ac:dyDescent="0.25">
      <c r="A3003" t="s">
        <v>3585</v>
      </c>
      <c r="B3003" s="2" t="str">
        <f t="shared" si="2259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2341"/>
        <v>e</v>
      </c>
      <c r="N3003" t="str">
        <f t="shared" si="2342"/>
        <v>7/2</v>
      </c>
      <c r="O3003">
        <v>58158.080000000002</v>
      </c>
      <c r="P3003" t="str">
        <f t="shared" si="2343"/>
        <v>o</v>
      </c>
      <c r="Q3003" t="str">
        <f t="shared" si="2344"/>
        <v>7/2</v>
      </c>
      <c r="R3003">
        <v>29</v>
      </c>
      <c r="AA3003" s="10">
        <f t="shared" si="2260"/>
        <v>2611.1669999999999</v>
      </c>
      <c r="AB3003" s="3">
        <f t="shared" si="2261"/>
        <v>38285.620000000003</v>
      </c>
      <c r="AC3003" s="3" cm="1">
        <f t="array" ref="AC3003">100000000/LvacE(AA3003)</f>
        <v>38285.61978463061</v>
      </c>
      <c r="AD3003" s="10">
        <f t="shared" si="2262"/>
        <v>1.2331131977508642E-2</v>
      </c>
      <c r="AE3003" s="10" t="b">
        <f t="shared" si="2263"/>
        <v>1</v>
      </c>
      <c r="AJ3003" t="s">
        <v>4785</v>
      </c>
      <c r="AK3003" t="s">
        <v>4902</v>
      </c>
      <c r="AL3003">
        <v>19872.43</v>
      </c>
      <c r="AM3003">
        <v>58158.080000000002</v>
      </c>
      <c r="AN3003" s="10" cm="1">
        <f t="array" ref="AN3003">Lair(100000000/($AM3003-$AL3003))</f>
        <v>2611.1649382151418</v>
      </c>
      <c r="AO3003" s="10">
        <f t="shared" si="2345"/>
        <v>2611.9446842354773</v>
      </c>
      <c r="AP3003" s="12">
        <v>33800000</v>
      </c>
      <c r="AQ3003" s="3">
        <v>0.13600000000000001</v>
      </c>
      <c r="AR3003" s="3">
        <f>LN(AU3003*100000000/($AM3003-$AL3003)/AP3003)</f>
        <v>-6.5906202141733861</v>
      </c>
      <c r="AS3003" s="13">
        <f>EXP(AR$4341*$AM3003+AR$4342)*$AP3003/(100000000/($AM3003-$AL3003))</f>
        <v>14.552474603071184</v>
      </c>
      <c r="AT3003" s="3">
        <f>LN(AS3003/$C3003)</f>
        <v>0.73185090591338942</v>
      </c>
      <c r="AU3003" s="13" cm="1">
        <f t="array" ref="AU3003">$C3003*EXP(poly_from_str(100000000/$E3003,AU$4343))</f>
        <v>17.769807933863763</v>
      </c>
      <c r="AV3003" s="13">
        <f>LN(AS3003/AU3003)</f>
        <v>-0.19973977869058585</v>
      </c>
      <c r="AW3003" s="13"/>
      <c r="AX3003" s="13"/>
      <c r="AY3003" s="13"/>
    </row>
    <row r="3004" spans="1:51" x14ac:dyDescent="0.25">
      <c r="A3004" t="s">
        <v>3586</v>
      </c>
      <c r="B3004" s="2" t="str">
        <f t="shared" si="2259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2260"/>
        <v>2610.9690000000001</v>
      </c>
      <c r="AB3004" s="3">
        <f t="shared" si="2261"/>
        <v>38288.519999999997</v>
      </c>
      <c r="AC3004" s="3" cm="1">
        <f t="array" ref="AC3004">100000000/LvacE(AA3004)</f>
        <v>38288.522955988337</v>
      </c>
      <c r="AD3004" s="10">
        <f t="shared" si="2262"/>
        <v>1.2332243882632911E-2</v>
      </c>
      <c r="AE3004" s="10" t="b">
        <f t="shared" si="2263"/>
        <v>1</v>
      </c>
      <c r="AP3004"/>
      <c r="AQ3004"/>
      <c r="AU3004" s="13" cm="1">
        <f t="array" ref="AU3004">$C3004*EXP(poly_from_str(100000000/$E3004,AU$4343))</f>
        <v>5.0819430059052202</v>
      </c>
    </row>
    <row r="3005" spans="1:51" x14ac:dyDescent="0.25">
      <c r="A3005" t="s">
        <v>3587</v>
      </c>
      <c r="B3005" s="2" t="str">
        <f t="shared" si="2259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2346">$G3005&amp;""</f>
        <v>o</v>
      </c>
      <c r="N3005" t="str">
        <f t="shared" ref="N3005:N3009" si="2347">$H3005&amp;""</f>
        <v>15/2</v>
      </c>
      <c r="O3005">
        <v>104598.99</v>
      </c>
      <c r="P3005" t="str">
        <f t="shared" ref="P3005:P3009" si="2348">$J3005&amp;""</f>
        <v>e</v>
      </c>
      <c r="Q3005" t="str">
        <f t="shared" ref="Q3005:Q3009" si="2349">$K3005&amp;""</f>
        <v>13/2</v>
      </c>
      <c r="R3005">
        <v>29</v>
      </c>
      <c r="AA3005" s="10">
        <f t="shared" si="2260"/>
        <v>2610.3510000000001</v>
      </c>
      <c r="AB3005" s="3">
        <f t="shared" si="2261"/>
        <v>38297.589999999997</v>
      </c>
      <c r="AC3005" s="3" cm="1">
        <f t="array" ref="AC3005">100000000/LvacE(AA3005)</f>
        <v>38297.587201908027</v>
      </c>
      <c r="AD3005" s="10">
        <f t="shared" si="2262"/>
        <v>1.2335716001776777E-2</v>
      </c>
      <c r="AE3005" s="10" t="b">
        <f t="shared" si="2263"/>
        <v>1</v>
      </c>
      <c r="AJ3005" t="s">
        <v>4824</v>
      </c>
      <c r="AK3005" t="s">
        <v>4949</v>
      </c>
      <c r="AL3005">
        <v>66301.350000000006</v>
      </c>
      <c r="AM3005">
        <v>104598.99</v>
      </c>
      <c r="AN3005" s="10" cm="1">
        <f t="array" ref="AN3005">Lair(100000000/($AM3005-$AL3005))</f>
        <v>2610.3474001935806</v>
      </c>
      <c r="AO3005" s="10">
        <f t="shared" ref="AO3005:AO3009" si="2350">100000000/($AM3005-$AL3005)</f>
        <v>2611.1269519479529</v>
      </c>
      <c r="AP3005" s="12">
        <v>3020000000</v>
      </c>
      <c r="AQ3005" s="3">
        <v>0.747</v>
      </c>
      <c r="AR3005" s="3">
        <f t="shared" ref="AR3005:AR3006" si="2351">LN(AU3005*100000000/($AM3005-$AL3005)/AP3005)</f>
        <v>-10.946020940379142</v>
      </c>
      <c r="AS3005" s="13">
        <f t="shared" ref="AS3005:AS3006" si="2352">EXP(AR$4341*$AM3005+AR$4342)*$AP3005/(100000000/($AM3005-$AL3005))</f>
        <v>39.860492260044403</v>
      </c>
      <c r="AT3005" s="3">
        <f t="shared" ref="AT3005:AT3006" si="2353">LN(AS3005/$C3005)</f>
        <v>1.6059441227537037</v>
      </c>
      <c r="AU3005" s="13" cm="1">
        <f t="array" ref="AU3005">$C3005*EXP(poly_from_str(100000000/$E3005,AU$4343))</f>
        <v>20.388367925068927</v>
      </c>
      <c r="AV3005" s="13">
        <f t="shared" ref="AV3005:AV3006" si="2354">LN(AS3005/AU3005)</f>
        <v>0.67042112596059267</v>
      </c>
      <c r="AW3005" s="13"/>
      <c r="AX3005" s="13"/>
      <c r="AY3005" s="13"/>
    </row>
    <row r="3006" spans="1:51" x14ac:dyDescent="0.25">
      <c r="A3006" t="s">
        <v>3588</v>
      </c>
      <c r="B3006" s="2" t="str">
        <f t="shared" si="2259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2346"/>
        <v>e</v>
      </c>
      <c r="N3006" t="str">
        <f t="shared" si="2347"/>
        <v>7/2</v>
      </c>
      <c r="O3006">
        <v>58174.15</v>
      </c>
      <c r="P3006" t="str">
        <f t="shared" si="2348"/>
        <v>o</v>
      </c>
      <c r="Q3006" t="str">
        <f t="shared" si="2349"/>
        <v>9/2</v>
      </c>
      <c r="R3006">
        <v>29</v>
      </c>
      <c r="AA3006" s="10">
        <f t="shared" si="2260"/>
        <v>2610.0680000000002</v>
      </c>
      <c r="AB3006" s="3">
        <f t="shared" si="2261"/>
        <v>38301.74</v>
      </c>
      <c r="AC3006" s="3" cm="1">
        <f t="array" ref="AC3006">100000000/LvacE(AA3006)</f>
        <v>38301.739413880256</v>
      </c>
      <c r="AD3006" s="10">
        <f t="shared" si="2262"/>
        <v>1.2337306808458678E-2</v>
      </c>
      <c r="AE3006" s="10" t="b">
        <f t="shared" si="2263"/>
        <v>1</v>
      </c>
      <c r="AJ3006" t="s">
        <v>4785</v>
      </c>
      <c r="AK3006" t="s">
        <v>4698</v>
      </c>
      <c r="AL3006">
        <v>19872.43</v>
      </c>
      <c r="AM3006">
        <v>58174.15</v>
      </c>
      <c r="AN3006" s="10" cm="1">
        <f t="array" ref="AN3006">Lair(100000000/($AM3006-$AL3006))</f>
        <v>2610.0693221513679</v>
      </c>
      <c r="AO3006" s="10">
        <f t="shared" si="2350"/>
        <v>2610.8488078342175</v>
      </c>
      <c r="AP3006" s="12">
        <v>33800000</v>
      </c>
      <c r="AQ3006" s="3">
        <v>0.31</v>
      </c>
      <c r="AR3006" s="3">
        <f t="shared" si="2351"/>
        <v>-6.7399028006294417</v>
      </c>
      <c r="AS3006" s="13">
        <f t="shared" si="2352"/>
        <v>14.54103576291795</v>
      </c>
      <c r="AT3006" s="3">
        <f t="shared" si="2353"/>
        <v>0.88521523575408601</v>
      </c>
      <c r="AU3006" s="13" cm="1">
        <f t="array" ref="AU3006">$C3006*EXP(poly_from_str(100000000/$E3006,AU$4343))</f>
        <v>15.312016291018214</v>
      </c>
      <c r="AV3006" s="13">
        <f t="shared" si="2354"/>
        <v>-5.1663193665862625E-2</v>
      </c>
      <c r="AW3006" s="13"/>
      <c r="AX3006" s="13"/>
      <c r="AY3006" s="13"/>
    </row>
    <row r="3007" spans="1:51" x14ac:dyDescent="0.25">
      <c r="A3007" t="s">
        <v>3589</v>
      </c>
      <c r="B3007" s="2" t="str">
        <f t="shared" si="2259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2346"/>
        <v>o</v>
      </c>
      <c r="N3007" t="str">
        <f t="shared" si="2347"/>
        <v>13/2</v>
      </c>
      <c r="O3007">
        <v>105049.72</v>
      </c>
      <c r="P3007" t="str">
        <f t="shared" si="2348"/>
        <v>e</v>
      </c>
      <c r="Q3007" t="str">
        <f t="shared" si="2349"/>
        <v>15/2</v>
      </c>
      <c r="R3007">
        <v>29</v>
      </c>
      <c r="AA3007" s="10">
        <f t="shared" si="2260"/>
        <v>2609.2399999999998</v>
      </c>
      <c r="AB3007" s="3">
        <f t="shared" si="2261"/>
        <v>38313.89</v>
      </c>
      <c r="AC3007" s="3" cm="1">
        <f t="array" ref="AC3007">100000000/LvacE(AA3007)</f>
        <v>38313.89310730718</v>
      </c>
      <c r="AD3007" s="10">
        <f t="shared" si="2262"/>
        <v>1.2341964155713384E-2</v>
      </c>
      <c r="AE3007" s="10" t="b">
        <f t="shared" si="2263"/>
        <v>1</v>
      </c>
      <c r="AJ3007" t="s">
        <v>4909</v>
      </c>
      <c r="AK3007" t="s">
        <v>4870</v>
      </c>
      <c r="AL3007">
        <v>66735.88</v>
      </c>
      <c r="AM3007">
        <v>105049.72</v>
      </c>
      <c r="AN3007" s="10" cm="1">
        <f t="array" ref="AN3007">Lair(100000000/($AM3007-$AL3007))</f>
        <v>2609.2436160477287</v>
      </c>
      <c r="AO3007" s="10">
        <f t="shared" si="2350"/>
        <v>2610.0229055610193</v>
      </c>
      <c r="AU3007" s="13" cm="1">
        <f t="array" ref="AU3007">$C3007*EXP(poly_from_str(100000000/$E3007,AU$4343))</f>
        <v>10.248361569496304</v>
      </c>
    </row>
    <row r="3008" spans="1:51" x14ac:dyDescent="0.25">
      <c r="A3008" t="s">
        <v>3590</v>
      </c>
      <c r="B3008" s="2">
        <f t="shared" si="2259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2346"/>
        <v>e</v>
      </c>
      <c r="N3008" t="str">
        <f t="shared" si="2347"/>
        <v>9/2</v>
      </c>
      <c r="O3008">
        <v>73609.100000000006</v>
      </c>
      <c r="P3008" t="str">
        <f t="shared" si="2348"/>
        <v>o</v>
      </c>
      <c r="Q3008" t="str">
        <f t="shared" si="2349"/>
        <v>11/2</v>
      </c>
      <c r="R3008">
        <v>29</v>
      </c>
      <c r="AA3008" s="10">
        <f t="shared" si="2260"/>
        <v>2608.9499999999998</v>
      </c>
      <c r="AB3008" s="3">
        <f t="shared" si="2261"/>
        <v>38318.15</v>
      </c>
      <c r="AC3008" s="3" cm="1">
        <f t="array" ref="AC3008">100000000/LvacE(AA3008)</f>
        <v>38318.15165958587</v>
      </c>
      <c r="AD3008" s="10">
        <f t="shared" si="2262"/>
        <v>1.234359640077155E-2</v>
      </c>
      <c r="AE3008" s="10" t="b">
        <f t="shared" si="2263"/>
        <v>1</v>
      </c>
      <c r="AJ3008" t="s">
        <v>4807</v>
      </c>
      <c r="AK3008" t="s">
        <v>4899</v>
      </c>
      <c r="AL3008">
        <v>35291</v>
      </c>
      <c r="AM3008">
        <v>73609.100000000006</v>
      </c>
      <c r="AN3008" s="10" cm="1">
        <f t="array" ref="AN3008">Lair(100000000/($AM3008-$AL3008))</f>
        <v>2608.9535166716341</v>
      </c>
      <c r="AO3008" s="10">
        <f t="shared" si="2350"/>
        <v>2609.7327372703758</v>
      </c>
      <c r="AU3008" s="13" cm="1">
        <f t="array" ref="AU3008">$C3008*EXP(poly_from_str(100000000/$E3008,AU$4343))</f>
        <v>17.959310320377813</v>
      </c>
    </row>
    <row r="3009" spans="1:51" x14ac:dyDescent="0.25">
      <c r="A3009" t="s">
        <v>3590</v>
      </c>
      <c r="B3009" s="2">
        <f t="shared" si="2259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2346"/>
        <v>e</v>
      </c>
      <c r="N3009" t="str">
        <f t="shared" si="2347"/>
        <v>9/2</v>
      </c>
      <c r="O3009">
        <v>65922.42</v>
      </c>
      <c r="P3009" t="str">
        <f t="shared" si="2348"/>
        <v>o</v>
      </c>
      <c r="Q3009" t="str">
        <f t="shared" si="2349"/>
        <v>11/2</v>
      </c>
      <c r="R3009">
        <v>29</v>
      </c>
      <c r="AA3009" s="10">
        <f t="shared" si="2260"/>
        <v>2608.9499999999998</v>
      </c>
      <c r="AB3009" s="3">
        <f t="shared" si="2261"/>
        <v>38318.15</v>
      </c>
      <c r="AC3009" s="3" cm="1">
        <f t="array" ref="AC3009">100000000/LvacE(AA3009)</f>
        <v>38318.15165958587</v>
      </c>
      <c r="AD3009" s="10">
        <f t="shared" si="2262"/>
        <v>1.234359640077155E-2</v>
      </c>
      <c r="AE3009" s="10" t="b">
        <f t="shared" si="2263"/>
        <v>1</v>
      </c>
      <c r="AJ3009" t="s">
        <v>4718</v>
      </c>
      <c r="AK3009" t="s">
        <v>4833</v>
      </c>
      <c r="AL3009">
        <v>27604.26</v>
      </c>
      <c r="AM3009">
        <v>65922.42</v>
      </c>
      <c r="AN3009" s="10" cm="1">
        <f t="array" ref="AN3009">Lair(100000000/($AM3009-$AL3009))</f>
        <v>2608.9494312255506</v>
      </c>
      <c r="AO3009" s="10">
        <f t="shared" si="2350"/>
        <v>2609.7286508537986</v>
      </c>
      <c r="AP3009" s="12">
        <v>81000000</v>
      </c>
      <c r="AQ3009" s="3">
        <v>0.29599999999999999</v>
      </c>
      <c r="AR3009" s="3">
        <f>LN(AU3009*100000000/($AM3009-$AL3009)/AP3009)</f>
        <v>-7.4548495216479553</v>
      </c>
      <c r="AS3009" s="13">
        <f>EXP(AR$4341*$AM3009+AR$4342)*$AP3009/(100000000/($AM3009-$AL3009))</f>
        <v>19.490158198931784</v>
      </c>
      <c r="AT3009" s="3">
        <f>LN(AS3009/$C3009)</f>
        <v>1.0239994813594739</v>
      </c>
      <c r="AU3009" s="13" cm="1">
        <f t="array" ref="AU3009">$C3009*EXP(poly_from_str(100000000/$E3009,AU$4343))</f>
        <v>17.959310320377813</v>
      </c>
      <c r="AV3009" s="13">
        <f>LN(AS3009/AU3009)</f>
        <v>8.1800969147898139E-2</v>
      </c>
      <c r="AW3009" s="13"/>
      <c r="AX3009" s="13"/>
      <c r="AY3009" s="13"/>
    </row>
    <row r="3010" spans="1:51" x14ac:dyDescent="0.25">
      <c r="A3010" t="s">
        <v>3591</v>
      </c>
      <c r="B3010" s="2" t="str">
        <f t="shared" ref="B3010:B3073" si="2355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2260"/>
        <v>2608.556</v>
      </c>
      <c r="AB3010" s="3">
        <f t="shared" si="2261"/>
        <v>38323.94</v>
      </c>
      <c r="AC3010" s="3" cm="1">
        <f t="array" ref="AC3010">100000000/LvacE(AA3010)</f>
        <v>38323.938933752077</v>
      </c>
      <c r="AD3010" s="10">
        <f t="shared" si="2262"/>
        <v>1.2345814874925453E-2</v>
      </c>
      <c r="AE3010" s="10" t="b">
        <f t="shared" si="2263"/>
        <v>1</v>
      </c>
      <c r="AP3010"/>
      <c r="AQ3010"/>
      <c r="AU3010" s="13" cm="1">
        <f t="array" ref="AU3010">$C3010*EXP(poly_from_str(100000000/$E3010,AU$4343))</f>
        <v>7.7111929183470789</v>
      </c>
    </row>
    <row r="3011" spans="1:51" x14ac:dyDescent="0.25">
      <c r="A3011" t="s">
        <v>3592</v>
      </c>
      <c r="B3011" s="2" t="str">
        <f t="shared" si="2355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2356">ROUND($A3011,3)+0</f>
        <v>2608.2449999999999</v>
      </c>
      <c r="AB3011" s="3">
        <f t="shared" ref="AB3011:AB3074" si="2357">ROUND($E3011,2)+0</f>
        <v>38328.51</v>
      </c>
      <c r="AC3011" s="3" cm="1">
        <f t="array" ref="AC3011">100000000/LvacE(AA3011)</f>
        <v>38328.508295937791</v>
      </c>
      <c r="AD3011" s="10">
        <f t="shared" ref="AD3011:AD3074" si="2358">0.0005/$AA3011*AC3011+0.005</f>
        <v>1.2347566715538185E-2</v>
      </c>
      <c r="AE3011" s="10" t="b">
        <f t="shared" ref="AE3011:AE3074" si="2359">ABS(AB3011-AC3011)&lt;AD3011</f>
        <v>1</v>
      </c>
      <c r="AJ3011" t="s">
        <v>4708</v>
      </c>
      <c r="AK3011" t="s">
        <v>4862</v>
      </c>
      <c r="AL3011">
        <v>28720.71</v>
      </c>
      <c r="AM3011">
        <v>67049.179999999993</v>
      </c>
      <c r="AN3011" s="10" cm="1">
        <f t="array" ref="AN3011">Lair(100000000/($AM3011-$AL3011))</f>
        <v>2608.2476053312021</v>
      </c>
      <c r="AO3011" s="10">
        <f>100000000/($AM3011-$AL3011)</f>
        <v>2609.0266582516865</v>
      </c>
      <c r="AP3011" s="12">
        <v>19100000</v>
      </c>
      <c r="AQ3011" s="3">
        <v>2.3E-2</v>
      </c>
      <c r="AR3011" s="3"/>
      <c r="AS3011" s="13">
        <f>EXP(AR$4341*$AM3011+AR$4342)*$AP3011/(100000000/($AM3011-$AL3011))</f>
        <v>4.224319363610288</v>
      </c>
      <c r="AT3011" s="3"/>
      <c r="AU3011" s="13" cm="1">
        <f t="array" ref="AU3011">$C3011*EXP(poly_from_str(100000000/$E3011,AU$4343))</f>
        <v>15.444984464343545</v>
      </c>
      <c r="AV3011" s="13"/>
      <c r="AW3011" s="13"/>
      <c r="AX3011" s="13"/>
      <c r="AY3011" s="13"/>
    </row>
    <row r="3012" spans="1:51" x14ac:dyDescent="0.25">
      <c r="A3012" t="s">
        <v>3593</v>
      </c>
      <c r="B3012" s="2" t="str">
        <f t="shared" si="2355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2356"/>
        <v>2607.8980000000001</v>
      </c>
      <c r="AB3012" s="3">
        <f t="shared" si="2357"/>
        <v>38333.61</v>
      </c>
      <c r="AC3012" s="3" cm="1">
        <f t="array" ref="AC3012">100000000/LvacE(AA3012)</f>
        <v>38333.607873712775</v>
      </c>
      <c r="AD3012" s="10">
        <f t="shared" si="2358"/>
        <v>1.2349522081330017E-2</v>
      </c>
      <c r="AE3012" s="10" t="b">
        <f t="shared" si="2359"/>
        <v>1</v>
      </c>
      <c r="AP3012"/>
      <c r="AQ3012"/>
      <c r="AU3012" s="13" cm="1">
        <f t="array" ref="AU3012">$C3012*EXP(poly_from_str(100000000/$E3012,AU$4343))</f>
        <v>12.891795589387531</v>
      </c>
    </row>
    <row r="3013" spans="1:51" x14ac:dyDescent="0.25">
      <c r="A3013" t="s">
        <v>3594</v>
      </c>
      <c r="B3013" s="2" t="str">
        <f t="shared" si="2355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2356"/>
        <v>2606.7649999999999</v>
      </c>
      <c r="AB3013" s="3">
        <f t="shared" si="2357"/>
        <v>38350.269999999997</v>
      </c>
      <c r="AC3013" s="3" cm="1">
        <f t="array" ref="AC3013">100000000/LvacE(AA3013)</f>
        <v>38350.268108928627</v>
      </c>
      <c r="AD3013" s="10">
        <f t="shared" si="2358"/>
        <v>1.2355912042115155E-2</v>
      </c>
      <c r="AE3013" s="10" t="b">
        <f t="shared" si="2359"/>
        <v>1</v>
      </c>
      <c r="AP3013"/>
      <c r="AQ3013"/>
      <c r="AU3013" s="13" cm="1">
        <f t="array" ref="AU3013">$C3013*EXP(poly_from_str(100000000/$E3013,AU$4343))</f>
        <v>5.1840047779463747</v>
      </c>
    </row>
    <row r="3014" spans="1:51" x14ac:dyDescent="0.25">
      <c r="A3014" t="s">
        <v>3595</v>
      </c>
      <c r="B3014" s="2" t="str">
        <f t="shared" si="2355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2360">$G3014&amp;""</f>
        <v>e</v>
      </c>
      <c r="N3014" t="str">
        <f t="shared" ref="N3014:N3025" si="2361">$H3014&amp;""</f>
        <v>7/2</v>
      </c>
      <c r="O3014">
        <v>73378.42</v>
      </c>
      <c r="P3014" t="str">
        <f t="shared" ref="P3014:P3025" si="2362">$J3014&amp;""</f>
        <v>o</v>
      </c>
      <c r="Q3014" t="str">
        <f t="shared" ref="Q3014:Q3025" si="2363">$K3014&amp;""</f>
        <v>7/2</v>
      </c>
      <c r="R3014">
        <v>29</v>
      </c>
      <c r="AA3014" s="10">
        <f t="shared" si="2356"/>
        <v>2606.5149999999999</v>
      </c>
      <c r="AB3014" s="3">
        <f t="shared" si="2357"/>
        <v>38353.949999999997</v>
      </c>
      <c r="AC3014" s="3" cm="1">
        <f t="array" ref="AC3014">100000000/LvacE(AA3014)</f>
        <v>38353.946192337819</v>
      </c>
      <c r="AD3014" s="10">
        <f t="shared" si="2358"/>
        <v>1.2357323129223854E-2</v>
      </c>
      <c r="AE3014" s="10" t="b">
        <f t="shared" si="2359"/>
        <v>1</v>
      </c>
      <c r="AJ3014" t="s">
        <v>4770</v>
      </c>
      <c r="AK3014" t="s">
        <v>4919</v>
      </c>
      <c r="AL3014">
        <v>35024.49</v>
      </c>
      <c r="AM3014">
        <v>73378.42</v>
      </c>
      <c r="AN3014" s="10" cm="1">
        <f t="array" ref="AN3014">Lair(100000000/($AM3014-$AL3014))</f>
        <v>2606.5160996579129</v>
      </c>
      <c r="AO3014" s="10">
        <f t="shared" ref="AO3014:AO3025" si="2364">100000000/($AM3014-$AL3014)</f>
        <v>2607.2947413733091</v>
      </c>
      <c r="AP3014" s="12">
        <v>113000000</v>
      </c>
      <c r="AQ3014" s="3">
        <v>0.18</v>
      </c>
      <c r="AR3014" s="3">
        <f t="shared" ref="AR3014:AR3017" si="2365">LN(AU3014*100000000/($AM3014-$AL3014)/AP3014)</f>
        <v>-8.1138041374688648</v>
      </c>
      <c r="AS3014" s="13">
        <f t="shared" ref="AS3014:AS3018" si="2366">EXP(AR$4341*$AM3014+AR$4342)*$AP3014/(100000000/($AM3014-$AL3014))</f>
        <v>15.552676053001575</v>
      </c>
      <c r="AT3014" s="3">
        <f t="shared" ref="AT3014:AT3017" si="2367">LN(AS3014/$C3014)</f>
        <v>1.1347948048253811</v>
      </c>
      <c r="AU3014" s="13" cm="1">
        <f t="array" ref="AU3014">$C3014*EXP(poly_from_str(100000000/$E3014,AU$4343))</f>
        <v>12.975017450507531</v>
      </c>
      <c r="AV3014" s="13">
        <f t="shared" ref="AV3014:AV3017" si="2368">LN(AS3014/AU3014)</f>
        <v>0.18120694327529049</v>
      </c>
      <c r="AW3014" s="13"/>
      <c r="AX3014" s="13"/>
      <c r="AY3014" s="13"/>
    </row>
    <row r="3015" spans="1:51" x14ac:dyDescent="0.25">
      <c r="A3015" t="s">
        <v>3596</v>
      </c>
      <c r="B3015" s="2" t="str">
        <f t="shared" si="2355"/>
        <v/>
      </c>
      <c r="C3015">
        <v>6</v>
      </c>
      <c r="D3015" t="s">
        <v>1156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2360"/>
        <v>e</v>
      </c>
      <c r="N3015" t="str">
        <f t="shared" si="2361"/>
        <v>9/2</v>
      </c>
      <c r="O3015">
        <v>67240.350000000006</v>
      </c>
      <c r="P3015" t="str">
        <f t="shared" si="2362"/>
        <v>o</v>
      </c>
      <c r="Q3015" t="str">
        <f t="shared" si="2363"/>
        <v>7/2</v>
      </c>
      <c r="R3015">
        <v>29</v>
      </c>
      <c r="AA3015" s="10">
        <f t="shared" si="2356"/>
        <v>2606.3850000000002</v>
      </c>
      <c r="AB3015" s="3">
        <f t="shared" si="2357"/>
        <v>38355.86</v>
      </c>
      <c r="AC3015" s="3" cm="1">
        <f t="array" ref="AC3015">100000000/LvacE(AA3015)</f>
        <v>38355.859074527987</v>
      </c>
      <c r="AD3015" s="10">
        <f t="shared" si="2358"/>
        <v>1.2358057054987652E-2</v>
      </c>
      <c r="AE3015" s="10" t="b">
        <f t="shared" si="2359"/>
        <v>1</v>
      </c>
      <c r="AJ3015" t="s">
        <v>4742</v>
      </c>
      <c r="AK3015" t="s">
        <v>4852</v>
      </c>
      <c r="AL3015">
        <v>28885.14</v>
      </c>
      <c r="AM3015">
        <v>67240.350000000006</v>
      </c>
      <c r="AN3015" s="10" cm="1">
        <f t="array" ref="AN3015">Lair(100000000/($AM3015-$AL3015))</f>
        <v>2606.4291089982858</v>
      </c>
      <c r="AO3015" s="10">
        <f t="shared" si="2364"/>
        <v>2607.207730058054</v>
      </c>
      <c r="AP3015" s="12">
        <v>58400000</v>
      </c>
      <c r="AQ3015" s="3">
        <v>7.3999999999999996E-2</v>
      </c>
      <c r="AR3015" s="3">
        <f t="shared" si="2365"/>
        <v>-7.2708446508676872</v>
      </c>
      <c r="AS3015" s="13">
        <f t="shared" si="2366"/>
        <v>12.741143803863325</v>
      </c>
      <c r="AT3015" s="3">
        <f t="shared" si="2367"/>
        <v>0.75307695740895642</v>
      </c>
      <c r="AU3015" s="13" cm="1">
        <f t="array" ref="AU3015">$C3015*EXP(poly_from_str(100000000/$E3015,AU$4343))</f>
        <v>15.579355999683202</v>
      </c>
      <c r="AV3015" s="13">
        <f t="shared" si="2368"/>
        <v>-0.20111027788601052</v>
      </c>
      <c r="AW3015" s="13"/>
      <c r="AX3015" s="13"/>
      <c r="AY3015" s="13"/>
    </row>
    <row r="3016" spans="1:51" x14ac:dyDescent="0.25">
      <c r="A3016" t="s">
        <v>3597</v>
      </c>
      <c r="B3016" s="2" t="str">
        <f t="shared" si="2355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2360"/>
        <v>o</v>
      </c>
      <c r="N3016" t="str">
        <f t="shared" si="2361"/>
        <v>11/2</v>
      </c>
      <c r="O3016">
        <v>100625.04</v>
      </c>
      <c r="P3016" t="str">
        <f t="shared" si="2362"/>
        <v>e</v>
      </c>
      <c r="Q3016" t="str">
        <f t="shared" si="2363"/>
        <v>11/2</v>
      </c>
      <c r="R3016">
        <v>29</v>
      </c>
      <c r="AA3016" s="10">
        <f t="shared" si="2356"/>
        <v>2604.4569999999999</v>
      </c>
      <c r="AB3016" s="3">
        <f t="shared" si="2357"/>
        <v>38384.25</v>
      </c>
      <c r="AC3016" s="3" cm="1">
        <f t="array" ref="AC3016">100000000/LvacE(AA3016)</f>
        <v>38384.2510034019</v>
      </c>
      <c r="AD3016" s="10">
        <f t="shared" si="2358"/>
        <v>1.2368954642637969E-2</v>
      </c>
      <c r="AE3016" s="10" t="b">
        <f t="shared" si="2359"/>
        <v>1</v>
      </c>
      <c r="AJ3016" t="s">
        <v>4892</v>
      </c>
      <c r="AK3016" t="s">
        <v>4871</v>
      </c>
      <c r="AL3016">
        <v>62240.83</v>
      </c>
      <c r="AM3016">
        <v>100625.04</v>
      </c>
      <c r="AN3016" s="10" cm="1">
        <f t="array" ref="AN3016">Lair(100000000/($AM3016-$AL3016))</f>
        <v>2604.4597815441675</v>
      </c>
      <c r="AO3016" s="10">
        <f t="shared" si="2364"/>
        <v>2605.2379350779925</v>
      </c>
      <c r="AP3016" s="12">
        <v>374000000</v>
      </c>
      <c r="AQ3016" s="3">
        <v>0.58099999999999996</v>
      </c>
      <c r="AR3016" s="3">
        <f t="shared" si="2365"/>
        <v>-9.8128760120450913</v>
      </c>
      <c r="AS3016" s="13">
        <f t="shared" si="2366"/>
        <v>6.666662264376729</v>
      </c>
      <c r="AT3016" s="3">
        <f t="shared" si="2367"/>
        <v>0.79850703587406291</v>
      </c>
      <c r="AU3016" s="13" cm="1">
        <f t="array" ref="AU3016">$C3016*EXP(poly_from_str(100000000/$E3016,AU$4343))</f>
        <v>7.8586202905181208</v>
      </c>
      <c r="AV3016" s="13">
        <f t="shared" si="2368"/>
        <v>-0.16449173093328245</v>
      </c>
      <c r="AW3016" s="13"/>
      <c r="AX3016" s="13"/>
      <c r="AY3016" s="13"/>
    </row>
    <row r="3017" spans="1:51" x14ac:dyDescent="0.25">
      <c r="A3017" t="s">
        <v>3598</v>
      </c>
      <c r="B3017" s="2" t="str">
        <f t="shared" si="2355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2360"/>
        <v>e</v>
      </c>
      <c r="N3017" t="str">
        <f t="shared" si="2361"/>
        <v>9/2</v>
      </c>
      <c r="O3017">
        <v>62240.83</v>
      </c>
      <c r="P3017" t="str">
        <f t="shared" si="2362"/>
        <v>o</v>
      </c>
      <c r="Q3017" t="str">
        <f t="shared" si="2363"/>
        <v>11/2</v>
      </c>
      <c r="R3017">
        <v>29</v>
      </c>
      <c r="AA3017" s="10">
        <f t="shared" si="2356"/>
        <v>2603.6460000000002</v>
      </c>
      <c r="AB3017" s="3">
        <f t="shared" si="2357"/>
        <v>38396.21</v>
      </c>
      <c r="AC3017" s="3" cm="1">
        <f t="array" ref="AC3017">100000000/LvacE(AA3017)</f>
        <v>38396.206436182511</v>
      </c>
      <c r="AD3017" s="10">
        <f t="shared" si="2358"/>
        <v>1.2373545873014709E-2</v>
      </c>
      <c r="AE3017" s="10" t="b">
        <f t="shared" si="2359"/>
        <v>1</v>
      </c>
      <c r="AJ3017" t="s">
        <v>4763</v>
      </c>
      <c r="AK3017" t="s">
        <v>4892</v>
      </c>
      <c r="AL3017">
        <v>23844.58</v>
      </c>
      <c r="AM3017">
        <v>62240.83</v>
      </c>
      <c r="AN3017" s="10" cm="1">
        <f t="array" ref="AN3017">Lair(100000000/($AM3017-$AL3017))</f>
        <v>2603.6430449707227</v>
      </c>
      <c r="AO3017" s="10">
        <f t="shared" si="2364"/>
        <v>2604.4210046554026</v>
      </c>
      <c r="AP3017" s="12">
        <v>32300000</v>
      </c>
      <c r="AQ3017" s="3">
        <v>0.12</v>
      </c>
      <c r="AR3017" s="3">
        <f t="shared" si="2365"/>
        <v>-6.667196036454186</v>
      </c>
      <c r="AS3017" s="13">
        <f t="shared" si="2366"/>
        <v>10.266179716937533</v>
      </c>
      <c r="AT3017" s="3">
        <f t="shared" si="2367"/>
        <v>0.53709550079009594</v>
      </c>
      <c r="AU3017" s="13" cm="1">
        <f t="array" ref="AU3017">$C3017*EXP(poly_from_str(100000000/$E3017,AU$4343))</f>
        <v>15.774837154193484</v>
      </c>
      <c r="AV3017" s="13">
        <f t="shared" si="2368"/>
        <v>-0.4295611153253191</v>
      </c>
      <c r="AW3017" s="13"/>
      <c r="AX3017" s="13"/>
      <c r="AY3017" s="13"/>
    </row>
    <row r="3018" spans="1:51" x14ac:dyDescent="0.25">
      <c r="A3018" t="s">
        <v>3599</v>
      </c>
      <c r="B3018" s="2" t="str">
        <f t="shared" si="2355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2360"/>
        <v>e</v>
      </c>
      <c r="N3018" t="str">
        <f t="shared" si="2361"/>
        <v>5/2</v>
      </c>
      <c r="O3018">
        <v>75409.58</v>
      </c>
      <c r="P3018" t="str">
        <f t="shared" si="2362"/>
        <v>o</v>
      </c>
      <c r="Q3018" t="str">
        <f t="shared" si="2363"/>
        <v>3/2</v>
      </c>
      <c r="R3018">
        <v>29</v>
      </c>
      <c r="AA3018" s="10">
        <f t="shared" si="2356"/>
        <v>2603.549</v>
      </c>
      <c r="AB3018" s="3">
        <f t="shared" si="2357"/>
        <v>38397.64</v>
      </c>
      <c r="AC3018" s="3" cm="1">
        <f t="array" ref="AC3018">100000000/LvacE(AA3018)</f>
        <v>38397.636869444839</v>
      </c>
      <c r="AD3018" s="10">
        <f t="shared" si="2358"/>
        <v>1.2374095296352181E-2</v>
      </c>
      <c r="AE3018" s="10" t="b">
        <f t="shared" si="2359"/>
        <v>1</v>
      </c>
      <c r="AJ3018" t="s">
        <v>4768</v>
      </c>
      <c r="AK3018" t="s">
        <v>4905</v>
      </c>
      <c r="AL3018">
        <v>37011.919999999998</v>
      </c>
      <c r="AM3018">
        <v>75409.58</v>
      </c>
      <c r="AN3018" s="10" cm="1">
        <f t="array" ref="AN3018">Lair(100000000/($AM3018-$AL3018))</f>
        <v>2603.5474307509189</v>
      </c>
      <c r="AO3018" s="10">
        <f t="shared" si="2364"/>
        <v>2604.3253677437633</v>
      </c>
      <c r="AP3018" s="12">
        <v>1740000</v>
      </c>
      <c r="AQ3018" s="3">
        <v>3.0000000000000001E-3</v>
      </c>
      <c r="AR3018" s="3"/>
      <c r="AS3018" s="13">
        <f t="shared" si="2366"/>
        <v>0.20585928120853803</v>
      </c>
      <c r="AT3018" s="3"/>
      <c r="AU3018" s="13" cm="1">
        <f t="array" ref="AU3018">$C3018*EXP(poly_from_str(100000000/$E3018,AU$4343))</f>
        <v>5.2605680463855196</v>
      </c>
      <c r="AV3018" s="13"/>
      <c r="AW3018" s="13"/>
      <c r="AX3018" s="13"/>
      <c r="AY3018" s="13"/>
    </row>
    <row r="3019" spans="1:51" x14ac:dyDescent="0.25">
      <c r="A3019" t="s">
        <v>3600</v>
      </c>
      <c r="B3019" s="2" t="str">
        <f t="shared" si="2355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2360"/>
        <v>o</v>
      </c>
      <c r="N3019" t="str">
        <f t="shared" si="2361"/>
        <v>9/2</v>
      </c>
      <c r="O3019">
        <v>105450.18</v>
      </c>
      <c r="P3019" t="str">
        <f t="shared" si="2362"/>
        <v>e</v>
      </c>
      <c r="Q3019" t="str">
        <f t="shared" si="2363"/>
        <v>11/2</v>
      </c>
      <c r="R3019">
        <v>29</v>
      </c>
      <c r="AA3019" s="10">
        <f t="shared" si="2356"/>
        <v>2603.3200000000002</v>
      </c>
      <c r="AB3019" s="3">
        <f t="shared" si="2357"/>
        <v>38401.01</v>
      </c>
      <c r="AC3019" s="3" cm="1">
        <f t="array" ref="AC3019">100000000/LvacE(AA3019)</f>
        <v>38401.014294517903</v>
      </c>
      <c r="AD3019" s="10">
        <f t="shared" si="2358"/>
        <v>1.2375392632200017E-2</v>
      </c>
      <c r="AE3019" s="10" t="b">
        <f t="shared" si="2359"/>
        <v>1</v>
      </c>
      <c r="AJ3019" t="s">
        <v>4862</v>
      </c>
      <c r="AK3019" t="s">
        <v>4883</v>
      </c>
      <c r="AL3019">
        <v>67049.179999999993</v>
      </c>
      <c r="AM3019">
        <v>105450.18</v>
      </c>
      <c r="AN3019" s="10" cm="1">
        <f t="array" ref="AN3019">Lair(100000000/($AM3019-$AL3019))</f>
        <v>2603.3209683436849</v>
      </c>
      <c r="AO3019" s="10">
        <f t="shared" si="2364"/>
        <v>2604.0988515924064</v>
      </c>
      <c r="AU3019" s="13" cm="1">
        <f t="array" ref="AU3019">$C3019*EXP(poly_from_str(100000000/$E3019,AU$4343))</f>
        <v>5.2659568729196859</v>
      </c>
    </row>
    <row r="3020" spans="1:51" x14ac:dyDescent="0.25">
      <c r="A3020" t="s">
        <v>3601</v>
      </c>
      <c r="B3020" s="2" t="str">
        <f t="shared" si="2355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2360"/>
        <v>o</v>
      </c>
      <c r="N3020" t="str">
        <f t="shared" si="2361"/>
        <v>13/2</v>
      </c>
      <c r="O3020">
        <v>102617.24</v>
      </c>
      <c r="P3020" t="str">
        <f t="shared" si="2362"/>
        <v>e</v>
      </c>
      <c r="Q3020" t="str">
        <f t="shared" si="2363"/>
        <v>11/2</v>
      </c>
      <c r="R3020">
        <v>29</v>
      </c>
      <c r="AA3020" s="10">
        <f t="shared" si="2356"/>
        <v>2603.2629999999999</v>
      </c>
      <c r="AB3020" s="3">
        <f t="shared" si="2357"/>
        <v>38401.85</v>
      </c>
      <c r="AC3020" s="3" cm="1">
        <f t="array" ref="AC3020">100000000/LvacE(AA3020)</f>
        <v>38401.8550559879</v>
      </c>
      <c r="AD3020" s="10">
        <f t="shared" si="2358"/>
        <v>1.2375715603069666E-2</v>
      </c>
      <c r="AE3020" s="10" t="b">
        <f t="shared" si="2359"/>
        <v>1</v>
      </c>
      <c r="AJ3020" t="s">
        <v>4823</v>
      </c>
      <c r="AK3020" t="s">
        <v>4845</v>
      </c>
      <c r="AL3020">
        <v>64215.45</v>
      </c>
      <c r="AM3020">
        <v>102617.24</v>
      </c>
      <c r="AN3020" s="10" cm="1">
        <f t="array" ref="AN3020">Lair(100000000/($AM3020-$AL3020))</f>
        <v>2603.2674096424817</v>
      </c>
      <c r="AO3020" s="10">
        <f t="shared" si="2364"/>
        <v>2604.0452801809492</v>
      </c>
      <c r="AU3020" s="13" cm="1">
        <f t="array" ref="AU3020">$C3020*EXP(poly_from_str(100000000/$E3020,AU$4343))</f>
        <v>2.6336494373966679</v>
      </c>
    </row>
    <row r="3021" spans="1:51" x14ac:dyDescent="0.25">
      <c r="A3021" t="s">
        <v>3602</v>
      </c>
      <c r="B3021" s="2" t="str">
        <f t="shared" si="2355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2360"/>
        <v>e</v>
      </c>
      <c r="N3021" t="str">
        <f t="shared" si="2361"/>
        <v>11/2</v>
      </c>
      <c r="O3021">
        <v>60166.2</v>
      </c>
      <c r="P3021" t="str">
        <f t="shared" si="2362"/>
        <v>o</v>
      </c>
      <c r="Q3021" t="str">
        <f t="shared" si="2363"/>
        <v>9/2</v>
      </c>
      <c r="R3021">
        <v>29</v>
      </c>
      <c r="AA3021" s="10">
        <f t="shared" si="2356"/>
        <v>2602.69</v>
      </c>
      <c r="AB3021" s="3">
        <f t="shared" si="2357"/>
        <v>38410.31</v>
      </c>
      <c r="AC3021" s="3" cm="1">
        <f t="array" ref="AC3021">100000000/LvacE(AA3021)</f>
        <v>38410.308966889927</v>
      </c>
      <c r="AD3021" s="10">
        <f t="shared" si="2358"/>
        <v>1.2378963489099726E-2</v>
      </c>
      <c r="AE3021" s="10" t="b">
        <f t="shared" si="2359"/>
        <v>1</v>
      </c>
      <c r="AJ3021" t="s">
        <v>4965</v>
      </c>
      <c r="AK3021" t="s">
        <v>4726</v>
      </c>
      <c r="AL3021">
        <v>21755.84</v>
      </c>
      <c r="AM3021">
        <v>60166.2</v>
      </c>
      <c r="AN3021" s="10" cm="1">
        <f t="array" ref="AN3021">Lair(100000000/($AM3021-$AL3021))</f>
        <v>2602.6865410035298</v>
      </c>
      <c r="AO3021" s="10">
        <f t="shared" si="2364"/>
        <v>2603.4642737011577</v>
      </c>
      <c r="AP3021" s="12">
        <v>15300000</v>
      </c>
      <c r="AQ3021" s="3">
        <v>0.11600000000000001</v>
      </c>
      <c r="AR3021" s="3">
        <f t="shared" ref="AR3021:AR3022" si="2369">LN(AU3021*100000000/($AM3021-$AL3021)/AP3021)</f>
        <v>-6.3215426531219867</v>
      </c>
      <c r="AS3021" s="13">
        <f t="shared" ref="AS3021:AS3025" si="2370">EXP(AR$4341*$AM3021+AR$4342)*$AP3021/(100000000/($AM3021-$AL3021))</f>
        <v>5.6842673458884683</v>
      </c>
      <c r="AT3021" s="3">
        <f t="shared" ref="AT3021:AT3025" si="2371">LN(AS3021/$C3021)</f>
        <v>0.35140788282386282</v>
      </c>
      <c r="AU3021" s="13" cm="1">
        <f t="array" ref="AU3021">$C3021*EXP(poly_from_str(100000000/$E3021,AU$4343))</f>
        <v>10.561575720928888</v>
      </c>
      <c r="AV3021" s="13">
        <f t="shared" ref="AV3021:AV3022" si="2372">LN(AS3021/AU3021)</f>
        <v>-0.61952023919981614</v>
      </c>
      <c r="AW3021" s="13"/>
      <c r="AX3021" s="13"/>
      <c r="AY3021" s="13"/>
    </row>
    <row r="3022" spans="1:51" x14ac:dyDescent="0.25">
      <c r="A3022" t="s">
        <v>3603</v>
      </c>
      <c r="B3022" s="2" t="str">
        <f t="shared" si="2355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2360"/>
        <v>e</v>
      </c>
      <c r="N3022" t="str">
        <f t="shared" si="2361"/>
        <v>5/2</v>
      </c>
      <c r="O3022">
        <v>67679.210000000006</v>
      </c>
      <c r="P3022" t="str">
        <f t="shared" si="2362"/>
        <v>o</v>
      </c>
      <c r="Q3022" t="str">
        <f t="shared" si="2363"/>
        <v>7/2</v>
      </c>
      <c r="R3022">
        <v>29</v>
      </c>
      <c r="S3022" t="s">
        <v>2205</v>
      </c>
      <c r="AA3022" s="10">
        <f t="shared" si="2356"/>
        <v>2602.616</v>
      </c>
      <c r="AB3022" s="3">
        <f t="shared" si="2357"/>
        <v>38411.4</v>
      </c>
      <c r="AC3022" s="3" cm="1">
        <f t="array" ref="AC3022">100000000/LvacE(AA3022)</f>
        <v>38411.401017339798</v>
      </c>
      <c r="AD3022" s="10">
        <f t="shared" si="2358"/>
        <v>1.2379383093268427E-2</v>
      </c>
      <c r="AE3022" s="10" t="b">
        <f t="shared" si="2359"/>
        <v>1</v>
      </c>
      <c r="AJ3022" t="s">
        <v>4700</v>
      </c>
      <c r="AK3022" t="s">
        <v>4861</v>
      </c>
      <c r="AL3022">
        <v>29267.86</v>
      </c>
      <c r="AM3022">
        <v>67679.210000000006</v>
      </c>
      <c r="AN3022" s="10" cm="1">
        <f t="array" ref="AN3022">Lair(100000000/($AM3022-$AL3022))</f>
        <v>2602.6194561917828</v>
      </c>
      <c r="AO3022" s="10">
        <f t="shared" si="2364"/>
        <v>2603.3971729710097</v>
      </c>
      <c r="AP3022" s="12">
        <v>45600000</v>
      </c>
      <c r="AQ3022" s="3">
        <v>0.14899999999999999</v>
      </c>
      <c r="AR3022" s="3">
        <f t="shared" si="2369"/>
        <v>-7.4132949368545802</v>
      </c>
      <c r="AS3022" s="13">
        <f t="shared" si="2370"/>
        <v>9.6403348987704423</v>
      </c>
      <c r="AT3022" s="3">
        <f t="shared" si="2371"/>
        <v>0.87966148743547812</v>
      </c>
      <c r="AU3022" s="13" cm="1">
        <f t="array" ref="AU3022">$C3022*EXP(poly_from_str(100000000/$E3022,AU$4343))</f>
        <v>10.565044483276717</v>
      </c>
      <c r="AV3022" s="13">
        <f t="shared" si="2372"/>
        <v>-9.1595012941716167E-2</v>
      </c>
      <c r="AW3022" s="13"/>
      <c r="AX3022" s="13"/>
      <c r="AY3022" s="13"/>
    </row>
    <row r="3023" spans="1:51" x14ac:dyDescent="0.25">
      <c r="A3023" t="s">
        <v>3604</v>
      </c>
      <c r="B3023" s="2">
        <f t="shared" si="2355"/>
        <v>1</v>
      </c>
      <c r="C3023">
        <v>2</v>
      </c>
      <c r="D3023" t="s">
        <v>3264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2360"/>
        <v>e</v>
      </c>
      <c r="N3023" t="str">
        <f t="shared" si="2361"/>
        <v>9/2</v>
      </c>
      <c r="O3023">
        <v>69408.509999999995</v>
      </c>
      <c r="P3023" t="str">
        <f t="shared" si="2362"/>
        <v>o</v>
      </c>
      <c r="Q3023" t="str">
        <f t="shared" si="2363"/>
        <v>11/2</v>
      </c>
      <c r="R3023">
        <v>29</v>
      </c>
      <c r="AA3023" s="10">
        <f t="shared" si="2356"/>
        <v>2602.4459999999999</v>
      </c>
      <c r="AB3023" s="3">
        <f t="shared" si="2357"/>
        <v>38413.910000000003</v>
      </c>
      <c r="AC3023" s="3" cm="1">
        <f t="array" ref="AC3023">100000000/LvacE(AA3023)</f>
        <v>38413.910017076167</v>
      </c>
      <c r="AD3023" s="10">
        <f t="shared" si="2358"/>
        <v>1.2380347184355827E-2</v>
      </c>
      <c r="AE3023" s="10" t="b">
        <f t="shared" si="2359"/>
        <v>1</v>
      </c>
      <c r="AJ3023" t="s">
        <v>4788</v>
      </c>
      <c r="AK3023" t="s">
        <v>4951</v>
      </c>
      <c r="AL3023">
        <v>30994.55</v>
      </c>
      <c r="AM3023">
        <v>69408.509999999995</v>
      </c>
      <c r="AN3023" s="10" cm="1">
        <f t="array" ref="AN3023">Lair(100000000/($AM3023-$AL3023))</f>
        <v>2602.4426128072387</v>
      </c>
      <c r="AO3023" s="10">
        <f t="shared" si="2364"/>
        <v>2603.2202876246038</v>
      </c>
      <c r="AP3023" s="12">
        <v>330000</v>
      </c>
      <c r="AQ3023" s="3">
        <v>3.0000000000000001E-3</v>
      </c>
      <c r="AR3023" s="3"/>
      <c r="AS3023" s="13">
        <f t="shared" si="2370"/>
        <v>6.1278581111975615E-2</v>
      </c>
      <c r="AT3023" s="3"/>
      <c r="AU3023" s="13" cm="1">
        <f t="array" ref="AU3023">$C3023*EXP(poly_from_str(100000000/$E3023,AU$4343))</f>
        <v>5.2865129966986517</v>
      </c>
      <c r="AV3023" s="13"/>
      <c r="AW3023" s="13"/>
      <c r="AX3023" s="13"/>
      <c r="AY3023" s="13"/>
    </row>
    <row r="3024" spans="1:51" x14ac:dyDescent="0.25">
      <c r="A3024" t="s">
        <v>3604</v>
      </c>
      <c r="B3024" s="2">
        <f t="shared" si="2355"/>
        <v>2</v>
      </c>
      <c r="C3024">
        <v>2</v>
      </c>
      <c r="D3024" t="s">
        <v>3264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2360"/>
        <v>o</v>
      </c>
      <c r="N3024" t="str">
        <f t="shared" si="2361"/>
        <v>7/2</v>
      </c>
      <c r="O3024">
        <v>106745.65</v>
      </c>
      <c r="P3024" t="str">
        <f t="shared" si="2362"/>
        <v>e</v>
      </c>
      <c r="Q3024" t="str">
        <f t="shared" si="2363"/>
        <v>5/2</v>
      </c>
      <c r="R3024">
        <v>29</v>
      </c>
      <c r="AA3024" s="10">
        <f t="shared" si="2356"/>
        <v>2602.4459999999999</v>
      </c>
      <c r="AB3024" s="3">
        <f t="shared" si="2357"/>
        <v>38413.910000000003</v>
      </c>
      <c r="AC3024" s="3" cm="1">
        <f t="array" ref="AC3024">100000000/LvacE(AA3024)</f>
        <v>38413.910017076167</v>
      </c>
      <c r="AD3024" s="10">
        <f t="shared" si="2358"/>
        <v>1.2380347184355827E-2</v>
      </c>
      <c r="AE3024" s="10" t="b">
        <f t="shared" si="2359"/>
        <v>1</v>
      </c>
      <c r="AJ3024" t="s">
        <v>4923</v>
      </c>
      <c r="AK3024" t="s">
        <v>4957</v>
      </c>
      <c r="AL3024">
        <v>68331.75</v>
      </c>
      <c r="AM3024">
        <v>106745.65</v>
      </c>
      <c r="AN3024" s="10" cm="1">
        <f t="array" ref="AN3024">Lair(100000000/($AM3024-$AL3024))</f>
        <v>2602.4466779025474</v>
      </c>
      <c r="AO3024" s="10">
        <f t="shared" si="2364"/>
        <v>2603.224353684474</v>
      </c>
      <c r="AP3024" s="12">
        <v>370000000</v>
      </c>
      <c r="AQ3024" s="3">
        <v>0.68300000000000005</v>
      </c>
      <c r="AR3024" s="3">
        <f t="shared" ref="AR3024:AR3025" si="2373">LN(AU3024*100000000/($AM3024-$AL3024)/AP3024)</f>
        <v>-10.199348612237156</v>
      </c>
      <c r="AS3024" s="13">
        <f t="shared" si="2370"/>
        <v>4.16954859730017</v>
      </c>
      <c r="AT3024" s="3">
        <f t="shared" si="2371"/>
        <v>0.73466059934338457</v>
      </c>
      <c r="AU3024" s="13" cm="1">
        <f t="array" ref="AU3024">$C3024*EXP(poly_from_str(100000000/$E3024,AU$4343))</f>
        <v>5.2865129966986517</v>
      </c>
      <c r="AV3024" s="13">
        <f t="shared" ref="AV3024:AV3025" si="2374">LN(AS3024/AU3024)</f>
        <v>-0.23735107975352407</v>
      </c>
      <c r="AW3024" s="13"/>
      <c r="AX3024" s="13"/>
      <c r="AY3024" s="13"/>
    </row>
    <row r="3025" spans="1:51" x14ac:dyDescent="0.25">
      <c r="A3025" t="s">
        <v>3605</v>
      </c>
      <c r="B3025" s="2" t="str">
        <f t="shared" si="2355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2360"/>
        <v>e</v>
      </c>
      <c r="N3025" t="str">
        <f t="shared" si="2361"/>
        <v>3/2</v>
      </c>
      <c r="O3025">
        <v>75614.81</v>
      </c>
      <c r="P3025" t="str">
        <f t="shared" si="2362"/>
        <v>o</v>
      </c>
      <c r="Q3025" t="str">
        <f t="shared" si="2363"/>
        <v>5/2</v>
      </c>
      <c r="R3025">
        <v>29</v>
      </c>
      <c r="AA3025" s="10">
        <f t="shared" si="2356"/>
        <v>2602.2240000000002</v>
      </c>
      <c r="AB3025" s="3">
        <f t="shared" si="2357"/>
        <v>38417.19</v>
      </c>
      <c r="AC3025" s="3" cm="1">
        <f t="array" ref="AC3025">100000000/LvacE(AA3025)</f>
        <v>38417.186969065144</v>
      </c>
      <c r="AD3025" s="10">
        <f t="shared" si="2358"/>
        <v>1.2381606458372749E-2</v>
      </c>
      <c r="AE3025" s="10" t="b">
        <f t="shared" si="2359"/>
        <v>1</v>
      </c>
      <c r="AJ3025" t="s">
        <v>4787</v>
      </c>
      <c r="AK3025" t="s">
        <v>4947</v>
      </c>
      <c r="AL3025">
        <v>37197.64</v>
      </c>
      <c r="AM3025">
        <v>75614.81</v>
      </c>
      <c r="AN3025" s="10" cm="1">
        <f t="array" ref="AN3025">Lair(100000000/($AM3025-$AL3025))</f>
        <v>2602.225148718946</v>
      </c>
      <c r="AO3025" s="10">
        <f t="shared" si="2364"/>
        <v>2603.0027719376521</v>
      </c>
      <c r="AP3025" s="12">
        <v>31500000</v>
      </c>
      <c r="AQ3025" s="3">
        <v>0.122</v>
      </c>
      <c r="AR3025" s="3">
        <f t="shared" si="2373"/>
        <v>-8.4280806966221906</v>
      </c>
      <c r="AS3025" s="13">
        <f t="shared" si="2370"/>
        <v>3.6716682263339218</v>
      </c>
      <c r="AT3025" s="3">
        <f t="shared" si="2371"/>
        <v>1.3006461163706518</v>
      </c>
      <c r="AU3025" s="13" cm="1">
        <f t="array" ref="AU3025">$C3025*EXP(poly_from_str(100000000/$E3025,AU$4343))</f>
        <v>2.6458607488802754</v>
      </c>
      <c r="AV3025" s="13">
        <f t="shared" si="2374"/>
        <v>0.3276496790921129</v>
      </c>
      <c r="AW3025" s="13"/>
      <c r="AX3025" s="13"/>
      <c r="AY3025" s="13"/>
    </row>
    <row r="3026" spans="1:51" x14ac:dyDescent="0.25">
      <c r="A3026" t="s">
        <v>3606</v>
      </c>
      <c r="B3026" s="2" t="str">
        <f t="shared" si="2355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2356"/>
        <v>2601.9290000000001</v>
      </c>
      <c r="AB3026" s="3">
        <f t="shared" si="2357"/>
        <v>38421.54</v>
      </c>
      <c r="AC3026" s="3" cm="1">
        <f t="array" ref="AC3026">100000000/LvacE(AA3026)</f>
        <v>38421.542342473767</v>
      </c>
      <c r="AD3026" s="10">
        <f t="shared" si="2358"/>
        <v>1.2383280316733041E-2</v>
      </c>
      <c r="AE3026" s="10" t="b">
        <f t="shared" si="2359"/>
        <v>1</v>
      </c>
      <c r="AP3026"/>
      <c r="AQ3026"/>
      <c r="AU3026" s="13" cm="1">
        <f t="array" ref="AU3026">$C3026*EXP(poly_from_str(100000000/$E3026,AU$4343))</f>
        <v>7.9479265888626083</v>
      </c>
    </row>
    <row r="3027" spans="1:51" x14ac:dyDescent="0.25">
      <c r="A3027" t="s">
        <v>3607</v>
      </c>
      <c r="B3027" s="2" t="str">
        <f t="shared" si="2355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2356"/>
        <v>2601.643</v>
      </c>
      <c r="AB3027" s="3">
        <f t="shared" si="2357"/>
        <v>38425.769999999997</v>
      </c>
      <c r="AC3027" s="3" cm="1">
        <f t="array" ref="AC3027">100000000/LvacE(AA3027)</f>
        <v>38425.765782944036</v>
      </c>
      <c r="AD3027" s="10">
        <f t="shared" si="2358"/>
        <v>1.2384903651835404E-2</v>
      </c>
      <c r="AE3027" s="10" t="b">
        <f t="shared" si="2359"/>
        <v>1</v>
      </c>
      <c r="AP3027"/>
      <c r="AQ3027"/>
      <c r="AU3027" s="13" cm="1">
        <f t="array" ref="AU3027">$C3027*EXP(poly_from_str(100000000/$E3027,AU$4343))</f>
        <v>2.6526556236098364</v>
      </c>
    </row>
    <row r="3028" spans="1:51" x14ac:dyDescent="0.25">
      <c r="A3028" t="s">
        <v>3608</v>
      </c>
      <c r="B3028" s="2" t="str">
        <f t="shared" si="2355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2356"/>
        <v>2600.953</v>
      </c>
      <c r="AB3028" s="3">
        <f t="shared" si="2357"/>
        <v>38435.96</v>
      </c>
      <c r="AC3028" s="3" cm="1">
        <f t="array" ref="AC3028">100000000/LvacE(AA3028)</f>
        <v>38435.95902536645</v>
      </c>
      <c r="AD3028" s="10">
        <f t="shared" si="2358"/>
        <v>1.2388822294244928E-2</v>
      </c>
      <c r="AE3028" s="10" t="b">
        <f t="shared" si="2359"/>
        <v>1</v>
      </c>
      <c r="AP3028"/>
      <c r="AQ3028"/>
      <c r="AU3028" s="13" cm="1">
        <f t="array" ref="AU3028">$C3028*EXP(poly_from_str(100000000/$E3028,AU$4343))</f>
        <v>15.964155814795596</v>
      </c>
    </row>
    <row r="3029" spans="1:51" x14ac:dyDescent="0.25">
      <c r="A3029" t="s">
        <v>3609</v>
      </c>
      <c r="B3029" s="2" t="str">
        <f t="shared" si="2355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2375">$G3029&amp;""</f>
        <v>o</v>
      </c>
      <c r="N3029" t="str">
        <f t="shared" ref="N3029:N3034" si="2376">$H3029&amp;""</f>
        <v>13/2</v>
      </c>
      <c r="O3029">
        <v>104598.99</v>
      </c>
      <c r="P3029" t="str">
        <f t="shared" ref="P3029:P3034" si="2377">$J3029&amp;""</f>
        <v>e</v>
      </c>
      <c r="Q3029" t="str">
        <f t="shared" ref="Q3029:Q3034" si="2378">$K3029&amp;""</f>
        <v>13/2</v>
      </c>
      <c r="R3029">
        <v>29</v>
      </c>
      <c r="AA3029" s="10">
        <f t="shared" si="2356"/>
        <v>2599.96</v>
      </c>
      <c r="AB3029" s="3">
        <f t="shared" si="2357"/>
        <v>38450.639999999999</v>
      </c>
      <c r="AC3029" s="3" cm="1">
        <f t="array" ref="AC3029">100000000/LvacE(AA3029)</f>
        <v>38450.637925427553</v>
      </c>
      <c r="AD3029" s="10">
        <f t="shared" si="2358"/>
        <v>1.2394467208231581E-2</v>
      </c>
      <c r="AE3029" s="10" t="b">
        <f t="shared" si="2359"/>
        <v>1</v>
      </c>
      <c r="AJ3029" t="s">
        <v>4694</v>
      </c>
      <c r="AK3029" t="s">
        <v>4949</v>
      </c>
      <c r="AL3029">
        <v>66148.399999999994</v>
      </c>
      <c r="AM3029">
        <v>104598.99</v>
      </c>
      <c r="AN3029" s="10" cm="1">
        <f t="array" ref="AN3029">Lair(100000000/($AM3029-$AL3029))</f>
        <v>2599.9632400984215</v>
      </c>
      <c r="AO3029" s="10">
        <f t="shared" ref="AO3029:AO3034" si="2379">100000000/($AM3029-$AL3029)</f>
        <v>2600.7403267414093</v>
      </c>
      <c r="AP3029" s="12">
        <v>411000000</v>
      </c>
      <c r="AQ3029" s="3">
        <v>0.56599999999999995</v>
      </c>
      <c r="AR3029" s="3">
        <f>LN(AU3029*100000000/($AM3029-$AL3029)/AP3029)</f>
        <v>-10.98764724669018</v>
      </c>
      <c r="AS3029" s="13">
        <f t="shared" ref="AS3029:AS3031" si="2380">EXP(AR$4341*$AM3029+AR$4342)*$AP3029/(100000000/($AM3029-$AL3029))</f>
        <v>5.4463874381770481</v>
      </c>
      <c r="AT3029" s="3">
        <f t="shared" ref="AT3029:AT3031" si="2381">LN(AS3029/$C3029)</f>
        <v>1.6949525335090374</v>
      </c>
      <c r="AU3029" s="13" cm="1">
        <f t="array" ref="AU3029">$C3029*EXP(poly_from_str(100000000/$E3029,AU$4343))</f>
        <v>2.6722080114406341</v>
      </c>
      <c r="AV3029" s="13">
        <f>LN(AS3029/AU3029)</f>
        <v>0.71204743227163103</v>
      </c>
      <c r="AW3029" s="13"/>
      <c r="AX3029" s="13"/>
      <c r="AY3029" s="13"/>
    </row>
    <row r="3030" spans="1:51" x14ac:dyDescent="0.25">
      <c r="A3030" t="s">
        <v>3610</v>
      </c>
      <c r="B3030" s="2" t="str">
        <f t="shared" si="2355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2375"/>
        <v>e</v>
      </c>
      <c r="N3030" t="str">
        <f t="shared" si="2376"/>
        <v>5/2</v>
      </c>
      <c r="O3030">
        <v>64401.03</v>
      </c>
      <c r="P3030" t="str">
        <f t="shared" si="2377"/>
        <v>o</v>
      </c>
      <c r="Q3030" t="str">
        <f t="shared" si="2378"/>
        <v>5/2</v>
      </c>
      <c r="R3030">
        <v>29</v>
      </c>
      <c r="AA3030" s="10">
        <f t="shared" si="2356"/>
        <v>2598.9160000000002</v>
      </c>
      <c r="AB3030" s="3">
        <f t="shared" si="2357"/>
        <v>38466.080000000002</v>
      </c>
      <c r="AC3030" s="3" cm="1">
        <f t="array" ref="AC3030">100000000/LvacE(AA3030)</f>
        <v>38466.082821342607</v>
      </c>
      <c r="AD3030" s="10">
        <f t="shared" si="2358"/>
        <v>1.24004090207884E-2</v>
      </c>
      <c r="AE3030" s="10" t="b">
        <f t="shared" si="2359"/>
        <v>1</v>
      </c>
      <c r="AJ3030" t="s">
        <v>4713</v>
      </c>
      <c r="AK3030" t="s">
        <v>4837</v>
      </c>
      <c r="AL3030">
        <v>25934.98</v>
      </c>
      <c r="AM3030">
        <v>64401.03</v>
      </c>
      <c r="AN3030" s="10" cm="1">
        <f t="array" ref="AN3030">Lair(100000000/($AM3030-$AL3030))</f>
        <v>2598.9182169575861</v>
      </c>
      <c r="AO3030" s="10">
        <f t="shared" si="2379"/>
        <v>2599.6950557699579</v>
      </c>
      <c r="AP3030" s="12">
        <v>3360000</v>
      </c>
      <c r="AQ3030" s="3">
        <v>7.0000000000000001E-3</v>
      </c>
      <c r="AR3030" s="3"/>
      <c r="AS3030" s="13">
        <f t="shared" si="2380"/>
        <v>0.90976308326351318</v>
      </c>
      <c r="AT3030" s="3"/>
      <c r="AU3030" s="13" cm="1">
        <f t="array" ref="AU3030">$C3030*EXP(poly_from_str(100000000/$E3030,AU$4343))</f>
        <v>2.6842390706283901</v>
      </c>
      <c r="AV3030" s="13"/>
      <c r="AW3030" s="13"/>
      <c r="AX3030" s="13"/>
      <c r="AY3030" s="13"/>
    </row>
    <row r="3031" spans="1:51" x14ac:dyDescent="0.25">
      <c r="A3031" t="s">
        <v>3611</v>
      </c>
      <c r="B3031" s="2" t="str">
        <f t="shared" si="2355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2375"/>
        <v>o</v>
      </c>
      <c r="N3031" t="str">
        <f t="shared" si="2376"/>
        <v>11/2</v>
      </c>
      <c r="O3031">
        <v>103335.06</v>
      </c>
      <c r="P3031" t="str">
        <f t="shared" si="2377"/>
        <v>e</v>
      </c>
      <c r="Q3031" t="str">
        <f t="shared" si="2378"/>
        <v>9/2</v>
      </c>
      <c r="R3031">
        <v>29</v>
      </c>
      <c r="S3031" t="s">
        <v>6</v>
      </c>
      <c r="AA3031" s="10">
        <f t="shared" si="2356"/>
        <v>2598.654</v>
      </c>
      <c r="AB3031" s="3">
        <f t="shared" si="2357"/>
        <v>38469.96</v>
      </c>
      <c r="AC3031" s="3" cm="1">
        <f t="array" ref="AC3031">100000000/LvacE(AA3031)</f>
        <v>38469.960787018281</v>
      </c>
      <c r="AD3031" s="10">
        <f t="shared" si="2358"/>
        <v>1.240190128947876E-2</v>
      </c>
      <c r="AE3031" s="10" t="b">
        <f t="shared" si="2359"/>
        <v>1</v>
      </c>
      <c r="AJ3031" t="s">
        <v>4896</v>
      </c>
      <c r="AK3031" t="s">
        <v>4890</v>
      </c>
      <c r="AL3031">
        <v>64865.15</v>
      </c>
      <c r="AM3031">
        <v>103335.06</v>
      </c>
      <c r="AN3031" s="10" cm="1">
        <f t="array" ref="AN3031">Lair(100000000/($AM3031-$AL3031))</f>
        <v>2598.6574301773735</v>
      </c>
      <c r="AO3031" s="10">
        <f t="shared" si="2379"/>
        <v>2599.434207150472</v>
      </c>
      <c r="AP3031" s="12">
        <v>265000000</v>
      </c>
      <c r="AQ3031" s="3">
        <v>0.38200000000000001</v>
      </c>
      <c r="AR3031" s="3">
        <f>LN(AU3031*100000000/($AM3031-$AL3031)/AP3031)</f>
        <v>-10.543673149050043</v>
      </c>
      <c r="AS3031" s="13">
        <f t="shared" si="2380"/>
        <v>3.8630048263333934</v>
      </c>
      <c r="AT3031" s="3">
        <f t="shared" si="2381"/>
        <v>1.351445333057786</v>
      </c>
      <c r="AU3031" s="13" cm="1">
        <f t="array" ref="AU3031">$C3031*EXP(poly_from_str(100000000/$E3031,AU$4343))</f>
        <v>2.687249412393462</v>
      </c>
      <c r="AV3031" s="13">
        <f>LN(AS3031/AU3031)</f>
        <v>0.36292718585140821</v>
      </c>
      <c r="AW3031" s="13"/>
      <c r="AX3031" s="13"/>
      <c r="AY3031" s="13"/>
    </row>
    <row r="3032" spans="1:51" x14ac:dyDescent="0.25">
      <c r="A3032" t="s">
        <v>3612</v>
      </c>
      <c r="B3032" s="2" t="str">
        <f t="shared" si="2355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2375"/>
        <v>o</v>
      </c>
      <c r="N3032" t="str">
        <f t="shared" si="2376"/>
        <v>11/2</v>
      </c>
      <c r="O3032">
        <v>39870.17</v>
      </c>
      <c r="P3032" t="str">
        <f t="shared" si="2377"/>
        <v>e</v>
      </c>
      <c r="Q3032" t="str">
        <f t="shared" si="2378"/>
        <v>9/2</v>
      </c>
      <c r="R3032">
        <v>29</v>
      </c>
      <c r="AA3032" s="10">
        <f t="shared" si="2356"/>
        <v>2598.529</v>
      </c>
      <c r="AB3032" s="3">
        <f t="shared" si="2357"/>
        <v>38471.81</v>
      </c>
      <c r="AC3032" s="3" cm="1">
        <f t="array" ref="AC3032">100000000/LvacE(AA3032)</f>
        <v>38471.811236997011</v>
      </c>
      <c r="AD3032" s="10">
        <f t="shared" si="2358"/>
        <v>1.2402613408778008E-2</v>
      </c>
      <c r="AE3032" s="10" t="b">
        <f t="shared" si="2359"/>
        <v>1</v>
      </c>
      <c r="AJ3032" t="s">
        <v>4826</v>
      </c>
      <c r="AK3032" t="s">
        <v>4731</v>
      </c>
      <c r="AL3032">
        <v>1398.34</v>
      </c>
      <c r="AM3032">
        <v>39870.17</v>
      </c>
      <c r="AN3032" s="10" cm="1">
        <f t="array" ref="AN3032">Lair(100000000/($AM3032-$AL3032))</f>
        <v>2598.5277318883946</v>
      </c>
      <c r="AO3032" s="10">
        <f t="shared" si="2379"/>
        <v>2599.3044781077479</v>
      </c>
      <c r="AU3032" s="13" cm="1">
        <f t="array" ref="AU3032">$C3032*EXP(poly_from_str(100000000/$E3032,AU$4343))</f>
        <v>10.754731653786745</v>
      </c>
    </row>
    <row r="3033" spans="1:51" x14ac:dyDescent="0.25">
      <c r="A3033" t="s">
        <v>3613</v>
      </c>
      <c r="B3033" s="2" t="str">
        <f t="shared" si="2355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2375"/>
        <v>o</v>
      </c>
      <c r="N3033" t="str">
        <f t="shared" si="2376"/>
        <v>11/2</v>
      </c>
      <c r="O3033">
        <v>103344.35</v>
      </c>
      <c r="P3033" t="str">
        <f t="shared" si="2377"/>
        <v>e</v>
      </c>
      <c r="Q3033" t="str">
        <f t="shared" si="2378"/>
        <v>11/2</v>
      </c>
      <c r="R3033">
        <v>29</v>
      </c>
      <c r="S3033" t="s">
        <v>6</v>
      </c>
      <c r="AA3033" s="10">
        <f t="shared" si="2356"/>
        <v>2598.0329999999999</v>
      </c>
      <c r="AB3033" s="3">
        <f t="shared" si="2357"/>
        <v>38479.160000000003</v>
      </c>
      <c r="AC3033" s="3" cm="1">
        <f t="array" ref="AC3033">100000000/LvacE(AA3033)</f>
        <v>38479.155577384241</v>
      </c>
      <c r="AD3033" s="10">
        <f t="shared" si="2358"/>
        <v>1.2405440111304254E-2</v>
      </c>
      <c r="AE3033" s="10" t="b">
        <f t="shared" si="2359"/>
        <v>1</v>
      </c>
      <c r="AJ3033" t="s">
        <v>4896</v>
      </c>
      <c r="AK3033" t="s">
        <v>4904</v>
      </c>
      <c r="AL3033">
        <v>64865.15</v>
      </c>
      <c r="AM3033">
        <v>103344.35</v>
      </c>
      <c r="AN3033" s="10" cm="1">
        <f t="array" ref="AN3033">Lair(100000000/($AM3033-$AL3033))</f>
        <v>2598.0299997915326</v>
      </c>
      <c r="AO3033" s="10">
        <f t="shared" si="2379"/>
        <v>2598.8066279964237</v>
      </c>
      <c r="AP3033" s="12">
        <v>397000000</v>
      </c>
      <c r="AQ3033" s="3">
        <v>0.38600000000000001</v>
      </c>
      <c r="AR3033" s="3">
        <f>LN(AU3033*100000000/($AM3033-$AL3033)/AP3033)</f>
        <v>-9.559181769251559</v>
      </c>
      <c r="AS3033" s="13">
        <f t="shared" ref="AS3033:AS3034" si="2382">EXP(AR$4341*$AM3033+AR$4342)*$AP3033/(100000000/($AM3033-$AL3033))</f>
        <v>5.7845817653939822</v>
      </c>
      <c r="AT3033" s="3">
        <f t="shared" ref="AT3033" si="2383">LN(AS3033/$C3033)</f>
        <v>0.36890170052399091</v>
      </c>
      <c r="AU3033" s="13" cm="1">
        <f t="array" ref="AU3033">$C3033*EXP(poly_from_str(100000000/$E3033,AU$4343))</f>
        <v>10.777465645168995</v>
      </c>
      <c r="AV3033" s="13">
        <f>LN(AS3033/AU3033)</f>
        <v>-0.62226137834639506</v>
      </c>
      <c r="AW3033" s="13"/>
      <c r="AX3033" s="13"/>
      <c r="AY3033" s="13"/>
    </row>
    <row r="3034" spans="1:51" x14ac:dyDescent="0.25">
      <c r="A3034" t="s">
        <v>3614</v>
      </c>
      <c r="B3034" s="2" t="str">
        <f t="shared" si="2355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2375"/>
        <v>e</v>
      </c>
      <c r="N3034" t="str">
        <f t="shared" si="2376"/>
        <v>5/2</v>
      </c>
      <c r="O3034">
        <v>65935.25</v>
      </c>
      <c r="P3034" t="str">
        <f t="shared" si="2377"/>
        <v>o</v>
      </c>
      <c r="Q3034" t="str">
        <f t="shared" si="2378"/>
        <v>7/2</v>
      </c>
      <c r="R3034">
        <v>29</v>
      </c>
      <c r="AA3034" s="10">
        <f t="shared" si="2356"/>
        <v>2597.788</v>
      </c>
      <c r="AB3034" s="3">
        <f t="shared" si="2357"/>
        <v>38482.78</v>
      </c>
      <c r="AC3034" s="3" cm="1">
        <f t="array" ref="AC3034">100000000/LvacE(AA3034)</f>
        <v>38482.78436083236</v>
      </c>
      <c r="AD3034" s="10">
        <f t="shared" si="2358"/>
        <v>1.240683696299166E-2</v>
      </c>
      <c r="AE3034" s="10" t="b">
        <f t="shared" si="2359"/>
        <v>1</v>
      </c>
      <c r="AJ3034" t="s">
        <v>4783</v>
      </c>
      <c r="AK3034" t="s">
        <v>4858</v>
      </c>
      <c r="AL3034">
        <v>27452.45</v>
      </c>
      <c r="AM3034">
        <v>65935.25</v>
      </c>
      <c r="AN3034" s="10" cm="1">
        <f t="array" ref="AN3034">Lair(100000000/($AM3034-$AL3034))</f>
        <v>2597.786943510439</v>
      </c>
      <c r="AO3034" s="10">
        <f t="shared" si="2379"/>
        <v>2598.563514089411</v>
      </c>
      <c r="AP3034" s="12">
        <v>6620000</v>
      </c>
      <c r="AQ3034" s="3">
        <v>2.1000000000000001E-2</v>
      </c>
      <c r="AR3034" s="3"/>
      <c r="AS3034" s="13">
        <f t="shared" si="2382"/>
        <v>1.5982039200352349</v>
      </c>
      <c r="AT3034" s="3"/>
      <c r="AU3034" s="13" cm="1">
        <f t="array" ref="AU3034">$C3034*EXP(poly_from_str(100000000/$E3034,AU$4343))</f>
        <v>2.6971587162588606</v>
      </c>
      <c r="AV3034" s="13"/>
      <c r="AW3034" s="13"/>
      <c r="AX3034" s="13"/>
      <c r="AY3034" s="13"/>
    </row>
    <row r="3035" spans="1:51" x14ac:dyDescent="0.25">
      <c r="A3035" t="s">
        <v>3615</v>
      </c>
      <c r="B3035" s="2" t="str">
        <f t="shared" si="2355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2356"/>
        <v>2596.8429999999998</v>
      </c>
      <c r="AB3035" s="3">
        <f t="shared" si="2357"/>
        <v>38496.79</v>
      </c>
      <c r="AC3035" s="3" cm="1">
        <f t="array" ref="AC3035">100000000/LvacE(AA3035)</f>
        <v>38496.787510227616</v>
      </c>
      <c r="AD3035" s="10">
        <f t="shared" si="2358"/>
        <v>1.2412228523293017E-2</v>
      </c>
      <c r="AE3035" s="10" t="b">
        <f t="shared" si="2359"/>
        <v>1</v>
      </c>
      <c r="AP3035"/>
      <c r="AQ3035"/>
      <c r="AU3035" s="13" cm="1">
        <f t="array" ref="AU3035">$C3035*EXP(poly_from_str(100000000/$E3035,AU$4343))</f>
        <v>24.371300885692641</v>
      </c>
    </row>
    <row r="3036" spans="1:51" x14ac:dyDescent="0.25">
      <c r="A3036" t="s">
        <v>3616</v>
      </c>
      <c r="B3036" s="2" t="str">
        <f t="shared" si="2355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2356"/>
        <v>2595.9580000000001</v>
      </c>
      <c r="AB3036" s="3">
        <f t="shared" si="2357"/>
        <v>38509.910000000003</v>
      </c>
      <c r="AC3036" s="3" cm="1">
        <f t="array" ref="AC3036">100000000/LvacE(AA3036)</f>
        <v>38509.910814345676</v>
      </c>
      <c r="AD3036" s="10">
        <f t="shared" si="2358"/>
        <v>1.2417283102104441E-2</v>
      </c>
      <c r="AE3036" s="10" t="b">
        <f t="shared" si="2359"/>
        <v>1</v>
      </c>
      <c r="AP3036"/>
      <c r="AQ3036"/>
      <c r="AU3036" s="13" cm="1">
        <f t="array" ref="AU3036">$C3036*EXP(poly_from_str(100000000/$E3036,AU$4343))</f>
        <v>2.7179399532535999</v>
      </c>
    </row>
    <row r="3037" spans="1:51" x14ac:dyDescent="0.25">
      <c r="A3037" t="s">
        <v>3617</v>
      </c>
      <c r="B3037" s="2" t="str">
        <f t="shared" si="2355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2384">$G3037&amp;""</f>
        <v>o</v>
      </c>
      <c r="N3037" t="str">
        <f t="shared" ref="N3037:N3039" si="2385">$H3037&amp;""</f>
        <v>9/2</v>
      </c>
      <c r="O3037">
        <v>105566.62</v>
      </c>
      <c r="P3037" t="str">
        <f t="shared" ref="P3037:P3039" si="2386">$J3037&amp;""</f>
        <v>e</v>
      </c>
      <c r="Q3037" t="str">
        <f t="shared" ref="Q3037:Q3039" si="2387">$K3037&amp;""</f>
        <v>9/2</v>
      </c>
      <c r="R3037">
        <v>29</v>
      </c>
      <c r="AA3037" s="10">
        <f t="shared" si="2356"/>
        <v>2595.4479999999999</v>
      </c>
      <c r="AB3037" s="3">
        <f t="shared" si="2357"/>
        <v>38517.480000000003</v>
      </c>
      <c r="AC3037" s="3" cm="1">
        <f t="array" ref="AC3037">100000000/LvacE(AA3037)</f>
        <v>38517.477460637208</v>
      </c>
      <c r="AD3037" s="10">
        <f t="shared" si="2358"/>
        <v>1.2420198258766349E-2</v>
      </c>
      <c r="AE3037" s="10" t="b">
        <f t="shared" si="2359"/>
        <v>1</v>
      </c>
      <c r="AJ3037" t="s">
        <v>4862</v>
      </c>
      <c r="AK3037" t="s">
        <v>4878</v>
      </c>
      <c r="AL3037">
        <v>67049.179999999993</v>
      </c>
      <c r="AM3037">
        <v>105566.62</v>
      </c>
      <c r="AN3037" s="10" cm="1">
        <f t="array" ref="AN3037">Lair(100000000/($AM3037-$AL3037))</f>
        <v>2595.4505237297953</v>
      </c>
      <c r="AO3037" s="10">
        <f t="shared" ref="AO3037:AO3039" si="2388">100000000/($AM3037-$AL3037)</f>
        <v>2596.2265404969799</v>
      </c>
      <c r="AP3037" s="12">
        <v>389000000</v>
      </c>
      <c r="AQ3037" s="3">
        <v>0.21199999999999999</v>
      </c>
      <c r="AR3037" s="3">
        <f t="shared" ref="AR3037:AR3038" si="2389">LN(AU3037*100000000/($AM3037-$AL3037)/AP3037)</f>
        <v>-10.915287059787101</v>
      </c>
      <c r="AS3037" s="13">
        <f t="shared" ref="AS3037:AS3039" si="2390">EXP(AR$4341*$AM3037+AR$4342)*$AP3037/(100000000/($AM3037-$AL3037))</f>
        <v>4.8021236716647886</v>
      </c>
      <c r="AT3037" s="3">
        <f t="shared" ref="AT3037:AT3038" si="2391">LN(AS3037/$C3037)</f>
        <v>1.5690582516666758</v>
      </c>
      <c r="AU3037" s="13" cm="1">
        <f t="array" ref="AU3037">$C3037*EXP(poly_from_str(100000000/$E3037,AU$4343))</f>
        <v>2.7236925166466777</v>
      </c>
      <c r="AV3037" s="13">
        <f t="shared" ref="AV3037:AV3038" si="2392">LN(AS3037/AU3037)</f>
        <v>0.5670697491022032</v>
      </c>
      <c r="AW3037" s="13"/>
      <c r="AX3037" s="13"/>
      <c r="AY3037" s="13"/>
    </row>
    <row r="3038" spans="1:51" x14ac:dyDescent="0.25">
      <c r="A3038" t="s">
        <v>3618</v>
      </c>
      <c r="B3038" s="2" t="str">
        <f t="shared" si="2355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2384"/>
        <v>e</v>
      </c>
      <c r="N3038" t="str">
        <f t="shared" si="2385"/>
        <v>9/2</v>
      </c>
      <c r="O3038">
        <v>67240.350000000006</v>
      </c>
      <c r="P3038" t="str">
        <f t="shared" si="2386"/>
        <v>o</v>
      </c>
      <c r="Q3038" t="str">
        <f t="shared" si="2387"/>
        <v>7/2</v>
      </c>
      <c r="R3038">
        <v>29</v>
      </c>
      <c r="AA3038" s="10">
        <f t="shared" si="2356"/>
        <v>2595.299</v>
      </c>
      <c r="AB3038" s="3">
        <f t="shared" si="2357"/>
        <v>38519.69</v>
      </c>
      <c r="AC3038" s="3" cm="1">
        <f t="array" ref="AC3038">100000000/LvacE(AA3038)</f>
        <v>38519.688669542673</v>
      </c>
      <c r="AD3038" s="10">
        <f t="shared" si="2358"/>
        <v>1.2421050266181791E-2</v>
      </c>
      <c r="AE3038" s="10" t="b">
        <f t="shared" si="2359"/>
        <v>1</v>
      </c>
      <c r="AJ3038" t="s">
        <v>4708</v>
      </c>
      <c r="AK3038" t="s">
        <v>4852</v>
      </c>
      <c r="AL3038">
        <v>28720.71</v>
      </c>
      <c r="AM3038">
        <v>67240.350000000006</v>
      </c>
      <c r="AN3038" s="10" cm="1">
        <f t="array" ref="AN3038">Lair(100000000/($AM3038-$AL3038))</f>
        <v>2595.3022787010018</v>
      </c>
      <c r="AO3038" s="10">
        <f t="shared" si="2388"/>
        <v>2596.0782603368043</v>
      </c>
      <c r="AP3038" s="12">
        <v>198000000</v>
      </c>
      <c r="AQ3038" s="3">
        <v>0.24199999999999999</v>
      </c>
      <c r="AR3038" s="3">
        <f t="shared" si="2389"/>
        <v>-8.0421922708521194</v>
      </c>
      <c r="AS3038" s="13">
        <f t="shared" si="2390"/>
        <v>43.382903547810372</v>
      </c>
      <c r="AT3038" s="3">
        <f t="shared" si="2391"/>
        <v>1.5728408586905245</v>
      </c>
      <c r="AU3038" s="13" cm="1">
        <f t="array" ref="AU3038">$C3038*EXP(poly_from_str(100000000/$E3038,AU$4343))</f>
        <v>24.528313268683036</v>
      </c>
      <c r="AV3038" s="13">
        <f t="shared" si="2392"/>
        <v>0.57023734209842158</v>
      </c>
      <c r="AW3038" s="13"/>
      <c r="AX3038" s="13"/>
      <c r="AY3038" s="13"/>
    </row>
    <row r="3039" spans="1:51" x14ac:dyDescent="0.25">
      <c r="A3039" t="s">
        <v>3619</v>
      </c>
      <c r="B3039" s="2" t="str">
        <f t="shared" si="2355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2384"/>
        <v>e</v>
      </c>
      <c r="N3039" t="str">
        <f t="shared" si="2385"/>
        <v>7/2</v>
      </c>
      <c r="O3039">
        <v>64979.55</v>
      </c>
      <c r="P3039" t="str">
        <f t="shared" si="2386"/>
        <v>o</v>
      </c>
      <c r="Q3039" t="str">
        <f t="shared" si="2387"/>
        <v>7/2</v>
      </c>
      <c r="R3039">
        <v>29</v>
      </c>
      <c r="AA3039" s="10">
        <f t="shared" si="2356"/>
        <v>2594.4290000000001</v>
      </c>
      <c r="AB3039" s="3">
        <f t="shared" si="2357"/>
        <v>38532.6</v>
      </c>
      <c r="AC3039" s="3" cm="1">
        <f t="array" ref="AC3039">100000000/LvacE(AA3039)</f>
        <v>38532.604825522474</v>
      </c>
      <c r="AD3039" s="10">
        <f t="shared" si="2358"/>
        <v>1.2426028005684965E-2</v>
      </c>
      <c r="AE3039" s="10" t="b">
        <f t="shared" si="2359"/>
        <v>1</v>
      </c>
      <c r="AJ3039" t="s">
        <v>4736</v>
      </c>
      <c r="AK3039" t="s">
        <v>4912</v>
      </c>
      <c r="AL3039">
        <v>26446.97</v>
      </c>
      <c r="AM3039">
        <v>64979.55</v>
      </c>
      <c r="AN3039" s="10" cm="1">
        <f t="array" ref="AN3039">Lair(100000000/($AM3039-$AL3039))</f>
        <v>2594.4306709781617</v>
      </c>
      <c r="AO3039" s="10">
        <f t="shared" si="2388"/>
        <v>2595.2064460775791</v>
      </c>
      <c r="AP3039" s="12">
        <v>24200000</v>
      </c>
      <c r="AQ3039" s="3">
        <v>4.2000000000000003E-2</v>
      </c>
      <c r="AR3039" s="3"/>
      <c r="AS3039" s="13">
        <f t="shared" si="2390"/>
        <v>6.284916958805117</v>
      </c>
      <c r="AT3039" s="3"/>
      <c r="AU3039" s="13" cm="1">
        <f t="array" ref="AU3039">$C3039*EXP(poly_from_str(100000000/$E3039,AU$4343))</f>
        <v>10.940488994418271</v>
      </c>
      <c r="AV3039" s="13"/>
      <c r="AW3039" s="13"/>
      <c r="AX3039" s="13"/>
      <c r="AY3039" s="13"/>
    </row>
    <row r="3040" spans="1:51" x14ac:dyDescent="0.25">
      <c r="A3040" t="s">
        <v>3620</v>
      </c>
      <c r="B3040" s="2" t="str">
        <f t="shared" si="2355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2356"/>
        <v>2594.1390000000001</v>
      </c>
      <c r="AB3040" s="3">
        <f t="shared" si="2357"/>
        <v>38536.910000000003</v>
      </c>
      <c r="AC3040" s="3" cm="1">
        <f t="array" ref="AC3040">100000000/LvacE(AA3040)</f>
        <v>38536.91213582769</v>
      </c>
      <c r="AD3040" s="10">
        <f t="shared" si="2358"/>
        <v>1.242768836516233E-2</v>
      </c>
      <c r="AE3040" s="10" t="b">
        <f t="shared" si="2359"/>
        <v>1</v>
      </c>
      <c r="AP3040"/>
      <c r="AQ3040"/>
      <c r="AU3040" s="13" cm="1">
        <f t="array" ref="AU3040">$C3040*EXP(poly_from_str(100000000/$E3040,AU$4343))</f>
        <v>10.95346245119895</v>
      </c>
    </row>
    <row r="3041" spans="1:51" x14ac:dyDescent="0.25">
      <c r="A3041" t="s">
        <v>3621</v>
      </c>
      <c r="B3041" s="2" t="str">
        <f t="shared" si="2355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2356"/>
        <v>2593.9679999999998</v>
      </c>
      <c r="AB3041" s="3">
        <f t="shared" si="2357"/>
        <v>38539.449999999997</v>
      </c>
      <c r="AC3041" s="3" cm="1">
        <f t="array" ref="AC3041">100000000/LvacE(AA3041)</f>
        <v>38539.452414953666</v>
      </c>
      <c r="AD3041" s="10">
        <f t="shared" si="2358"/>
        <v>1.2428667665706298E-2</v>
      </c>
      <c r="AE3041" s="10" t="b">
        <f t="shared" si="2359"/>
        <v>1</v>
      </c>
      <c r="AJ3041" t="s">
        <v>4697</v>
      </c>
      <c r="AK3041" t="s">
        <v>4739</v>
      </c>
      <c r="AL3041">
        <v>29835.09</v>
      </c>
      <c r="AM3041">
        <v>68374.539999999994</v>
      </c>
      <c r="AN3041" s="10" cm="1">
        <f t="array" ref="AN3041">Lair(100000000/($AM3041-$AL3041))</f>
        <v>2593.9681619125413</v>
      </c>
      <c r="AO3041" s="10">
        <f>100000000/($AM3041-$AL3041)</f>
        <v>2594.7438274287779</v>
      </c>
      <c r="AP3041" s="12">
        <v>65600000</v>
      </c>
      <c r="AQ3041" s="3">
        <v>0.17299999999999999</v>
      </c>
      <c r="AR3041" s="3">
        <f>LN(AU3041*100000000/($AM3041-$AL3041)/AP3041)</f>
        <v>-7.3380258127295823</v>
      </c>
      <c r="AS3041" s="13">
        <f>EXP(AR$4341*$AM3041+AR$4342)*$AP3041/(100000000/($AM3041-$AL3041))</f>
        <v>13.207316648661987</v>
      </c>
      <c r="AT3041" s="3">
        <f>LN(AS3041/$C3041)</f>
        <v>0.78901149836674556</v>
      </c>
      <c r="AU3041" s="13" cm="1">
        <f t="array" ref="AU3041">$C3041*EXP(poly_from_str(100000000/$E3041,AU$4343))</f>
        <v>16.441643730079832</v>
      </c>
      <c r="AV3041" s="13">
        <f>LN(AS3041/AU3041)</f>
        <v>-0.21904640061670641</v>
      </c>
      <c r="AW3041" s="13"/>
      <c r="AX3041" s="13"/>
      <c r="AY3041" s="13"/>
    </row>
    <row r="3042" spans="1:51" x14ac:dyDescent="0.25">
      <c r="A3042" t="s">
        <v>3622</v>
      </c>
      <c r="B3042" s="2" t="str">
        <f t="shared" si="2355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2356"/>
        <v>2593.5700000000002</v>
      </c>
      <c r="AB3042" s="3">
        <f t="shared" si="2357"/>
        <v>38545.370000000003</v>
      </c>
      <c r="AC3042" s="3" cm="1">
        <f t="array" ref="AC3042">100000000/LvacE(AA3042)</f>
        <v>38545.366174456314</v>
      </c>
      <c r="AD3042" s="10">
        <f t="shared" si="2358"/>
        <v>1.2430947723496245E-2</v>
      </c>
      <c r="AE3042" s="10" t="b">
        <f t="shared" si="2359"/>
        <v>1</v>
      </c>
      <c r="AP3042"/>
      <c r="AQ3042"/>
      <c r="AU3042" s="13" cm="1">
        <f t="array" ref="AU3042">$C3042*EXP(poly_from_str(100000000/$E3042,AU$4343))</f>
        <v>2.744712930351823</v>
      </c>
    </row>
    <row r="3043" spans="1:51" x14ac:dyDescent="0.25">
      <c r="A3043" t="s">
        <v>3623</v>
      </c>
      <c r="B3043" s="2" t="str">
        <f t="shared" si="2355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2356"/>
        <v>2593.4830000000002</v>
      </c>
      <c r="AB3043" s="3">
        <f t="shared" si="2357"/>
        <v>38546.660000000003</v>
      </c>
      <c r="AC3043" s="3" cm="1">
        <f t="array" ref="AC3043">100000000/LvacE(AA3043)</f>
        <v>38546.65912239629</v>
      </c>
      <c r="AD3043" s="10">
        <f t="shared" si="2358"/>
        <v>1.243144626789462E-2</v>
      </c>
      <c r="AE3043" s="10" t="b">
        <f t="shared" si="2359"/>
        <v>1</v>
      </c>
      <c r="AP3043"/>
      <c r="AQ3043"/>
      <c r="AU3043" s="13" cm="1">
        <f t="array" ref="AU3043">$C3043*EXP(poly_from_str(100000000/$E3043,AU$4343))</f>
        <v>2.7456785694526737</v>
      </c>
    </row>
    <row r="3044" spans="1:51" x14ac:dyDescent="0.25">
      <c r="A3044" t="s">
        <v>3624</v>
      </c>
      <c r="B3044" s="2" t="str">
        <f t="shared" si="2355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2393">$G3044&amp;""</f>
        <v>o</v>
      </c>
      <c r="N3044" t="str">
        <f t="shared" ref="N3044:N3045" si="2394">$H3044&amp;""</f>
        <v>11/2</v>
      </c>
      <c r="O3044">
        <v>107081.94</v>
      </c>
      <c r="P3044" t="str">
        <f t="shared" ref="P3044:P3045" si="2395">$J3044&amp;""</f>
        <v>e</v>
      </c>
      <c r="Q3044" t="str">
        <f t="shared" ref="Q3044:Q3045" si="2396">$K3044&amp;""</f>
        <v>9/2</v>
      </c>
      <c r="R3044">
        <v>29</v>
      </c>
      <c r="AA3044" s="10">
        <f t="shared" si="2356"/>
        <v>2592.8319999999999</v>
      </c>
      <c r="AB3044" s="3">
        <f t="shared" si="2357"/>
        <v>38556.339999999997</v>
      </c>
      <c r="AC3044" s="3" cm="1">
        <f t="array" ref="AC3044">100000000/LvacE(AA3044)</f>
        <v>38556.33669316872</v>
      </c>
      <c r="AD3044" s="10">
        <f t="shared" si="2358"/>
        <v>1.2435178348070512E-2</v>
      </c>
      <c r="AE3044" s="10" t="b">
        <f t="shared" si="2359"/>
        <v>1</v>
      </c>
      <c r="AJ3044" t="s">
        <v>4869</v>
      </c>
      <c r="AK3044" t="s">
        <v>4956</v>
      </c>
      <c r="AL3044">
        <v>68525.62</v>
      </c>
      <c r="AM3044">
        <v>107081.94</v>
      </c>
      <c r="AN3044" s="10" cm="1">
        <f t="array" ref="AN3044">Lair(100000000/($AM3044-$AL3044))</f>
        <v>2592.8331220277873</v>
      </c>
      <c r="AO3044" s="10">
        <f t="shared" ref="AO3044:AO3045" si="2397">100000000/($AM3044-$AL3044)</f>
        <v>2593.6085186553069</v>
      </c>
      <c r="AP3044" s="12">
        <v>1690000000</v>
      </c>
      <c r="AQ3044" s="3">
        <v>0.79600000000000004</v>
      </c>
      <c r="AR3044" s="3">
        <f t="shared" ref="AR3044:AR3045" si="2398">LN(AU3044*100000000/($AM3044-$AL3044)/AP3044)</f>
        <v>-10.765093975060761</v>
      </c>
      <c r="AS3044" s="13">
        <f t="shared" ref="AS3044:AS3045" si="2399">EXP(AR$4341*$AM3044+AR$4342)*$AP3044/(100000000/($AM3044-$AL3044))</f>
        <v>18.638918059276381</v>
      </c>
      <c r="AT3044" s="3">
        <f t="shared" ref="AT3044:AT3045" si="2400">LN(AS3044/$C3044)</f>
        <v>1.3158138511084878</v>
      </c>
      <c r="AU3044" s="13" cm="1">
        <f t="array" ref="AU3044">$C3044*EXP(poly_from_str(100000000/$E3044,AU$4343))</f>
        <v>13.764529475733241</v>
      </c>
      <c r="AV3044" s="13">
        <f t="shared" ref="AV3044:AV3045" si="2401">LN(AS3044/AU3044)</f>
        <v>0.30315680818876045</v>
      </c>
      <c r="AW3044" s="13"/>
      <c r="AX3044" s="13"/>
      <c r="AY3044" s="13"/>
    </row>
    <row r="3045" spans="1:51" x14ac:dyDescent="0.25">
      <c r="A3045" t="s">
        <v>3625</v>
      </c>
      <c r="B3045" s="2" t="str">
        <f t="shared" si="2355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2393"/>
        <v>o</v>
      </c>
      <c r="N3045" t="str">
        <f t="shared" si="2394"/>
        <v>9/2</v>
      </c>
      <c r="O3045">
        <v>100625.04</v>
      </c>
      <c r="P3045" t="str">
        <f t="shared" si="2395"/>
        <v>e</v>
      </c>
      <c r="Q3045" t="str">
        <f t="shared" si="2396"/>
        <v>11/2</v>
      </c>
      <c r="R3045">
        <v>29</v>
      </c>
      <c r="AA3045" s="10">
        <f t="shared" si="2356"/>
        <v>2592.424</v>
      </c>
      <c r="AB3045" s="3">
        <f t="shared" si="2357"/>
        <v>38562.400000000001</v>
      </c>
      <c r="AC3045" s="3" cm="1">
        <f t="array" ref="AC3045">100000000/LvacE(AA3045)</f>
        <v>38562.404376147613</v>
      </c>
      <c r="AD3045" s="10">
        <f t="shared" si="2358"/>
        <v>1.2437518780906907E-2</v>
      </c>
      <c r="AE3045" s="10" t="b">
        <f t="shared" si="2359"/>
        <v>1</v>
      </c>
      <c r="AJ3045" t="s">
        <v>4848</v>
      </c>
      <c r="AK3045" t="s">
        <v>4871</v>
      </c>
      <c r="AL3045">
        <v>62062.63</v>
      </c>
      <c r="AM3045">
        <v>100625.04</v>
      </c>
      <c r="AN3045" s="10" cm="1">
        <f t="array" ref="AN3045">Lair(100000000/($AM3045-$AL3045))</f>
        <v>2592.4236212870151</v>
      </c>
      <c r="AO3045" s="10">
        <f t="shared" si="2397"/>
        <v>2593.1989209180651</v>
      </c>
      <c r="AP3045" s="12">
        <v>215000000</v>
      </c>
      <c r="AQ3045" s="3">
        <v>0.15</v>
      </c>
      <c r="AR3045" s="3">
        <f t="shared" si="2398"/>
        <v>-9.6180607614846565</v>
      </c>
      <c r="AS3045" s="13">
        <f t="shared" si="2399"/>
        <v>3.8502317678627018</v>
      </c>
      <c r="AT3045" s="3">
        <f t="shared" si="2400"/>
        <v>0.65498616537269128</v>
      </c>
      <c r="AU3045" s="13" cm="1">
        <f t="array" ref="AU3045">$C3045*EXP(poly_from_str(100000000/$E3045,AU$4343))</f>
        <v>5.5148272437915233</v>
      </c>
      <c r="AV3045" s="13">
        <f t="shared" si="2401"/>
        <v>-0.35930698149371604</v>
      </c>
      <c r="AW3045" s="13"/>
      <c r="AX3045" s="13"/>
      <c r="AY3045" s="13"/>
    </row>
    <row r="3046" spans="1:51" x14ac:dyDescent="0.25">
      <c r="A3046" t="s">
        <v>3626</v>
      </c>
      <c r="B3046" s="2" t="str">
        <f t="shared" si="2355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2356"/>
        <v>2591.91</v>
      </c>
      <c r="AB3046" s="3">
        <f t="shared" si="2357"/>
        <v>38570.050000000003</v>
      </c>
      <c r="AC3046" s="3" cm="1">
        <f t="array" ref="AC3046">100000000/LvacE(AA3046)</f>
        <v>38570.051185812888</v>
      </c>
      <c r="AD3046" s="10">
        <f t="shared" si="2358"/>
        <v>1.2440468840702974E-2</v>
      </c>
      <c r="AE3046" s="10" t="b">
        <f t="shared" si="2359"/>
        <v>1</v>
      </c>
      <c r="AP3046"/>
      <c r="AQ3046"/>
      <c r="AU3046" s="13" cm="1">
        <f t="array" ref="AU3046">$C3046*EXP(poly_from_str(100000000/$E3046,AU$4343))</f>
        <v>16.578513360035274</v>
      </c>
    </row>
    <row r="3047" spans="1:51" x14ac:dyDescent="0.25">
      <c r="A3047" t="s">
        <v>3627</v>
      </c>
      <c r="B3047" s="2" t="str">
        <f t="shared" si="2355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2356"/>
        <v>2591.2399999999998</v>
      </c>
      <c r="AB3047" s="3">
        <f t="shared" si="2357"/>
        <v>38580.019999999997</v>
      </c>
      <c r="AC3047" s="3" cm="1">
        <f t="array" ref="AC3047">100000000/LvacE(AA3047)</f>
        <v>38580.023371004179</v>
      </c>
      <c r="AD3047" s="10">
        <f t="shared" si="2358"/>
        <v>1.2444316885160036E-2</v>
      </c>
      <c r="AE3047" s="10" t="b">
        <f t="shared" si="2359"/>
        <v>1</v>
      </c>
      <c r="AP3047"/>
      <c r="AQ3047"/>
      <c r="AU3047" s="13" cm="1">
        <f t="array" ref="AU3047">$C3047*EXP(poly_from_str(100000000/$E3047,AU$4343))</f>
        <v>8.3113397637878954</v>
      </c>
    </row>
    <row r="3048" spans="1:51" x14ac:dyDescent="0.25">
      <c r="A3048" t="s">
        <v>3628</v>
      </c>
      <c r="B3048" s="2" t="str">
        <f t="shared" si="2355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2402">$G3048&amp;""</f>
        <v>e</v>
      </c>
      <c r="N3048" t="str">
        <f t="shared" ref="N3048:N3049" si="2403">$H3048&amp;""</f>
        <v>13/2</v>
      </c>
      <c r="O3048">
        <v>62240.83</v>
      </c>
      <c r="P3048" t="str">
        <f t="shared" ref="P3048:P3049" si="2404">$J3048&amp;""</f>
        <v>o</v>
      </c>
      <c r="Q3048" t="str">
        <f t="shared" ref="Q3048:Q3049" si="2405">$K3048&amp;""</f>
        <v>11/2</v>
      </c>
      <c r="R3048">
        <v>29</v>
      </c>
      <c r="AA3048" s="10">
        <f t="shared" si="2356"/>
        <v>2590.3580000000002</v>
      </c>
      <c r="AB3048" s="3">
        <f t="shared" si="2357"/>
        <v>38593.160000000003</v>
      </c>
      <c r="AC3048" s="3" cm="1">
        <f t="array" ref="AC3048">100000000/LvacE(AA3048)</f>
        <v>38593.158798584431</v>
      </c>
      <c r="AD3048" s="10">
        <f t="shared" si="2358"/>
        <v>1.2449387072864915E-2</v>
      </c>
      <c r="AE3048" s="10" t="b">
        <f t="shared" si="2359"/>
        <v>1</v>
      </c>
      <c r="AJ3048" t="s">
        <v>4966</v>
      </c>
      <c r="AK3048" t="s">
        <v>4892</v>
      </c>
      <c r="AL3048">
        <v>23647.77</v>
      </c>
      <c r="AM3048">
        <v>62240.83</v>
      </c>
      <c r="AN3048" s="10" cm="1">
        <f t="array" ref="AN3048">Lair(100000000/($AM3048-$AL3048))</f>
        <v>2590.3646311692687</v>
      </c>
      <c r="AO3048" s="10">
        <f t="shared" ref="AO3048:AO3049" si="2406">100000000/($AM3048-$AL3048)</f>
        <v>2591.1394432055922</v>
      </c>
      <c r="AP3048" s="12">
        <v>146000000</v>
      </c>
      <c r="AQ3048" s="3">
        <v>0.253</v>
      </c>
      <c r="AR3048" s="3">
        <f t="shared" ref="AR3048:AR3049" si="2407">LN(AU3048*100000000/($AM3048-$AL3048)/AP3048)</f>
        <v>-7.7195547219657961</v>
      </c>
      <c r="AS3048" s="13">
        <f t="shared" ref="AS3048:AS3049" si="2408">EXP(AR$4341*$AM3048+AR$4342)*$AP3048/(100000000/($AM3048-$AL3048))</f>
        <v>46.642261555701509</v>
      </c>
      <c r="AT3048" s="3">
        <f t="shared" ref="AT3048:AT3049" si="2409">LN(AS3048/$C3048)</f>
        <v>1.6452824531466759</v>
      </c>
      <c r="AU3048" s="13" cm="1">
        <f t="array" ref="AU3048">$C3048*EXP(poly_from_str(100000000/$E3048,AU$4343))</f>
        <v>25.020849574974807</v>
      </c>
      <c r="AV3048" s="13">
        <f t="shared" ref="AV3048:AV3049" si="2410">LN(AS3048/AU3048)</f>
        <v>0.62279757018629156</v>
      </c>
      <c r="AW3048" s="13"/>
      <c r="AX3048" s="13"/>
      <c r="AY3048" s="13"/>
    </row>
    <row r="3049" spans="1:51" x14ac:dyDescent="0.25">
      <c r="A3049" t="s">
        <v>3629</v>
      </c>
      <c r="B3049" s="2" t="str">
        <f t="shared" si="2355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2402"/>
        <v>o</v>
      </c>
      <c r="N3049" t="str">
        <f t="shared" si="2403"/>
        <v>9/2</v>
      </c>
      <c r="O3049">
        <v>102830.43</v>
      </c>
      <c r="P3049" t="str">
        <f t="shared" si="2404"/>
        <v>e</v>
      </c>
      <c r="Q3049" t="str">
        <f t="shared" si="2405"/>
        <v>9/2</v>
      </c>
      <c r="R3049">
        <v>29</v>
      </c>
      <c r="S3049" t="s">
        <v>6</v>
      </c>
      <c r="AA3049" s="10">
        <f t="shared" si="2356"/>
        <v>2590.248</v>
      </c>
      <c r="AB3049" s="3">
        <f t="shared" si="2357"/>
        <v>38594.800000000003</v>
      </c>
      <c r="AC3049" s="3" cm="1">
        <f t="array" ref="AC3049">100000000/LvacE(AA3049)</f>
        <v>38594.797631155852</v>
      </c>
      <c r="AD3049" s="10">
        <f t="shared" si="2358"/>
        <v>1.245001977246114E-2</v>
      </c>
      <c r="AE3049" s="10" t="b">
        <f t="shared" si="2359"/>
        <v>1</v>
      </c>
      <c r="AJ3049" t="s">
        <v>4842</v>
      </c>
      <c r="AK3049" t="s">
        <v>4866</v>
      </c>
      <c r="AL3049">
        <v>64235.61</v>
      </c>
      <c r="AM3049">
        <v>102830.43</v>
      </c>
      <c r="AN3049" s="10" cm="1">
        <f t="array" ref="AN3049">Lair(100000000/($AM3049-$AL3049))</f>
        <v>2590.2464980641953</v>
      </c>
      <c r="AO3049" s="10">
        <f t="shared" si="2406"/>
        <v>2591.0212821306077</v>
      </c>
      <c r="AP3049" s="12">
        <v>254000000</v>
      </c>
      <c r="AQ3049" s="3">
        <v>0.21</v>
      </c>
      <c r="AR3049" s="3">
        <f t="shared" si="2407"/>
        <v>-9.3715087651971611</v>
      </c>
      <c r="AS3049" s="13">
        <f t="shared" si="2408"/>
        <v>3.858051695019161</v>
      </c>
      <c r="AT3049" s="3">
        <f t="shared" si="2409"/>
        <v>0.25155002516037889</v>
      </c>
      <c r="AU3049" s="13" cm="1">
        <f t="array" ref="AU3049">$C3049*EXP(poly_from_str(100000000/$E3049,AU$4343))</f>
        <v>8.3438827483603237</v>
      </c>
      <c r="AV3049" s="13">
        <f t="shared" si="2410"/>
        <v>-0.77136635156131705</v>
      </c>
      <c r="AW3049" s="13"/>
      <c r="AX3049" s="13"/>
      <c r="AY3049" s="13"/>
    </row>
    <row r="3050" spans="1:51" x14ac:dyDescent="0.25">
      <c r="A3050" t="s">
        <v>3630</v>
      </c>
      <c r="B3050" s="2" t="str">
        <f t="shared" si="2355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2356"/>
        <v>2590.0100000000002</v>
      </c>
      <c r="AB3050" s="3">
        <f t="shared" si="2357"/>
        <v>38598.339999999997</v>
      </c>
      <c r="AC3050" s="3" cm="1">
        <f t="array" ref="AC3050">100000000/LvacE(AA3050)</f>
        <v>38598.343945272492</v>
      </c>
      <c r="AD3050" s="10">
        <f t="shared" si="2358"/>
        <v>1.2451388980210983E-2</v>
      </c>
      <c r="AE3050" s="10" t="b">
        <f t="shared" si="2359"/>
        <v>1</v>
      </c>
      <c r="AP3050"/>
      <c r="AQ3050"/>
      <c r="AU3050" s="13" cm="1">
        <f t="array" ref="AU3050">$C3050*EXP(poly_from_str(100000000/$E3050,AU$4343))</f>
        <v>2.7838809286792832</v>
      </c>
    </row>
    <row r="3051" spans="1:51" x14ac:dyDescent="0.25">
      <c r="A3051" t="s">
        <v>3631</v>
      </c>
      <c r="B3051" s="2">
        <f t="shared" si="2355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2411">$G3051&amp;""</f>
        <v>e</v>
      </c>
      <c r="N3051" t="str">
        <f t="shared" ref="N3051:N3055" si="2412">$H3051&amp;""</f>
        <v>3/2</v>
      </c>
      <c r="O3051">
        <v>74463.7</v>
      </c>
      <c r="P3051" t="str">
        <f t="shared" ref="P3051:P3055" si="2413">$J3051&amp;""</f>
        <v>o</v>
      </c>
      <c r="Q3051" t="str">
        <f t="shared" ref="Q3051:Q3055" si="2414">$K3051&amp;""</f>
        <v>3/2</v>
      </c>
      <c r="R3051">
        <v>29</v>
      </c>
      <c r="AA3051" s="10">
        <f t="shared" si="2356"/>
        <v>2589.9</v>
      </c>
      <c r="AB3051" s="3">
        <f t="shared" si="2357"/>
        <v>38599.980000000003</v>
      </c>
      <c r="AC3051" s="3" cm="1">
        <f t="array" ref="AC3051">100000000/LvacE(AA3051)</f>
        <v>38599.983218225978</v>
      </c>
      <c r="AD3051" s="10">
        <f t="shared" si="2358"/>
        <v>1.2452021934867365E-2</v>
      </c>
      <c r="AE3051" s="10" t="b">
        <f t="shared" si="2359"/>
        <v>1</v>
      </c>
      <c r="AJ3051" t="s">
        <v>4811</v>
      </c>
      <c r="AK3051" t="s">
        <v>4960</v>
      </c>
      <c r="AL3051">
        <v>35863.74</v>
      </c>
      <c r="AM3051">
        <v>74463.7</v>
      </c>
      <c r="AN3051" s="10" cm="1">
        <f t="array" ref="AN3051">Lair(100000000/($AM3051-$AL3051))</f>
        <v>2589.9015573685688</v>
      </c>
      <c r="AO3051" s="10">
        <f t="shared" ref="AO3051:AO3055" si="2415">100000000/($AM3051-$AL3051)</f>
        <v>2590.676259768145</v>
      </c>
      <c r="AP3051" s="12">
        <v>2880000</v>
      </c>
      <c r="AQ3051" s="3">
        <v>0.02</v>
      </c>
      <c r="AR3051" s="3"/>
      <c r="AS3051" s="13">
        <f t="shared" ref="AS3051:AS3054" si="2416">EXP(AR$4341*$AM3051+AR$4342)*$AP3051/(100000000/($AM3051-$AL3051))</f>
        <v>0.36772595180561712</v>
      </c>
      <c r="AT3051" s="3"/>
      <c r="AU3051" s="13" cm="1">
        <f t="array" ref="AU3051">$C3051*EXP(poly_from_str(100000000/$E3051,AU$4343))</f>
        <v>11.140311093331771</v>
      </c>
      <c r="AV3051" s="13"/>
      <c r="AW3051" s="13"/>
      <c r="AX3051" s="13"/>
      <c r="AY3051" s="13"/>
    </row>
    <row r="3052" spans="1:51" x14ac:dyDescent="0.25">
      <c r="A3052" t="s">
        <v>3631</v>
      </c>
      <c r="B3052" s="2">
        <f t="shared" si="2355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2411"/>
        <v>o</v>
      </c>
      <c r="N3052" t="str">
        <f t="shared" si="2412"/>
        <v>7/2</v>
      </c>
      <c r="O3052">
        <v>103895.83</v>
      </c>
      <c r="P3052" t="str">
        <f t="shared" si="2413"/>
        <v>e</v>
      </c>
      <c r="Q3052" t="str">
        <f t="shared" si="2414"/>
        <v>7/2</v>
      </c>
      <c r="R3052">
        <v>29</v>
      </c>
      <c r="AA3052" s="10">
        <f t="shared" si="2356"/>
        <v>2589.9</v>
      </c>
      <c r="AB3052" s="3">
        <f t="shared" si="2357"/>
        <v>38599.980000000003</v>
      </c>
      <c r="AC3052" s="3" cm="1">
        <f t="array" ref="AC3052">100000000/LvacE(AA3052)</f>
        <v>38599.983218225978</v>
      </c>
      <c r="AD3052" s="10">
        <f t="shared" si="2358"/>
        <v>1.2452021934867365E-2</v>
      </c>
      <c r="AE3052" s="10" t="b">
        <f t="shared" si="2359"/>
        <v>1</v>
      </c>
      <c r="AJ3052" t="s">
        <v>4825</v>
      </c>
      <c r="AK3052" t="s">
        <v>4952</v>
      </c>
      <c r="AL3052">
        <v>65295.9</v>
      </c>
      <c r="AM3052">
        <v>103895.83</v>
      </c>
      <c r="AN3052" s="10" cm="1">
        <f t="array" ref="AN3052">Lair(100000000/($AM3052-$AL3052))</f>
        <v>2589.9035703746017</v>
      </c>
      <c r="AO3052" s="10">
        <f t="shared" si="2415"/>
        <v>2590.6782732507545</v>
      </c>
      <c r="AP3052" s="12">
        <v>836000000</v>
      </c>
      <c r="AQ3052" s="3">
        <v>0.54500000000000004</v>
      </c>
      <c r="AR3052" s="3">
        <f t="shared" ref="AR3052:AR3054" si="2417">LN(AU3052*100000000/($AM3052-$AL3052)/AP3052)</f>
        <v>-10.273894009174366</v>
      </c>
      <c r="AS3052" s="13">
        <f t="shared" si="2416"/>
        <v>11.723955583582036</v>
      </c>
      <c r="AT3052" s="3">
        <f t="shared" ref="AT3052:AT3054" si="2418">LN(AS3052/$C3052)</f>
        <v>1.075339873217829</v>
      </c>
      <c r="AU3052" s="13" cm="1">
        <f t="array" ref="AU3052">$C3052*EXP(poly_from_str(100000000/$E3052,AU$4343))</f>
        <v>11.140311093331771</v>
      </c>
      <c r="AV3052" s="13">
        <f t="shared" ref="AV3052:AV3054" si="2419">LN(AS3052/AU3052)</f>
        <v>5.1064074435701337E-2</v>
      </c>
      <c r="AW3052" s="13"/>
      <c r="AX3052" s="13"/>
      <c r="AY3052" s="13"/>
    </row>
    <row r="3053" spans="1:51" x14ac:dyDescent="0.25">
      <c r="A3053" t="s">
        <v>3632</v>
      </c>
      <c r="B3053" s="2" t="str">
        <f t="shared" si="2355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2411"/>
        <v>e</v>
      </c>
      <c r="N3053" t="str">
        <f t="shared" si="2412"/>
        <v>9/2</v>
      </c>
      <c r="O3053">
        <v>84410.63</v>
      </c>
      <c r="P3053" t="str">
        <f t="shared" si="2413"/>
        <v>o</v>
      </c>
      <c r="Q3053" t="str">
        <f t="shared" si="2414"/>
        <v>9/2</v>
      </c>
      <c r="R3053">
        <v>29</v>
      </c>
      <c r="AA3053" s="10">
        <f t="shared" si="2356"/>
        <v>2589.5839999999998</v>
      </c>
      <c r="AB3053" s="3">
        <f t="shared" si="2357"/>
        <v>38604.69</v>
      </c>
      <c r="AC3053" s="3" cm="1">
        <f t="array" ref="AC3053">100000000/LvacE(AA3053)</f>
        <v>38604.693176940804</v>
      </c>
      <c r="AD3053" s="10">
        <f t="shared" si="2358"/>
        <v>1.2453840689651467E-2</v>
      </c>
      <c r="AE3053" s="10" t="b">
        <f t="shared" si="2359"/>
        <v>1</v>
      </c>
      <c r="AJ3053" t="s">
        <v>4802</v>
      </c>
      <c r="AK3053" t="s">
        <v>4933</v>
      </c>
      <c r="AL3053">
        <v>45805.95</v>
      </c>
      <c r="AM3053">
        <v>84410.63</v>
      </c>
      <c r="AN3053" s="10" cm="1">
        <f t="array" ref="AN3053">Lair(100000000/($AM3053-$AL3053))</f>
        <v>2589.5848833862437</v>
      </c>
      <c r="AO3053" s="10">
        <f t="shared" si="2415"/>
        <v>2590.3595108157865</v>
      </c>
      <c r="AP3053" s="12">
        <v>92000000</v>
      </c>
      <c r="AQ3053" s="3">
        <v>0.751</v>
      </c>
      <c r="AR3053" s="3">
        <f t="shared" si="2417"/>
        <v>-8.7590926863255252</v>
      </c>
      <c r="AS3053" s="13">
        <f t="shared" si="2416"/>
        <v>5.5690159776463144</v>
      </c>
      <c r="AT3053" s="3">
        <f t="shared" si="2418"/>
        <v>1.0240711930767465</v>
      </c>
      <c r="AU3053" s="13" cm="1">
        <f t="array" ref="AU3053">$C3053*EXP(poly_from_str(100000000/$E3053,AU$4343))</f>
        <v>5.5770195137053022</v>
      </c>
      <c r="AV3053" s="13">
        <f t="shared" si="2419"/>
        <v>-1.4361227255684044E-3</v>
      </c>
      <c r="AW3053" s="13"/>
      <c r="AX3053" s="13"/>
      <c r="AY3053" s="13"/>
    </row>
    <row r="3054" spans="1:51" x14ac:dyDescent="0.25">
      <c r="A3054" t="s">
        <v>3633</v>
      </c>
      <c r="B3054" s="2" t="str">
        <f t="shared" si="2355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2411"/>
        <v>o</v>
      </c>
      <c r="N3054" t="str">
        <f t="shared" si="2412"/>
        <v>11/2</v>
      </c>
      <c r="O3054">
        <v>101165.33</v>
      </c>
      <c r="P3054" t="str">
        <f t="shared" si="2413"/>
        <v>e</v>
      </c>
      <c r="Q3054" t="str">
        <f t="shared" si="2414"/>
        <v>11/2</v>
      </c>
      <c r="R3054">
        <v>29</v>
      </c>
      <c r="AA3054" s="10">
        <f t="shared" si="2356"/>
        <v>2589.451</v>
      </c>
      <c r="AB3054" s="3">
        <f t="shared" si="2357"/>
        <v>38606.68</v>
      </c>
      <c r="AC3054" s="3" cm="1">
        <f t="array" ref="AC3054">100000000/LvacE(AA3054)</f>
        <v>38606.675876673915</v>
      </c>
      <c r="AD3054" s="10">
        <f t="shared" si="2358"/>
        <v>1.2454606377312008E-2</v>
      </c>
      <c r="AE3054" s="10" t="b">
        <f t="shared" si="2359"/>
        <v>1</v>
      </c>
      <c r="AJ3054" t="s">
        <v>4821</v>
      </c>
      <c r="AK3054" t="s">
        <v>4953</v>
      </c>
      <c r="AL3054">
        <v>62558.67</v>
      </c>
      <c r="AM3054">
        <v>101165.33</v>
      </c>
      <c r="AN3054" s="10" cm="1">
        <f t="array" ref="AN3054">Lair(100000000/($AM3054-$AL3054))</f>
        <v>2589.4520643871574</v>
      </c>
      <c r="AO3054" s="10">
        <f t="shared" si="2415"/>
        <v>2590.2266603741423</v>
      </c>
      <c r="AP3054" s="12">
        <v>987000000</v>
      </c>
      <c r="AQ3054" s="3">
        <v>0.372</v>
      </c>
      <c r="AR3054" s="3">
        <f t="shared" si="2417"/>
        <v>-10.215215683943619</v>
      </c>
      <c r="AS3054" s="13">
        <f t="shared" si="2416"/>
        <v>16.992382850041807</v>
      </c>
      <c r="AT3054" s="3">
        <f t="shared" si="2418"/>
        <v>1.2233272635652137</v>
      </c>
      <c r="AU3054" s="13" cm="1">
        <f t="array" ref="AU3054">$C3054*EXP(poly_from_str(100000000/$E3054,AU$4343))</f>
        <v>13.949787133891165</v>
      </c>
      <c r="AV3054" s="13">
        <f t="shared" si="2419"/>
        <v>0.19730092706763372</v>
      </c>
      <c r="AW3054" s="13"/>
      <c r="AX3054" s="13"/>
      <c r="AY3054" s="13"/>
    </row>
    <row r="3055" spans="1:51" x14ac:dyDescent="0.25">
      <c r="A3055" t="s">
        <v>3634</v>
      </c>
      <c r="B3055" s="2" t="str">
        <f t="shared" si="2355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2411"/>
        <v>e</v>
      </c>
      <c r="N3055" t="str">
        <f t="shared" si="2412"/>
        <v>9/2</v>
      </c>
      <c r="O3055">
        <v>61357.04</v>
      </c>
      <c r="P3055" t="str">
        <f t="shared" si="2413"/>
        <v>o</v>
      </c>
      <c r="Q3055" t="str">
        <f t="shared" si="2414"/>
        <v>9/2</v>
      </c>
      <c r="R3055">
        <v>29</v>
      </c>
      <c r="AA3055" s="10">
        <f t="shared" si="2356"/>
        <v>2589.2689999999998</v>
      </c>
      <c r="AB3055" s="3">
        <f t="shared" si="2357"/>
        <v>38609.39</v>
      </c>
      <c r="AC3055" s="3" cm="1">
        <f t="array" ref="AC3055">100000000/LvacE(AA3055)</f>
        <v>38609.389374763901</v>
      </c>
      <c r="AD3055" s="10">
        <f t="shared" si="2358"/>
        <v>1.2455654351626638E-2</v>
      </c>
      <c r="AE3055" s="10" t="b">
        <f t="shared" si="2359"/>
        <v>1</v>
      </c>
      <c r="AJ3055" t="s">
        <v>4797</v>
      </c>
      <c r="AK3055" t="s">
        <v>4903</v>
      </c>
      <c r="AL3055">
        <v>22747.69</v>
      </c>
      <c r="AM3055">
        <v>61357.04</v>
      </c>
      <c r="AN3055" s="10" cm="1">
        <f t="array" ref="AN3055">Lair(100000000/($AM3055-$AL3055))</f>
        <v>2589.2716401979119</v>
      </c>
      <c r="AO3055" s="10">
        <f t="shared" si="2415"/>
        <v>2590.0461934738601</v>
      </c>
      <c r="AU3055" s="13" cm="1">
        <f t="array" ref="AU3055">$C3055*EXP(poly_from_str(100000000/$E3055,AU$4343))</f>
        <v>16.751559723337696</v>
      </c>
    </row>
    <row r="3056" spans="1:51" x14ac:dyDescent="0.25">
      <c r="A3056" t="s">
        <v>3635</v>
      </c>
      <c r="B3056" s="2" t="str">
        <f t="shared" si="2355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2356"/>
        <v>2588.7539999999999</v>
      </c>
      <c r="AB3056" s="3">
        <f t="shared" si="2357"/>
        <v>38617.07</v>
      </c>
      <c r="AC3056" s="3" cm="1">
        <f t="array" ref="AC3056">100000000/LvacE(AA3056)</f>
        <v>38617.069746873196</v>
      </c>
      <c r="AD3056" s="10">
        <f t="shared" si="2358"/>
        <v>1.2458620971106794E-2</v>
      </c>
      <c r="AE3056" s="10" t="b">
        <f t="shared" si="2359"/>
        <v>1</v>
      </c>
      <c r="AP3056"/>
      <c r="AQ3056"/>
      <c r="AU3056" s="13" cm="1">
        <f t="array" ref="AU3056">$C3056*EXP(poly_from_str(100000000/$E3056,AU$4343))</f>
        <v>2.7974930757388572</v>
      </c>
    </row>
    <row r="3057" spans="1:51" x14ac:dyDescent="0.25">
      <c r="A3057" t="s">
        <v>3636</v>
      </c>
      <c r="B3057" s="2" t="str">
        <f t="shared" si="2355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2420">$G3057&amp;""</f>
        <v>o</v>
      </c>
      <c r="N3057" t="str">
        <f t="shared" ref="N3057:N3060" si="2421">$H3057&amp;""</f>
        <v>11/2</v>
      </c>
      <c r="O3057">
        <v>102435.67</v>
      </c>
      <c r="P3057" t="str">
        <f t="shared" ref="P3057:P3060" si="2422">$J3057&amp;""</f>
        <v>e</v>
      </c>
      <c r="Q3057" t="str">
        <f t="shared" ref="Q3057:Q3060" si="2423">$K3057&amp;""</f>
        <v>11/2</v>
      </c>
      <c r="R3057">
        <v>29</v>
      </c>
      <c r="AA3057" s="10">
        <f t="shared" si="2356"/>
        <v>2588.6410000000001</v>
      </c>
      <c r="AB3057" s="3">
        <f t="shared" si="2357"/>
        <v>38618.75</v>
      </c>
      <c r="AC3057" s="3" cm="1">
        <f t="array" ref="AC3057">100000000/LvacE(AA3057)</f>
        <v>38618.75536351445</v>
      </c>
      <c r="AD3057" s="10">
        <f t="shared" si="2358"/>
        <v>1.2459272136135225E-2</v>
      </c>
      <c r="AE3057" s="10" t="b">
        <f t="shared" si="2359"/>
        <v>1</v>
      </c>
      <c r="AJ3057" t="s">
        <v>4928</v>
      </c>
      <c r="AK3057" t="s">
        <v>4950</v>
      </c>
      <c r="AL3057">
        <v>63816.91</v>
      </c>
      <c r="AM3057">
        <v>102435.67</v>
      </c>
      <c r="AN3057" s="10" cm="1">
        <f t="array" ref="AN3057">Lair(100000000/($AM3057-$AL3057))</f>
        <v>2588.6406886367404</v>
      </c>
      <c r="AO3057" s="10">
        <f t="shared" ref="AO3057:AO3060" si="2424">100000000/($AM3057-$AL3057)</f>
        <v>2589.4150925612321</v>
      </c>
      <c r="AP3057" s="12">
        <v>591000000</v>
      </c>
      <c r="AQ3057" s="3">
        <v>0.60699999999999998</v>
      </c>
      <c r="AR3057" s="3">
        <f t="shared" ref="AR3057:AR3060" si="2425">LN(AU3057*100000000/($AM3057-$AL3057)/AP3057)</f>
        <v>-10.615834233981102</v>
      </c>
      <c r="AS3057" s="13">
        <f t="shared" ref="AS3057:AS3060" si="2426">EXP(AR$4341*$AM3057+AR$4342)*$AP3057/(100000000/($AM3057-$AL3057))</f>
        <v>9.252461473261544</v>
      </c>
      <c r="AT3057" s="3">
        <f t="shared" ref="AT3057:AT3060" si="2427">LN(AS3057/$C3057)</f>
        <v>1.5317424407821392</v>
      </c>
      <c r="AU3057" s="13" cm="1">
        <f t="array" ref="AU3057">$C3057*EXP(poly_from_str(100000000/$E3057,AU$4343))</f>
        <v>5.5974159020955119</v>
      </c>
      <c r="AV3057" s="13">
        <f t="shared" ref="AV3057:AV3060" si="2428">LN(AS3057/AU3057)</f>
        <v>0.50258457615434804</v>
      </c>
      <c r="AW3057" s="13"/>
      <c r="AX3057" s="13"/>
      <c r="AY3057" s="13"/>
    </row>
    <row r="3058" spans="1:51" x14ac:dyDescent="0.25">
      <c r="A3058" t="s">
        <v>3637</v>
      </c>
      <c r="B3058" s="2" t="str">
        <f t="shared" si="2355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2420"/>
        <v>e</v>
      </c>
      <c r="N3058" t="str">
        <f t="shared" si="2421"/>
        <v>9/2</v>
      </c>
      <c r="O3058">
        <v>60166.2</v>
      </c>
      <c r="P3058" t="str">
        <f t="shared" si="2422"/>
        <v>o</v>
      </c>
      <c r="Q3058" t="str">
        <f t="shared" si="2423"/>
        <v>9/2</v>
      </c>
      <c r="R3058">
        <v>29</v>
      </c>
      <c r="AA3058" s="10">
        <f t="shared" si="2356"/>
        <v>2587.8159999999998</v>
      </c>
      <c r="AB3058" s="3">
        <f t="shared" si="2357"/>
        <v>38631.07</v>
      </c>
      <c r="AC3058" s="3" cm="1">
        <f t="array" ref="AC3058">100000000/LvacE(AA3058)</f>
        <v>38631.066316872646</v>
      </c>
      <c r="AD3058" s="10">
        <f t="shared" si="2358"/>
        <v>1.2464028802061787E-2</v>
      </c>
      <c r="AE3058" s="10" t="b">
        <f t="shared" si="2359"/>
        <v>1</v>
      </c>
      <c r="AJ3058" t="s">
        <v>4798</v>
      </c>
      <c r="AK3058" t="s">
        <v>4726</v>
      </c>
      <c r="AL3058">
        <v>21535.17</v>
      </c>
      <c r="AM3058">
        <v>60166.2</v>
      </c>
      <c r="AN3058" s="10" cm="1">
        <f t="array" ref="AN3058">Lair(100000000/($AM3058-$AL3058))</f>
        <v>2587.8184324030503</v>
      </c>
      <c r="AO3058" s="10">
        <f t="shared" si="2424"/>
        <v>2588.5926417183287</v>
      </c>
      <c r="AP3058" s="12">
        <v>85100000</v>
      </c>
      <c r="AQ3058" s="3">
        <v>0.25900000000000001</v>
      </c>
      <c r="AR3058" s="3">
        <f t="shared" si="2425"/>
        <v>-7.1709181879035571</v>
      </c>
      <c r="AS3058" s="13">
        <f t="shared" si="2426"/>
        <v>31.798053454483167</v>
      </c>
      <c r="AT3058" s="3">
        <f t="shared" si="2427"/>
        <v>1.2621804984532023</v>
      </c>
      <c r="AU3058" s="13" cm="1">
        <f t="array" ref="AU3058">$C3058*EXP(poly_from_str(100000000/$E3058,AU$4343))</f>
        <v>25.268278130732931</v>
      </c>
      <c r="AV3058" s="13">
        <f t="shared" si="2428"/>
        <v>0.2298552955817546</v>
      </c>
      <c r="AW3058" s="13"/>
      <c r="AX3058" s="13"/>
      <c r="AY3058" s="13"/>
    </row>
    <row r="3059" spans="1:51" x14ac:dyDescent="0.25">
      <c r="A3059" t="s">
        <v>3638</v>
      </c>
      <c r="B3059" s="2" t="str">
        <f t="shared" si="2355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2420"/>
        <v>e</v>
      </c>
      <c r="N3059" t="str">
        <f t="shared" si="2421"/>
        <v>11/2</v>
      </c>
      <c r="O3059">
        <v>69138.28</v>
      </c>
      <c r="P3059" t="str">
        <f t="shared" si="2422"/>
        <v>o</v>
      </c>
      <c r="Q3059" t="str">
        <f t="shared" si="2423"/>
        <v>9/2</v>
      </c>
      <c r="R3059">
        <v>29</v>
      </c>
      <c r="AA3059" s="10">
        <f t="shared" si="2356"/>
        <v>2587.7089999999998</v>
      </c>
      <c r="AB3059" s="3">
        <f t="shared" si="2357"/>
        <v>38632.660000000003</v>
      </c>
      <c r="AC3059" s="3" cm="1">
        <f t="array" ref="AC3059">100000000/LvacE(AA3059)</f>
        <v>38632.663585221046</v>
      </c>
      <c r="AD3059" s="10">
        <f t="shared" si="2358"/>
        <v>1.2464646060515509E-2</v>
      </c>
      <c r="AE3059" s="10" t="b">
        <f t="shared" si="2359"/>
        <v>1</v>
      </c>
      <c r="AJ3059" t="s">
        <v>4706</v>
      </c>
      <c r="AK3059" t="s">
        <v>4879</v>
      </c>
      <c r="AL3059">
        <v>30505.72</v>
      </c>
      <c r="AM3059">
        <v>69138.28</v>
      </c>
      <c r="AN3059" s="10" cm="1">
        <f t="array" ref="AN3059">Lair(100000000/($AM3059-$AL3059))</f>
        <v>2587.7159382977775</v>
      </c>
      <c r="AO3059" s="10">
        <f t="shared" si="2424"/>
        <v>2588.4901233570854</v>
      </c>
      <c r="AP3059" s="12">
        <v>460000000</v>
      </c>
      <c r="AQ3059" s="3">
        <v>0.248</v>
      </c>
      <c r="AR3059" s="3">
        <f t="shared" si="2425"/>
        <v>-8.0594429047584235</v>
      </c>
      <c r="AS3059" s="13">
        <f t="shared" si="2426"/>
        <v>87.664637859802482</v>
      </c>
      <c r="AT3059" s="3">
        <f t="shared" si="2427"/>
        <v>1.4777863274042551</v>
      </c>
      <c r="AU3059" s="13" cm="1">
        <f t="array" ref="AU3059">$C3059*EXP(poly_from_str(100000000/$E3059,AU$4343))</f>
        <v>56.174567671468942</v>
      </c>
      <c r="AV3059" s="13">
        <f t="shared" si="2428"/>
        <v>0.44505447901848999</v>
      </c>
      <c r="AW3059" s="13"/>
      <c r="AX3059" s="13"/>
      <c r="AY3059" s="13"/>
    </row>
    <row r="3060" spans="1:51" x14ac:dyDescent="0.25">
      <c r="A3060" t="s">
        <v>3639</v>
      </c>
      <c r="B3060" s="2" t="str">
        <f t="shared" si="2355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2420"/>
        <v>o</v>
      </c>
      <c r="N3060" t="str">
        <f t="shared" si="2421"/>
        <v>13/2</v>
      </c>
      <c r="O3060">
        <v>104788.68</v>
      </c>
      <c r="P3060" t="str">
        <f t="shared" si="2422"/>
        <v>e</v>
      </c>
      <c r="Q3060" t="str">
        <f t="shared" si="2423"/>
        <v>11/2</v>
      </c>
      <c r="R3060">
        <v>29</v>
      </c>
      <c r="AA3060" s="10">
        <f t="shared" si="2356"/>
        <v>2587.1959999999999</v>
      </c>
      <c r="AB3060" s="3">
        <f t="shared" si="2357"/>
        <v>38640.32</v>
      </c>
      <c r="AC3060" s="3" cm="1">
        <f t="array" ref="AC3060">100000000/LvacE(AA3060)</f>
        <v>38640.323351591025</v>
      </c>
      <c r="AD3060" s="10">
        <f t="shared" si="2358"/>
        <v>1.2467606503641593E-2</v>
      </c>
      <c r="AE3060" s="10" t="b">
        <f t="shared" si="2359"/>
        <v>1</v>
      </c>
      <c r="AJ3060" t="s">
        <v>4694</v>
      </c>
      <c r="AK3060" t="s">
        <v>4836</v>
      </c>
      <c r="AL3060">
        <v>66148.399999999994</v>
      </c>
      <c r="AM3060">
        <v>104788.68</v>
      </c>
      <c r="AN3060" s="10" cm="1">
        <f t="array" ref="AN3060">Lair(100000000/($AM3060-$AL3060))</f>
        <v>2587.1989022933294</v>
      </c>
      <c r="AO3060" s="10">
        <f t="shared" si="2424"/>
        <v>2587.9729649992187</v>
      </c>
      <c r="AP3060" s="12">
        <v>1770000000</v>
      </c>
      <c r="AQ3060" s="3">
        <v>0.878</v>
      </c>
      <c r="AR3060" s="3">
        <f t="shared" si="2425"/>
        <v>-10.791493133503595</v>
      </c>
      <c r="AS3060" s="13">
        <f t="shared" si="2426"/>
        <v>23.237787842564995</v>
      </c>
      <c r="AT3060" s="3">
        <f t="shared" si="2427"/>
        <v>1.5363418275217895</v>
      </c>
      <c r="AU3060" s="13" cm="1">
        <f t="array" ref="AU3060">$C3060*EXP(poly_from_str(100000000/$E3060,AU$4343))</f>
        <v>14.071085818546084</v>
      </c>
      <c r="AV3060" s="13">
        <f t="shared" si="2428"/>
        <v>0.50165769920268977</v>
      </c>
      <c r="AW3060" s="13"/>
      <c r="AX3060" s="13"/>
      <c r="AY3060" s="13"/>
    </row>
    <row r="3061" spans="1:51" x14ac:dyDescent="0.25">
      <c r="A3061" t="s">
        <v>3640</v>
      </c>
      <c r="B3061" s="2" t="str">
        <f t="shared" si="2355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2356"/>
        <v>2586.8240000000001</v>
      </c>
      <c r="AB3061" s="3">
        <f t="shared" si="2357"/>
        <v>38645.879999999997</v>
      </c>
      <c r="AC3061" s="3" cm="1">
        <f t="array" ref="AC3061">100000000/LvacE(AA3061)</f>
        <v>38645.879702112928</v>
      </c>
      <c r="AD3061" s="10">
        <f t="shared" si="2358"/>
        <v>1.2469754359421617E-2</v>
      </c>
      <c r="AE3061" s="10" t="b">
        <f t="shared" si="2359"/>
        <v>1</v>
      </c>
      <c r="AP3061"/>
      <c r="AQ3061"/>
      <c r="AU3061" s="13" cm="1">
        <f t="array" ref="AU3061">$C3061*EXP(poly_from_str(100000000/$E3061,AU$4343))</f>
        <v>2.8181881480268212</v>
      </c>
    </row>
    <row r="3062" spans="1:51" x14ac:dyDescent="0.25">
      <c r="A3062" t="s">
        <v>3641</v>
      </c>
      <c r="B3062" s="2" t="str">
        <f t="shared" si="2355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2356"/>
        <v>2586.7280000000001</v>
      </c>
      <c r="AB3062" s="3">
        <f t="shared" si="2357"/>
        <v>38647.31</v>
      </c>
      <c r="AC3062" s="3" cm="1">
        <f t="array" ref="AC3062">100000000/LvacE(AA3062)</f>
        <v>38647.313858416826</v>
      </c>
      <c r="AD3062" s="10">
        <f t="shared" si="2358"/>
        <v>1.2470308795207077E-2</v>
      </c>
      <c r="AE3062" s="10" t="b">
        <f t="shared" si="2359"/>
        <v>1</v>
      </c>
      <c r="AP3062"/>
      <c r="AQ3062"/>
      <c r="AU3062" s="13" cm="1">
        <f t="array" ref="AU3062">$C3062*EXP(poly_from_str(100000000/$E3062,AU$4343))</f>
        <v>2.8192076889726048</v>
      </c>
    </row>
    <row r="3063" spans="1:51" x14ac:dyDescent="0.25">
      <c r="A3063" t="s">
        <v>3642</v>
      </c>
      <c r="B3063" s="2" t="str">
        <f t="shared" si="2355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2356"/>
        <v>2586.39</v>
      </c>
      <c r="AB3063" s="3">
        <f t="shared" si="2357"/>
        <v>38652.36</v>
      </c>
      <c r="AC3063" s="3" cm="1">
        <f t="array" ref="AC3063">100000000/LvacE(AA3063)</f>
        <v>38652.364130937429</v>
      </c>
      <c r="AD3063" s="10">
        <f t="shared" si="2358"/>
        <v>1.2472261362543435E-2</v>
      </c>
      <c r="AE3063" s="10" t="b">
        <f t="shared" si="2359"/>
        <v>1</v>
      </c>
      <c r="AP3063"/>
      <c r="AQ3063"/>
      <c r="AU3063" s="13" cm="1">
        <f t="array" ref="AU3063">$C3063*EXP(poly_from_str(100000000/$E3063,AU$4343))</f>
        <v>5.6456047192749779</v>
      </c>
    </row>
    <row r="3064" spans="1:51" x14ac:dyDescent="0.25">
      <c r="A3064" t="s">
        <v>3643</v>
      </c>
      <c r="B3064" s="2" t="str">
        <f t="shared" si="2355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2356"/>
        <v>2586.2979999999998</v>
      </c>
      <c r="AB3064" s="3">
        <f t="shared" si="2357"/>
        <v>38653.74</v>
      </c>
      <c r="AC3064" s="3" cm="1">
        <f t="array" ref="AC3064">100000000/LvacE(AA3064)</f>
        <v>38653.738989847756</v>
      </c>
      <c r="AD3064" s="10">
        <f t="shared" si="2358"/>
        <v>1.2472792963117121E-2</v>
      </c>
      <c r="AE3064" s="10" t="b">
        <f t="shared" si="2359"/>
        <v>1</v>
      </c>
      <c r="AP3064"/>
      <c r="AQ3064"/>
      <c r="AU3064" s="13" cm="1">
        <f t="array" ref="AU3064">$C3064*EXP(poly_from_str(100000000/$E3064,AU$4343))</f>
        <v>2.823783091240113</v>
      </c>
    </row>
    <row r="3065" spans="1:51" x14ac:dyDescent="0.25">
      <c r="A3065" t="s">
        <v>3644</v>
      </c>
      <c r="B3065" s="2" t="str">
        <f t="shared" si="2355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2356"/>
        <v>2586.0549999999998</v>
      </c>
      <c r="AB3065" s="3">
        <f t="shared" si="2357"/>
        <v>38657.370000000003</v>
      </c>
      <c r="AC3065" s="3" cm="1">
        <f t="array" ref="AC3065">100000000/LvacE(AA3065)</f>
        <v>38657.370881027229</v>
      </c>
      <c r="AD3065" s="10">
        <f t="shared" si="2358"/>
        <v>1.2474197354856574E-2</v>
      </c>
      <c r="AE3065" s="10" t="b">
        <f t="shared" si="2359"/>
        <v>1</v>
      </c>
      <c r="AJ3065" t="s">
        <v>4697</v>
      </c>
      <c r="AK3065" t="s">
        <v>4831</v>
      </c>
      <c r="AL3065">
        <v>29835.09</v>
      </c>
      <c r="AM3065">
        <v>68492.429999999993</v>
      </c>
      <c r="AN3065" s="10" cm="1">
        <f t="array" ref="AN3065">Lair(100000000/($AM3065-$AL3065))</f>
        <v>2586.0570654569447</v>
      </c>
      <c r="AO3065" s="10">
        <f>100000000/($AM3065-$AL3065)</f>
        <v>2586.8308579948857</v>
      </c>
      <c r="AP3065" s="12">
        <v>2540000</v>
      </c>
      <c r="AQ3065" s="3">
        <v>6.0000000000000001E-3</v>
      </c>
      <c r="AR3065" s="3"/>
      <c r="AS3065" s="13">
        <f>EXP(AR$4341*$AM3065+AR$4342)*$AP3065/(100000000/($AM3065-$AL3065))</f>
        <v>0.50842699892722287</v>
      </c>
      <c r="AT3065" s="3"/>
      <c r="AU3065" s="13" cm="1">
        <f t="array" ref="AU3065">$C3065*EXP(poly_from_str(100000000/$E3065,AU$4343))</f>
        <v>2.8263596147578753</v>
      </c>
      <c r="AV3065" s="13"/>
      <c r="AW3065" s="13"/>
      <c r="AX3065" s="13"/>
      <c r="AY3065" s="13"/>
    </row>
    <row r="3066" spans="1:51" x14ac:dyDescent="0.25">
      <c r="A3066" t="s">
        <v>3645</v>
      </c>
      <c r="B3066" s="2" t="str">
        <f t="shared" si="2355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2356"/>
        <v>2585.6889999999999</v>
      </c>
      <c r="AB3066" s="3">
        <f t="shared" si="2357"/>
        <v>38662.839999999997</v>
      </c>
      <c r="AC3066" s="3" cm="1">
        <f t="array" ref="AC3066">100000000/LvacE(AA3066)</f>
        <v>38662.842425119023</v>
      </c>
      <c r="AD3066" s="10">
        <f t="shared" si="2358"/>
        <v>1.2476313358860836E-2</v>
      </c>
      <c r="AE3066" s="10" t="b">
        <f t="shared" si="2359"/>
        <v>1</v>
      </c>
      <c r="AP3066"/>
      <c r="AQ3066"/>
      <c r="AU3066" s="13" cm="1">
        <f t="array" ref="AU3066">$C3066*EXP(poly_from_str(100000000/$E3066,AU$4343))</f>
        <v>14.151166559648033</v>
      </c>
    </row>
    <row r="3067" spans="1:51" x14ac:dyDescent="0.25">
      <c r="A3067" t="s">
        <v>3646</v>
      </c>
      <c r="B3067" s="2" t="str">
        <f t="shared" si="2355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2429">$G3067&amp;""</f>
        <v>e</v>
      </c>
      <c r="N3067" t="str">
        <f t="shared" ref="N3067:N3069" si="2430">$H3067&amp;""</f>
        <v>11/2</v>
      </c>
      <c r="O3067">
        <v>60419.73</v>
      </c>
      <c r="P3067" t="str">
        <f t="shared" ref="P3067:P3069" si="2431">$J3067&amp;""</f>
        <v>o</v>
      </c>
      <c r="Q3067" t="str">
        <f t="shared" ref="Q3067:Q3069" si="2432">$K3067&amp;""</f>
        <v>11/2</v>
      </c>
      <c r="R3067">
        <v>29</v>
      </c>
      <c r="AA3067" s="10">
        <f t="shared" si="2356"/>
        <v>2585.6210000000001</v>
      </c>
      <c r="AB3067" s="3">
        <f t="shared" si="2357"/>
        <v>38663.86</v>
      </c>
      <c r="AC3067" s="3" cm="1">
        <f t="array" ref="AC3067">100000000/LvacE(AA3067)</f>
        <v>38663.859166765084</v>
      </c>
      <c r="AD3067" s="10">
        <f t="shared" si="2358"/>
        <v>1.2476706595198037E-2</v>
      </c>
      <c r="AE3067" s="10" t="b">
        <f t="shared" si="2359"/>
        <v>1</v>
      </c>
      <c r="AJ3067" t="s">
        <v>4965</v>
      </c>
      <c r="AK3067" t="s">
        <v>4849</v>
      </c>
      <c r="AL3067">
        <v>21755.84</v>
      </c>
      <c r="AM3067">
        <v>60419.73</v>
      </c>
      <c r="AN3067" s="10" cm="1">
        <f t="array" ref="AN3067">Lair(100000000/($AM3067-$AL3067))</f>
        <v>2585.6189374098981</v>
      </c>
      <c r="AO3067" s="10">
        <f t="shared" ref="AO3067:AO3069" si="2433">100000000/($AM3067-$AL3067)</f>
        <v>2586.3926262980781</v>
      </c>
      <c r="AP3067" s="12">
        <v>13200000</v>
      </c>
      <c r="AQ3067" s="3">
        <v>0.106</v>
      </c>
      <c r="AR3067" s="3">
        <f t="shared" ref="AR3067:AR3069" si="2434">LN(AU3067*100000000/($AM3067-$AL3067)/AP3067)</f>
        <v>-6.3984817993813481</v>
      </c>
      <c r="AS3067" s="13">
        <f t="shared" ref="AS3067:AS3069" si="2435">EXP(AR$4341*$AM3067+AR$4342)*$AP3067/(100000000/($AM3067-$AL3067))</f>
        <v>4.8434075620155665</v>
      </c>
      <c r="AT3067" s="3">
        <f t="shared" ref="AT3067:AT3069" si="2436">LN(AS3067/$C3067)</f>
        <v>0.47900622607806298</v>
      </c>
      <c r="AU3067" s="13" cm="1">
        <f t="array" ref="AU3067">$C3067*EXP(poly_from_str(100000000/$E3067,AU$4343))</f>
        <v>8.4928634160106036</v>
      </c>
      <c r="AV3067" s="13">
        <f t="shared" ref="AV3067:AV3069" si="2437">LN(AS3067/AU3067)</f>
        <v>-0.56160769797379118</v>
      </c>
      <c r="AW3067" s="13"/>
      <c r="AX3067" s="13"/>
      <c r="AY3067" s="13"/>
    </row>
    <row r="3068" spans="1:51" x14ac:dyDescent="0.25">
      <c r="A3068" t="s">
        <v>3647</v>
      </c>
      <c r="B3068" s="2" t="str">
        <f t="shared" si="2355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2429"/>
        <v>o</v>
      </c>
      <c r="N3068" t="str">
        <f t="shared" si="2430"/>
        <v>11/2</v>
      </c>
      <c r="O3068">
        <v>102484.66</v>
      </c>
      <c r="P3068" t="str">
        <f t="shared" si="2431"/>
        <v>e</v>
      </c>
      <c r="Q3068" t="str">
        <f t="shared" si="2432"/>
        <v>9/2</v>
      </c>
      <c r="R3068">
        <v>29</v>
      </c>
      <c r="S3068" t="s">
        <v>751</v>
      </c>
      <c r="AA3068" s="10">
        <f t="shared" si="2356"/>
        <v>2585.3609999999999</v>
      </c>
      <c r="AB3068" s="3">
        <f t="shared" si="2357"/>
        <v>38667.75</v>
      </c>
      <c r="AC3068" s="3" cm="1">
        <f t="array" ref="AC3068">100000000/LvacE(AA3068)</f>
        <v>38667.747201499769</v>
      </c>
      <c r="AD3068" s="10">
        <f t="shared" si="2358"/>
        <v>1.2478210432024728E-2</v>
      </c>
      <c r="AE3068" s="10" t="b">
        <f t="shared" si="2359"/>
        <v>1</v>
      </c>
      <c r="AJ3068" t="s">
        <v>4928</v>
      </c>
      <c r="AK3068" t="s">
        <v>4832</v>
      </c>
      <c r="AL3068">
        <v>63816.91</v>
      </c>
      <c r="AM3068">
        <v>102484.66</v>
      </c>
      <c r="AN3068" s="10" cm="1">
        <f t="array" ref="AN3068">Lair(100000000/($AM3068-$AL3068))</f>
        <v>2585.3608123725203</v>
      </c>
      <c r="AO3068" s="10">
        <f t="shared" si="2433"/>
        <v>2586.1344401988736</v>
      </c>
      <c r="AP3068" s="12">
        <v>704000000</v>
      </c>
      <c r="AQ3068" s="3">
        <v>0.57399999999999995</v>
      </c>
      <c r="AR3068" s="3">
        <f t="shared" si="2434"/>
        <v>-10.086491238837883</v>
      </c>
      <c r="AS3068" s="13">
        <f t="shared" si="2435"/>
        <v>10.99502799153611</v>
      </c>
      <c r="AT3068" s="3">
        <f t="shared" si="2436"/>
        <v>1.0111488087258953</v>
      </c>
      <c r="AU3068" s="13" cm="1">
        <f t="array" ref="AU3068">$C3068*EXP(poly_from_str(100000000/$E3068,AU$4343))</f>
        <v>11.334805557018392</v>
      </c>
      <c r="AV3068" s="13">
        <f t="shared" si="2437"/>
        <v>-3.0434959755578025E-2</v>
      </c>
      <c r="AW3068" s="13"/>
      <c r="AX3068" s="13"/>
      <c r="AY3068" s="13"/>
    </row>
    <row r="3069" spans="1:51" x14ac:dyDescent="0.25">
      <c r="A3069" t="s">
        <v>3648</v>
      </c>
      <c r="B3069" s="2" t="str">
        <f t="shared" si="2355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2429"/>
        <v>o</v>
      </c>
      <c r="N3069" t="str">
        <f t="shared" si="2430"/>
        <v>11/2</v>
      </c>
      <c r="O3069">
        <v>104598.99</v>
      </c>
      <c r="P3069" t="str">
        <f t="shared" si="2431"/>
        <v>e</v>
      </c>
      <c r="Q3069" t="str">
        <f t="shared" si="2432"/>
        <v>13/2</v>
      </c>
      <c r="R3069">
        <v>29</v>
      </c>
      <c r="AA3069" s="10">
        <f t="shared" si="2356"/>
        <v>2584.7660000000001</v>
      </c>
      <c r="AB3069" s="3">
        <f t="shared" si="2357"/>
        <v>38676.65</v>
      </c>
      <c r="AC3069" s="3" cm="1">
        <f t="array" ref="AC3069">100000000/LvacE(AA3069)</f>
        <v>38676.647762293556</v>
      </c>
      <c r="AD3069" s="10">
        <f t="shared" si="2358"/>
        <v>1.2481653612414732E-2</v>
      </c>
      <c r="AE3069" s="10" t="b">
        <f t="shared" si="2359"/>
        <v>1</v>
      </c>
      <c r="AJ3069" t="s">
        <v>4833</v>
      </c>
      <c r="AK3069" t="s">
        <v>4949</v>
      </c>
      <c r="AL3069">
        <v>65922.42</v>
      </c>
      <c r="AM3069">
        <v>104598.99</v>
      </c>
      <c r="AN3069" s="10" cm="1">
        <f t="array" ref="AN3069">Lair(100000000/($AM3069-$AL3069))</f>
        <v>2584.7711967056507</v>
      </c>
      <c r="AO3069" s="10">
        <f t="shared" si="2433"/>
        <v>2585.5446850638509</v>
      </c>
      <c r="AP3069" s="12">
        <v>688000000</v>
      </c>
      <c r="AQ3069" s="3">
        <v>0.41</v>
      </c>
      <c r="AR3069" s="3">
        <f t="shared" si="2434"/>
        <v>-10.349203583734186</v>
      </c>
      <c r="AS3069" s="13">
        <f t="shared" si="2435"/>
        <v>9.1706494476702627</v>
      </c>
      <c r="AT3069" s="3">
        <f t="shared" si="2436"/>
        <v>1.1173958181753352</v>
      </c>
      <c r="AU3069" s="13" cm="1">
        <f t="array" ref="AU3069">$C3069*EXP(poly_from_str(100000000/$E3069,AU$4343))</f>
        <v>8.5198977323834839</v>
      </c>
      <c r="AV3069" s="13">
        <f t="shared" si="2437"/>
        <v>7.360376931563517E-2</v>
      </c>
      <c r="AW3069" s="13"/>
      <c r="AX3069" s="13"/>
      <c r="AY3069" s="13"/>
    </row>
    <row r="3070" spans="1:51" x14ac:dyDescent="0.25">
      <c r="A3070" t="s">
        <v>3649</v>
      </c>
      <c r="B3070" s="2" t="str">
        <f t="shared" si="2355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2356"/>
        <v>2584.7109999999998</v>
      </c>
      <c r="AB3070" s="3">
        <f t="shared" si="2357"/>
        <v>38677.47</v>
      </c>
      <c r="AC3070" s="3" cm="1">
        <f t="array" ref="AC3070">100000000/LvacE(AA3070)</f>
        <v>38677.470710084621</v>
      </c>
      <c r="AD3070" s="10">
        <f t="shared" si="2358"/>
        <v>1.2481972009653036E-2</v>
      </c>
      <c r="AE3070" s="10" t="b">
        <f t="shared" si="2359"/>
        <v>1</v>
      </c>
      <c r="AP3070"/>
      <c r="AQ3070"/>
      <c r="AU3070" s="13" cm="1">
        <f t="array" ref="AU3070">$C3070*EXP(poly_from_str(100000000/$E3070,AU$4343))</f>
        <v>17.043250062811524</v>
      </c>
    </row>
    <row r="3071" spans="1:51" x14ac:dyDescent="0.25">
      <c r="A3071" t="s">
        <v>3650</v>
      </c>
      <c r="B3071" s="2" t="str">
        <f t="shared" si="2355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2438">$G3071&amp;""</f>
        <v>e</v>
      </c>
      <c r="N3071" t="str">
        <f t="shared" ref="N3071:N3072" si="2439">$H3071&amp;""</f>
        <v>3/2</v>
      </c>
      <c r="O3071">
        <v>78889.14</v>
      </c>
      <c r="P3071" t="str">
        <f t="shared" ref="P3071:P3072" si="2440">$J3071&amp;""</f>
        <v>o</v>
      </c>
      <c r="Q3071" t="str">
        <f t="shared" ref="Q3071:Q3072" si="2441">$K3071&amp;""</f>
        <v>3/2</v>
      </c>
      <c r="R3071">
        <v>29</v>
      </c>
      <c r="AA3071" s="10">
        <f t="shared" si="2356"/>
        <v>2584.3139999999999</v>
      </c>
      <c r="AB3071" s="3">
        <f t="shared" si="2357"/>
        <v>38683.410000000003</v>
      </c>
      <c r="AC3071" s="3" cm="1">
        <f t="array" ref="AC3071">100000000/LvacE(AA3071)</f>
        <v>38683.411935690732</v>
      </c>
      <c r="AD3071" s="10">
        <f t="shared" si="2358"/>
        <v>1.2484270861762684E-2</v>
      </c>
      <c r="AE3071" s="10" t="b">
        <f t="shared" si="2359"/>
        <v>1</v>
      </c>
      <c r="AJ3071" t="s">
        <v>4779</v>
      </c>
      <c r="AK3071" t="s">
        <v>4877</v>
      </c>
      <c r="AL3071">
        <v>40205.74</v>
      </c>
      <c r="AM3071">
        <v>78889.14</v>
      </c>
      <c r="AN3071" s="10" cm="1">
        <f t="array" ref="AN3071">Lair(100000000/($AM3071-$AL3071))</f>
        <v>2584.3147969463644</v>
      </c>
      <c r="AO3071" s="10">
        <f t="shared" ref="AO3071:AO3072" si="2442">100000000/($AM3071-$AL3071)</f>
        <v>2585.0881773577294</v>
      </c>
      <c r="AP3071" s="12">
        <v>24000000</v>
      </c>
      <c r="AQ3071" s="3">
        <v>0.09</v>
      </c>
      <c r="AR3071" s="3">
        <f t="shared" ref="AR3071:AR3072" si="2443">LN(AU3071*100000000/($AM3071-$AL3071)/AP3071)</f>
        <v>-8.090589997058677</v>
      </c>
      <c r="AS3071" s="13">
        <f t="shared" ref="AS3071:AS3072" si="2444">EXP(AR$4341*$AM3071+AR$4342)*$AP3071/(100000000/($AM3071-$AL3071))</f>
        <v>2.2031554230509824</v>
      </c>
      <c r="AT3071" s="3">
        <f t="shared" ref="AT3071:AT3072" si="2445">LN(AS3071/$C3071)</f>
        <v>0.78989061596757004</v>
      </c>
      <c r="AU3071" s="13" cm="1">
        <f t="array" ref="AU3071">$C3071*EXP(poly_from_str(100000000/$E3071,AU$4343))</f>
        <v>2.8447053476588828</v>
      </c>
      <c r="AV3071" s="13">
        <f t="shared" ref="AV3071:AV3072" si="2446">LN(AS3071/AU3071)</f>
        <v>-0.25556887776168413</v>
      </c>
      <c r="AW3071" s="13"/>
      <c r="AX3071" s="13"/>
      <c r="AY3071" s="13"/>
    </row>
    <row r="3072" spans="1:51" x14ac:dyDescent="0.25">
      <c r="A3072" t="s">
        <v>3651</v>
      </c>
      <c r="B3072" s="2" t="str">
        <f t="shared" si="2355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2438"/>
        <v>e</v>
      </c>
      <c r="N3072" t="str">
        <f t="shared" si="2439"/>
        <v>5/2</v>
      </c>
      <c r="O3072">
        <v>67965.47</v>
      </c>
      <c r="P3072" t="str">
        <f t="shared" si="2440"/>
        <v>o</v>
      </c>
      <c r="Q3072" t="str">
        <f t="shared" si="2441"/>
        <v>3/2</v>
      </c>
      <c r="R3072">
        <v>29</v>
      </c>
      <c r="AA3072" s="10">
        <f t="shared" si="2356"/>
        <v>2583.3620000000001</v>
      </c>
      <c r="AB3072" s="3">
        <f t="shared" si="2357"/>
        <v>38697.67</v>
      </c>
      <c r="AC3072" s="3" cm="1">
        <f t="array" ref="AC3072">100000000/LvacE(AA3072)</f>
        <v>38697.666343611578</v>
      </c>
      <c r="AD3072" s="10">
        <f t="shared" si="2358"/>
        <v>1.2489787792731251E-2</v>
      </c>
      <c r="AE3072" s="10" t="b">
        <f t="shared" si="2359"/>
        <v>1</v>
      </c>
      <c r="AJ3072" t="s">
        <v>4700</v>
      </c>
      <c r="AK3072" t="s">
        <v>4835</v>
      </c>
      <c r="AL3072">
        <v>29267.86</v>
      </c>
      <c r="AM3072">
        <v>67965.47</v>
      </c>
      <c r="AN3072" s="10" cm="1">
        <f t="array" ref="AN3072">Lair(100000000/($AM3072-$AL3072))</f>
        <v>2583.3657611302183</v>
      </c>
      <c r="AO3072" s="10">
        <f t="shared" si="2442"/>
        <v>2584.1389171062501</v>
      </c>
      <c r="AP3072" s="12">
        <v>21400000</v>
      </c>
      <c r="AQ3072" s="3">
        <v>0.11</v>
      </c>
      <c r="AR3072" s="3">
        <f t="shared" si="2443"/>
        <v>-7.9728046621530648</v>
      </c>
      <c r="AS3072" s="13">
        <f t="shared" si="2444"/>
        <v>4.461035976405249</v>
      </c>
      <c r="AT3072" s="3">
        <f t="shared" si="2445"/>
        <v>1.4953810207639671</v>
      </c>
      <c r="AU3072" s="13" cm="1">
        <f t="array" ref="AU3072">$C3072*EXP(poly_from_str(100000000/$E3072,AU$4343))</f>
        <v>2.8546498579598181</v>
      </c>
      <c r="AV3072" s="13">
        <f t="shared" si="2446"/>
        <v>0.44643182687243632</v>
      </c>
      <c r="AW3072" s="13"/>
      <c r="AX3072" s="13"/>
      <c r="AY3072" s="13"/>
    </row>
    <row r="3073" spans="1:51" x14ac:dyDescent="0.25">
      <c r="A3073" t="s">
        <v>3652</v>
      </c>
      <c r="B3073" s="2" t="str">
        <f t="shared" si="2355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2356"/>
        <v>2583.0819999999999</v>
      </c>
      <c r="AB3073" s="3">
        <f t="shared" si="2357"/>
        <v>38701.86</v>
      </c>
      <c r="AC3073" s="3" cm="1">
        <f t="array" ref="AC3073">100000000/LvacE(AA3073)</f>
        <v>38701.860815890221</v>
      </c>
      <c r="AD3073" s="10">
        <f t="shared" si="2358"/>
        <v>1.249141158040864E-2</v>
      </c>
      <c r="AE3073" s="10" t="b">
        <f t="shared" si="2359"/>
        <v>1</v>
      </c>
      <c r="AP3073"/>
      <c r="AQ3073"/>
      <c r="AU3073" s="13" cm="1">
        <f t="array" ref="AU3073">$C3073*EXP(poly_from_str(100000000/$E3073,AU$4343))</f>
        <v>8.5726743919934059</v>
      </c>
    </row>
    <row r="3074" spans="1:51" x14ac:dyDescent="0.25">
      <c r="A3074" t="s">
        <v>3653</v>
      </c>
      <c r="B3074" s="2" t="str">
        <f t="shared" ref="B3074:B3137" si="2447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2448">$G3074&amp;""</f>
        <v>o</v>
      </c>
      <c r="N3074" t="str">
        <f t="shared" ref="N3074:N3080" si="2449">$H3074&amp;""</f>
        <v>9/2</v>
      </c>
      <c r="O3074">
        <v>107081.94</v>
      </c>
      <c r="P3074" t="str">
        <f t="shared" ref="P3074:P3080" si="2450">$J3074&amp;""</f>
        <v>e</v>
      </c>
      <c r="Q3074" t="str">
        <f t="shared" ref="Q3074:Q3080" si="2451">$K3074&amp;""</f>
        <v>9/2</v>
      </c>
      <c r="R3074">
        <v>29</v>
      </c>
      <c r="AA3074" s="10">
        <f t="shared" si="2356"/>
        <v>2582.712</v>
      </c>
      <c r="AB3074" s="3">
        <f t="shared" si="2357"/>
        <v>38707.4</v>
      </c>
      <c r="AC3074" s="3" cm="1">
        <f t="array" ref="AC3074">100000000/LvacE(AA3074)</f>
        <v>38707.404906184609</v>
      </c>
      <c r="AD3074" s="10">
        <f t="shared" si="2358"/>
        <v>1.2493558109883063E-2</v>
      </c>
      <c r="AE3074" s="10" t="b">
        <f t="shared" si="2359"/>
        <v>1</v>
      </c>
      <c r="AJ3074" t="s">
        <v>4739</v>
      </c>
      <c r="AK3074" t="s">
        <v>4956</v>
      </c>
      <c r="AL3074">
        <v>68374.539999999994</v>
      </c>
      <c r="AM3074">
        <v>107081.94</v>
      </c>
      <c r="AN3074" s="10" cm="1">
        <f t="array" ref="AN3074">Lair(100000000/($AM3074-$AL3074))</f>
        <v>2582.7123269172635</v>
      </c>
      <c r="AO3074" s="10">
        <f t="shared" ref="AO3074:AO3080" si="2452">100000000/($AM3074-$AL3074)</f>
        <v>2583.4853283868197</v>
      </c>
      <c r="AP3074" s="12">
        <v>177000000</v>
      </c>
      <c r="AQ3074" s="3">
        <v>8.7999999999999995E-2</v>
      </c>
      <c r="AR3074" s="3">
        <f>LN(AU3074*100000000/($AM3074-$AL3074)/AP3074)</f>
        <v>-10.083456745805872</v>
      </c>
      <c r="AS3074" s="13">
        <f t="shared" ref="AS3074:AS3076" si="2453">EXP(AR$4341*$AM3074+AR$4342)*$AP3074/(100000000/($AM3074-$AL3074))</f>
        <v>1.9597726172839491</v>
      </c>
      <c r="AT3074" s="3">
        <f t="shared" ref="AT3074:AT3076" si="2454">LN(AS3074/$C3074)</f>
        <v>0.67282845492273902</v>
      </c>
      <c r="AU3074" s="13" cm="1">
        <f t="array" ref="AU3074">$C3074*EXP(poly_from_str(100000000/$E3074,AU$4343))</f>
        <v>2.8613938778660439</v>
      </c>
      <c r="AV3074" s="13">
        <f>LN(AS3074/AU3074)</f>
        <v>-0.37848042106612689</v>
      </c>
      <c r="AW3074" s="13"/>
      <c r="AX3074" s="13"/>
      <c r="AY3074" s="13"/>
    </row>
    <row r="3075" spans="1:51" x14ac:dyDescent="0.25">
      <c r="A3075" t="s">
        <v>3654</v>
      </c>
      <c r="B3075" s="2" t="str">
        <f t="shared" si="2447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2448"/>
        <v>e</v>
      </c>
      <c r="N3075" t="str">
        <f t="shared" si="2449"/>
        <v>9/2</v>
      </c>
      <c r="O3075">
        <v>62558.67</v>
      </c>
      <c r="P3075" t="str">
        <f t="shared" si="2450"/>
        <v>o</v>
      </c>
      <c r="Q3075" t="str">
        <f t="shared" si="2451"/>
        <v>11/2</v>
      </c>
      <c r="R3075">
        <v>29</v>
      </c>
      <c r="AA3075" s="10">
        <f t="shared" ref="AA3075:AA3138" si="2455">ROUND($A3075,3)+0</f>
        <v>2582.2629999999999</v>
      </c>
      <c r="AB3075" s="3">
        <f t="shared" ref="AB3075:AB3138" si="2456">ROUND($E3075,2)+0</f>
        <v>38714.129999999997</v>
      </c>
      <c r="AC3075" s="3" cm="1">
        <f t="array" ref="AC3075">100000000/LvacE(AA3075)</f>
        <v>38714.134868245834</v>
      </c>
      <c r="AD3075" s="10">
        <f t="shared" ref="AD3075:AD3138" si="2457">0.0005/$AA3075*AC3075+0.005</f>
        <v>1.2496164191688808E-2</v>
      </c>
      <c r="AE3075" s="10" t="b">
        <f t="shared" ref="AE3075:AE3138" si="2458">ABS(AB3075-AC3075)&lt;AD3075</f>
        <v>1</v>
      </c>
      <c r="AJ3075" t="s">
        <v>4763</v>
      </c>
      <c r="AK3075" t="s">
        <v>4821</v>
      </c>
      <c r="AL3075">
        <v>23844.58</v>
      </c>
      <c r="AM3075">
        <v>62558.67</v>
      </c>
      <c r="AN3075" s="10" cm="1">
        <f t="array" ref="AN3075">Lair(100000000/($AM3075-$AL3075))</f>
        <v>2582.2659924822765</v>
      </c>
      <c r="AO3075" s="10">
        <f t="shared" si="2452"/>
        <v>2583.0388884253771</v>
      </c>
      <c r="AP3075" s="12">
        <v>6190000</v>
      </c>
      <c r="AQ3075" s="3">
        <v>2.8000000000000001E-2</v>
      </c>
      <c r="AR3075" s="3"/>
      <c r="AS3075" s="13">
        <f t="shared" si="2453"/>
        <v>1.9369484721964352</v>
      </c>
      <c r="AT3075" s="3"/>
      <c r="AU3075" s="13" cm="1">
        <f t="array" ref="AU3075">$C3075*EXP(poly_from_str(100000000/$E3075,AU$4343))</f>
        <v>14.330194547883902</v>
      </c>
      <c r="AV3075" s="13"/>
      <c r="AW3075" s="13"/>
      <c r="AX3075" s="13"/>
      <c r="AY3075" s="13"/>
    </row>
    <row r="3076" spans="1:51" x14ac:dyDescent="0.25">
      <c r="A3076" t="s">
        <v>3655</v>
      </c>
      <c r="B3076" s="2" t="str">
        <f t="shared" si="2447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2448"/>
        <v>o</v>
      </c>
      <c r="N3076" t="str">
        <f t="shared" si="2449"/>
        <v>7/2</v>
      </c>
      <c r="O3076">
        <v>102484.66</v>
      </c>
      <c r="P3076" t="str">
        <f t="shared" si="2450"/>
        <v>e</v>
      </c>
      <c r="Q3076" t="str">
        <f t="shared" si="2451"/>
        <v>9/2</v>
      </c>
      <c r="R3076">
        <v>29</v>
      </c>
      <c r="S3076" t="s">
        <v>3656</v>
      </c>
      <c r="AA3076" s="10">
        <f t="shared" si="2455"/>
        <v>2582.1350000000002</v>
      </c>
      <c r="AB3076" s="3">
        <f t="shared" si="2456"/>
        <v>38716.050000000003</v>
      </c>
      <c r="AC3076" s="3" cm="1">
        <f t="array" ref="AC3076">100000000/LvacE(AA3076)</f>
        <v>38716.053860708911</v>
      </c>
      <c r="AD3076" s="10">
        <f t="shared" si="2457"/>
        <v>1.2496907377172167E-2</v>
      </c>
      <c r="AE3076" s="10" t="b">
        <f t="shared" si="2458"/>
        <v>1</v>
      </c>
      <c r="AJ3076" t="s">
        <v>4850</v>
      </c>
      <c r="AK3076" t="s">
        <v>4832</v>
      </c>
      <c r="AL3076">
        <v>63768.66</v>
      </c>
      <c r="AM3076">
        <v>102484.66</v>
      </c>
      <c r="AN3076" s="10" cm="1">
        <f t="array" ref="AN3076">Lair(100000000/($AM3076-$AL3076))</f>
        <v>2582.1385919717277</v>
      </c>
      <c r="AO3076" s="10">
        <f t="shared" si="2452"/>
        <v>2582.9114577952269</v>
      </c>
      <c r="AP3076" s="12">
        <v>605000000</v>
      </c>
      <c r="AQ3076" s="3">
        <v>0.50600000000000001</v>
      </c>
      <c r="AR3076" s="3">
        <f>LN(AU3076*100000000/($AM3076-$AL3076)/AP3076)</f>
        <v>-9.7012364444574679</v>
      </c>
      <c r="AS3076" s="13">
        <f t="shared" si="2453"/>
        <v>9.4606425512123966</v>
      </c>
      <c r="AT3076" s="3">
        <f t="shared" si="2454"/>
        <v>0.63770239128416795</v>
      </c>
      <c r="AU3076" s="13" cm="1">
        <f t="array" ref="AU3076">$C3076*EXP(poly_from_str(100000000/$E3076,AU$4343))</f>
        <v>14.33680572908994</v>
      </c>
      <c r="AV3076" s="13">
        <f>LN(AS3076/AU3076)</f>
        <v>-0.41568975413599391</v>
      </c>
      <c r="AW3076" s="13"/>
      <c r="AX3076" s="13"/>
      <c r="AY3076" s="13"/>
    </row>
    <row r="3077" spans="1:51" x14ac:dyDescent="0.25">
      <c r="A3077" t="s">
        <v>3657</v>
      </c>
      <c r="B3077" s="2" t="str">
        <f t="shared" si="2447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2448"/>
        <v>o</v>
      </c>
      <c r="N3077" t="str">
        <f t="shared" si="2449"/>
        <v>15/2</v>
      </c>
      <c r="O3077">
        <v>105019.06</v>
      </c>
      <c r="P3077" t="str">
        <f t="shared" si="2450"/>
        <v>e</v>
      </c>
      <c r="Q3077" t="str">
        <f t="shared" si="2451"/>
        <v>13/2</v>
      </c>
      <c r="R3077">
        <v>29</v>
      </c>
      <c r="AA3077" s="10">
        <f t="shared" si="2455"/>
        <v>2582.0250000000001</v>
      </c>
      <c r="AB3077" s="3">
        <f t="shared" si="2456"/>
        <v>38717.699999999997</v>
      </c>
      <c r="AC3077" s="3" cm="1">
        <f t="array" ref="AC3077">100000000/LvacE(AA3077)</f>
        <v>38717.703146848893</v>
      </c>
      <c r="AD3077" s="10">
        <f t="shared" si="2457"/>
        <v>1.2497546140499975E-2</v>
      </c>
      <c r="AE3077" s="10" t="b">
        <f t="shared" si="2458"/>
        <v>1</v>
      </c>
      <c r="AJ3077" t="s">
        <v>4824</v>
      </c>
      <c r="AK3077" t="s">
        <v>4855</v>
      </c>
      <c r="AL3077">
        <v>66301.350000000006</v>
      </c>
      <c r="AM3077">
        <v>105019.06</v>
      </c>
      <c r="AN3077" s="10" cm="1">
        <f t="array" ref="AN3077">Lair(100000000/($AM3077-$AL3077))</f>
        <v>2582.0245424924897</v>
      </c>
      <c r="AO3077" s="10">
        <f t="shared" si="2452"/>
        <v>2582.7973813533918</v>
      </c>
      <c r="AU3077" s="13" cm="1">
        <f t="array" ref="AU3077">$C3077*EXP(poly_from_str(100000000/$E3077,AU$4343))</f>
        <v>11.473985594829307</v>
      </c>
    </row>
    <row r="3078" spans="1:51" x14ac:dyDescent="0.25">
      <c r="A3078" t="s">
        <v>3658</v>
      </c>
      <c r="B3078" s="2">
        <f t="shared" si="2447"/>
        <v>1</v>
      </c>
      <c r="C3078">
        <v>1</v>
      </c>
      <c r="D3078" t="s">
        <v>3264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2448"/>
        <v>e</v>
      </c>
      <c r="N3078" t="str">
        <f t="shared" si="2449"/>
        <v>1/2</v>
      </c>
      <c r="O3078">
        <v>75409.58</v>
      </c>
      <c r="P3078" t="str">
        <f t="shared" si="2450"/>
        <v>o</v>
      </c>
      <c r="Q3078" t="str">
        <f t="shared" si="2451"/>
        <v>3/2</v>
      </c>
      <c r="R3078">
        <v>29</v>
      </c>
      <c r="S3078" t="s">
        <v>3418</v>
      </c>
      <c r="AA3078" s="10">
        <f t="shared" si="2455"/>
        <v>2581.4459999999999</v>
      </c>
      <c r="AB3078" s="3">
        <f t="shared" si="2456"/>
        <v>38726.39</v>
      </c>
      <c r="AC3078" s="3" cm="1">
        <f t="array" ref="AC3078">100000000/LvacE(AA3078)</f>
        <v>38726.386706137535</v>
      </c>
      <c r="AD3078" s="10">
        <f t="shared" si="2457"/>
        <v>1.2500909704510097E-2</v>
      </c>
      <c r="AE3078" s="10" t="b">
        <f t="shared" si="2458"/>
        <v>1</v>
      </c>
      <c r="AJ3078" t="s">
        <v>4775</v>
      </c>
      <c r="AK3078" t="s">
        <v>4905</v>
      </c>
      <c r="AL3078">
        <v>36683.21</v>
      </c>
      <c r="AM3078">
        <v>75409.58</v>
      </c>
      <c r="AN3078" s="10" cm="1">
        <f t="array" ref="AN3078">Lair(100000000/($AM3078-$AL3078))</f>
        <v>2581.4471132346252</v>
      </c>
      <c r="AO3078" s="10">
        <f t="shared" si="2452"/>
        <v>2582.2198155933538</v>
      </c>
      <c r="AP3078" s="12">
        <v>9500000</v>
      </c>
      <c r="AQ3078" s="3">
        <v>0.15</v>
      </c>
      <c r="AR3078" s="3">
        <f>LN(AU3078*100000000/($AM3078-$AL3078)/AP3078)</f>
        <v>-7.1545330062698298</v>
      </c>
      <c r="AS3078" s="13">
        <f t="shared" ref="AS3078:AS3080" si="2459">EXP(AR$4341*$AM3078+AR$4342)*$AP3078/(100000000/($AM3078-$AL3078))</f>
        <v>1.1335660770143399</v>
      </c>
      <c r="AT3078" s="3">
        <f t="shared" ref="AT3078:AT3080" si="2460">LN(AS3078/$C3078)</f>
        <v>0.12536848394157868</v>
      </c>
      <c r="AU3078" s="13" cm="1">
        <f t="array" ref="AU3078">$C3078*EXP(poly_from_str(100000000/$E3078,AU$4343))</f>
        <v>2.8744594772796344</v>
      </c>
      <c r="AV3078" s="13">
        <f>LN(AS3078/AU3078)</f>
        <v>-0.93049616472929797</v>
      </c>
      <c r="AW3078" s="13"/>
      <c r="AX3078" s="13"/>
      <c r="AY3078" s="13"/>
    </row>
    <row r="3079" spans="1:51" x14ac:dyDescent="0.25">
      <c r="A3079" t="s">
        <v>3658</v>
      </c>
      <c r="B3079" s="2">
        <f t="shared" si="2447"/>
        <v>2</v>
      </c>
      <c r="C3079">
        <v>1</v>
      </c>
      <c r="D3079" t="s">
        <v>3264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2448"/>
        <v>o</v>
      </c>
      <c r="N3079" t="str">
        <f t="shared" si="2449"/>
        <v>9/2</v>
      </c>
      <c r="O3079">
        <v>100788.95</v>
      </c>
      <c r="P3079" t="str">
        <f t="shared" si="2450"/>
        <v>e</v>
      </c>
      <c r="Q3079" t="str">
        <f t="shared" si="2451"/>
        <v>7/2</v>
      </c>
      <c r="R3079">
        <v>29</v>
      </c>
      <c r="AA3079" s="10">
        <f t="shared" si="2455"/>
        <v>2581.4459999999999</v>
      </c>
      <c r="AB3079" s="3">
        <f t="shared" si="2456"/>
        <v>38726.39</v>
      </c>
      <c r="AC3079" s="3" cm="1">
        <f t="array" ref="AC3079">100000000/LvacE(AA3079)</f>
        <v>38726.386706137535</v>
      </c>
      <c r="AD3079" s="10">
        <f t="shared" si="2457"/>
        <v>1.2500909704510097E-2</v>
      </c>
      <c r="AE3079" s="10" t="b">
        <f t="shared" si="2458"/>
        <v>1</v>
      </c>
      <c r="AJ3079" t="s">
        <v>4848</v>
      </c>
      <c r="AK3079" t="s">
        <v>4873</v>
      </c>
      <c r="AL3079">
        <v>62062.63</v>
      </c>
      <c r="AM3079">
        <v>100788.95</v>
      </c>
      <c r="AN3079" s="10" cm="1">
        <f t="array" ref="AN3079">Lair(100000000/($AM3079-$AL3079))</f>
        <v>2581.4504463806161</v>
      </c>
      <c r="AO3079" s="10">
        <f t="shared" si="2452"/>
        <v>2582.2231495272467</v>
      </c>
      <c r="AP3079" s="12">
        <v>3970000</v>
      </c>
      <c r="AQ3079" s="3">
        <v>6.0000000000000001E-3</v>
      </c>
      <c r="AR3079" s="3"/>
      <c r="AS3079" s="13">
        <f t="shared" si="2459"/>
        <v>7.0524296490237851E-2</v>
      </c>
      <c r="AT3079" s="3"/>
      <c r="AU3079" s="13" cm="1">
        <f t="array" ref="AU3079">$C3079*EXP(poly_from_str(100000000/$E3079,AU$4343))</f>
        <v>2.8744594772796344</v>
      </c>
      <c r="AV3079" s="13"/>
      <c r="AW3079" s="13"/>
      <c r="AX3079" s="13"/>
      <c r="AY3079" s="13"/>
    </row>
    <row r="3080" spans="1:51" x14ac:dyDescent="0.25">
      <c r="A3080" t="s">
        <v>3659</v>
      </c>
      <c r="B3080" s="2" t="str">
        <f t="shared" si="2447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2448"/>
        <v>e</v>
      </c>
      <c r="N3080" t="str">
        <f t="shared" si="2449"/>
        <v>9/2</v>
      </c>
      <c r="O3080">
        <v>63768.66</v>
      </c>
      <c r="P3080" t="str">
        <f t="shared" si="2450"/>
        <v>o</v>
      </c>
      <c r="Q3080" t="str">
        <f t="shared" si="2451"/>
        <v>7/2</v>
      </c>
      <c r="R3080">
        <v>29</v>
      </c>
      <c r="AA3080" s="10">
        <f t="shared" si="2455"/>
        <v>2580.886</v>
      </c>
      <c r="AB3080" s="3">
        <f t="shared" si="2456"/>
        <v>38734.79</v>
      </c>
      <c r="AC3080" s="3" cm="1">
        <f t="array" ref="AC3080">100000000/LvacE(AA3080)</f>
        <v>38734.789018745687</v>
      </c>
      <c r="AD3080" s="10">
        <f t="shared" si="2457"/>
        <v>1.2504165046179043E-2</v>
      </c>
      <c r="AE3080" s="10" t="b">
        <f t="shared" si="2458"/>
        <v>1</v>
      </c>
      <c r="AJ3080" t="s">
        <v>4746</v>
      </c>
      <c r="AK3080" t="s">
        <v>4850</v>
      </c>
      <c r="AL3080">
        <v>25033.91</v>
      </c>
      <c r="AM3080">
        <v>63768.66</v>
      </c>
      <c r="AN3080" s="10" cm="1">
        <f t="array" ref="AN3080">Lair(100000000/($AM3080-$AL3080))</f>
        <v>2580.8885995378223</v>
      </c>
      <c r="AO3080" s="10">
        <f t="shared" si="2452"/>
        <v>2581.6611698797592</v>
      </c>
      <c r="AP3080" s="12">
        <v>18600000</v>
      </c>
      <c r="AQ3080" s="3">
        <v>6.9000000000000006E-2</v>
      </c>
      <c r="AR3080" s="3">
        <f>LN(AU3080*100000000/($AM3080-$AL3080)/AP3080)</f>
        <v>-7.1314775352083792</v>
      </c>
      <c r="AS3080" s="13">
        <f t="shared" si="2459"/>
        <v>5.3178440142404799</v>
      </c>
      <c r="AT3080" s="3">
        <f t="shared" si="2460"/>
        <v>0.97792078017227324</v>
      </c>
      <c r="AU3080" s="13" cm="1">
        <f t="array" ref="AU3080">$C3080*EXP(poly_from_str(100000000/$E3080,AU$4343))</f>
        <v>5.7603962656231769</v>
      </c>
      <c r="AV3080" s="13">
        <f>LN(AS3080/AU3080)</f>
        <v>-7.9938307724371993E-2</v>
      </c>
      <c r="AW3080" s="13"/>
      <c r="AX3080" s="13"/>
      <c r="AY3080" s="13"/>
    </row>
    <row r="3081" spans="1:51" x14ac:dyDescent="0.25">
      <c r="A3081" t="s">
        <v>3660</v>
      </c>
      <c r="B3081" s="2" t="str">
        <f t="shared" si="2447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2455"/>
        <v>2580.614</v>
      </c>
      <c r="AB3081" s="3">
        <f t="shared" si="2456"/>
        <v>38738.870000000003</v>
      </c>
      <c r="AC3081" s="3" cm="1">
        <f t="array" ref="AC3081">100000000/LvacE(AA3081)</f>
        <v>38738.871457625617</v>
      </c>
      <c r="AD3081" s="10">
        <f t="shared" si="2457"/>
        <v>1.2505746976809708E-2</v>
      </c>
      <c r="AE3081" s="10" t="b">
        <f t="shared" si="2458"/>
        <v>1</v>
      </c>
      <c r="AP3081"/>
      <c r="AQ3081"/>
      <c r="AU3081" s="13" cm="1">
        <f t="array" ref="AU3081">$C3081*EXP(poly_from_str(100000000/$E3081,AU$4343))</f>
        <v>5.7659529317122669</v>
      </c>
    </row>
    <row r="3082" spans="1:51" x14ac:dyDescent="0.25">
      <c r="A3082" t="s">
        <v>3661</v>
      </c>
      <c r="B3082" s="2" t="str">
        <f t="shared" si="2447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2455"/>
        <v>2580.0889999999999</v>
      </c>
      <c r="AB3082" s="3">
        <f t="shared" si="2456"/>
        <v>38746.75</v>
      </c>
      <c r="AC3082" s="3" cm="1">
        <f t="array" ref="AC3082">100000000/LvacE(AA3082)</f>
        <v>38746.753598805786</v>
      </c>
      <c r="AD3082" s="10">
        <f t="shared" si="2457"/>
        <v>1.2508801750405855E-2</v>
      </c>
      <c r="AE3082" s="10" t="b">
        <f t="shared" si="2458"/>
        <v>1</v>
      </c>
      <c r="AP3082"/>
      <c r="AQ3082"/>
      <c r="AU3082" s="13" cm="1">
        <f t="array" ref="AU3082">$C3082*EXP(poly_from_str(100000000/$E3082,AU$4343))</f>
        <v>8.6649773591551593</v>
      </c>
    </row>
    <row r="3083" spans="1:51" x14ac:dyDescent="0.25">
      <c r="A3083" t="s">
        <v>3662</v>
      </c>
      <c r="B3083" s="2" t="str">
        <f t="shared" si="2447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2461">$G3083&amp;""</f>
        <v>o</v>
      </c>
      <c r="N3083" t="str">
        <f t="shared" ref="N3083:N3084" si="2462">$H3083&amp;""</f>
        <v>15/2</v>
      </c>
      <c r="O3083">
        <v>105049.72</v>
      </c>
      <c r="P3083" t="str">
        <f t="shared" ref="P3083:P3084" si="2463">$J3083&amp;""</f>
        <v>e</v>
      </c>
      <c r="Q3083" t="str">
        <f t="shared" ref="Q3083:Q3084" si="2464">$K3083&amp;""</f>
        <v>15/2</v>
      </c>
      <c r="R3083">
        <v>29</v>
      </c>
      <c r="AA3083" s="10">
        <f t="shared" si="2455"/>
        <v>2579.982</v>
      </c>
      <c r="AB3083" s="3">
        <f t="shared" si="2456"/>
        <v>38748.36</v>
      </c>
      <c r="AC3083" s="3" cm="1">
        <f t="array" ref="AC3083">100000000/LvacE(AA3083)</f>
        <v>38748.360447721403</v>
      </c>
      <c r="AD3083" s="10">
        <f t="shared" si="2457"/>
        <v>1.2509424571125187E-2</v>
      </c>
      <c r="AE3083" s="10" t="b">
        <f t="shared" si="2458"/>
        <v>1</v>
      </c>
      <c r="AJ3083" t="s">
        <v>4824</v>
      </c>
      <c r="AK3083" t="s">
        <v>4870</v>
      </c>
      <c r="AL3083">
        <v>66301.350000000006</v>
      </c>
      <c r="AM3083">
        <v>105049.72</v>
      </c>
      <c r="AN3083" s="10" cm="1">
        <f t="array" ref="AN3083">Lair(100000000/($AM3083-$AL3083))</f>
        <v>2579.9813635207079</v>
      </c>
      <c r="AO3083" s="10">
        <f t="shared" ref="AO3083:AO3084" si="2465">100000000/($AM3083-$AL3083)</f>
        <v>2580.7537194467795</v>
      </c>
      <c r="AU3083" s="13" cm="1">
        <f t="array" ref="AU3083">$C3083*EXP(poly_from_str(100000000/$E3083,AU$4343))</f>
        <v>26.004744259429319</v>
      </c>
    </row>
    <row r="3084" spans="1:51" x14ac:dyDescent="0.25">
      <c r="A3084" t="s">
        <v>3663</v>
      </c>
      <c r="B3084" s="2" t="str">
        <f t="shared" si="2447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2461"/>
        <v>e</v>
      </c>
      <c r="N3084" t="str">
        <f t="shared" si="2462"/>
        <v>5/2</v>
      </c>
      <c r="O3084">
        <v>75409.58</v>
      </c>
      <c r="P3084" t="str">
        <f t="shared" si="2463"/>
        <v>o</v>
      </c>
      <c r="Q3084" t="str">
        <f t="shared" si="2464"/>
        <v>3/2</v>
      </c>
      <c r="R3084">
        <v>29</v>
      </c>
      <c r="AA3084" s="10">
        <f t="shared" si="2455"/>
        <v>2579.3910000000001</v>
      </c>
      <c r="AB3084" s="3">
        <f t="shared" si="2456"/>
        <v>38757.24</v>
      </c>
      <c r="AC3084" s="3" cm="1">
        <f t="array" ref="AC3084">100000000/LvacE(AA3084)</f>
        <v>38757.238061359589</v>
      </c>
      <c r="AD3084" s="10">
        <f t="shared" si="2457"/>
        <v>1.2512866033369811E-2</v>
      </c>
      <c r="AE3084" s="10" t="b">
        <f t="shared" si="2458"/>
        <v>1</v>
      </c>
      <c r="AJ3084" t="s">
        <v>4771</v>
      </c>
      <c r="AK3084" t="s">
        <v>4905</v>
      </c>
      <c r="AL3084">
        <v>36652.29</v>
      </c>
      <c r="AM3084">
        <v>75409.58</v>
      </c>
      <c r="AN3084" s="10" cm="1">
        <f t="array" ref="AN3084">Lair(100000000/($AM3084-$AL3084))</f>
        <v>2579.3875427297976</v>
      </c>
      <c r="AO3084" s="10">
        <f t="shared" si="2465"/>
        <v>2580.1597583319162</v>
      </c>
      <c r="AP3084" s="12">
        <v>50700000</v>
      </c>
      <c r="AQ3084" s="3">
        <v>0.14799999999999999</v>
      </c>
      <c r="AR3084" s="3">
        <f>LN(AU3084*100000000/($AM3084-$AL3084)/AP3084)</f>
        <v>-8.8227021710459415</v>
      </c>
      <c r="AS3084" s="13">
        <f>EXP(AR$4341*$AM3084+AR$4342)*$AP3084/(100000000/($AM3084-$AL3084))</f>
        <v>6.054493355294869</v>
      </c>
      <c r="AT3084" s="3">
        <f>LN(AS3084/$C3084)</f>
        <v>1.800800699729622</v>
      </c>
      <c r="AU3084" s="13" cm="1">
        <f t="array" ref="AU3084">$C3084*EXP(poly_from_str(100000000/$E3084,AU$4343))</f>
        <v>2.8954128235957595</v>
      </c>
      <c r="AV3084" s="13">
        <f>LN(AS3084/AU3084)</f>
        <v>0.73767300004681258</v>
      </c>
      <c r="AW3084" s="13"/>
      <c r="AX3084" s="13"/>
      <c r="AY3084" s="13"/>
    </row>
    <row r="3085" spans="1:51" x14ac:dyDescent="0.25">
      <c r="A3085" t="s">
        <v>3664</v>
      </c>
      <c r="B3085" s="2" t="str">
        <f t="shared" si="2447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2455"/>
        <v>2579.098</v>
      </c>
      <c r="AB3085" s="3">
        <f t="shared" si="2456"/>
        <v>38761.64</v>
      </c>
      <c r="AC3085" s="3" cm="1">
        <f t="array" ref="AC3085">100000000/LvacE(AA3085)</f>
        <v>38761.640823195019</v>
      </c>
      <c r="AD3085" s="10">
        <f t="shared" si="2457"/>
        <v>1.2514573083922174E-2</v>
      </c>
      <c r="AE3085" s="10" t="b">
        <f t="shared" si="2458"/>
        <v>1</v>
      </c>
      <c r="AP3085"/>
      <c r="AQ3085"/>
      <c r="AU3085" s="13" cm="1">
        <f t="array" ref="AU3085">$C3085*EXP(poly_from_str(100000000/$E3085,AU$4343))</f>
        <v>5.7967477659347741</v>
      </c>
    </row>
    <row r="3086" spans="1:51" x14ac:dyDescent="0.25">
      <c r="A3086" t="s">
        <v>3665</v>
      </c>
      <c r="B3086" s="2" t="str">
        <f t="shared" si="2447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2466">$G3086&amp;""</f>
        <v>o</v>
      </c>
      <c r="N3086" t="str">
        <f t="shared" ref="N3086:N3087" si="2467">$H3086&amp;""</f>
        <v>13/2</v>
      </c>
      <c r="O3086">
        <v>102981.94</v>
      </c>
      <c r="P3086" t="str">
        <f t="shared" ref="P3086:P3087" si="2468">$J3086&amp;""</f>
        <v>e</v>
      </c>
      <c r="Q3086" t="str">
        <f t="shared" ref="Q3086:Q3087" si="2469">$K3086&amp;""</f>
        <v>13/2</v>
      </c>
      <c r="R3086">
        <v>29</v>
      </c>
      <c r="S3086" t="s">
        <v>751</v>
      </c>
      <c r="AA3086" s="10">
        <f t="shared" si="2455"/>
        <v>2578.7739999999999</v>
      </c>
      <c r="AB3086" s="3">
        <f t="shared" si="2456"/>
        <v>38766.51</v>
      </c>
      <c r="AC3086" s="3" cm="1">
        <f t="array" ref="AC3086">100000000/LvacE(AA3086)</f>
        <v>38766.51057097123</v>
      </c>
      <c r="AD3086" s="10">
        <f t="shared" si="2457"/>
        <v>1.2516461421390792E-2</v>
      </c>
      <c r="AE3086" s="10" t="b">
        <f t="shared" si="2458"/>
        <v>1</v>
      </c>
      <c r="AJ3086" t="s">
        <v>4823</v>
      </c>
      <c r="AK3086" t="s">
        <v>4846</v>
      </c>
      <c r="AL3086">
        <v>64215.45</v>
      </c>
      <c r="AM3086">
        <v>102981.94</v>
      </c>
      <c r="AN3086" s="10" cm="1">
        <f t="array" ref="AN3086">Lair(100000000/($AM3086-$AL3086))</f>
        <v>2578.7753680810383</v>
      </c>
      <c r="AO3086" s="10">
        <f t="shared" ref="AO3086:AO3087" si="2470">100000000/($AM3086-$AL3086)</f>
        <v>2579.5474390382001</v>
      </c>
      <c r="AP3086" s="12">
        <v>3220000000</v>
      </c>
      <c r="AQ3086" s="3">
        <v>0.67</v>
      </c>
      <c r="AR3086" s="3">
        <f t="shared" ref="AR3086:AR3087" si="2471">LN(AU3086*100000000/($AM3086-$AL3086)/AP3086)</f>
        <v>-10.774776148463094</v>
      </c>
      <c r="AS3086" s="13">
        <f t="shared" ref="AS3086:AS3087" si="2472">EXP(AR$4341*$AM3086+AR$4342)*$AP3086/(100000000/($AM3086-$AL3086))</f>
        <v>48.571284085998784</v>
      </c>
      <c r="AT3086" s="3">
        <f t="shared" ref="AT3086:AT3087" si="2473">LN(AS3086/$C3086)</f>
        <v>1.685807916514225</v>
      </c>
      <c r="AU3086" s="13" cm="1">
        <f t="array" ref="AU3086">$C3086*EXP(poly_from_str(100000000/$E3086,AU$4343))</f>
        <v>26.114789379393418</v>
      </c>
      <c r="AV3086" s="13">
        <f t="shared" ref="AV3086:AV3087" si="2474">LN(AS3086/AU3086)</f>
        <v>0.62053069711462061</v>
      </c>
      <c r="AW3086" s="13"/>
      <c r="AX3086" s="13"/>
      <c r="AY3086" s="13"/>
    </row>
    <row r="3087" spans="1:51" x14ac:dyDescent="0.25">
      <c r="A3087" t="s">
        <v>3666</v>
      </c>
      <c r="B3087" s="2" t="str">
        <f t="shared" si="2447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2466"/>
        <v>e</v>
      </c>
      <c r="N3087" t="str">
        <f t="shared" si="2467"/>
        <v>11/2</v>
      </c>
      <c r="O3087">
        <v>66148.399999999994</v>
      </c>
      <c r="P3087" t="str">
        <f t="shared" si="2468"/>
        <v>o</v>
      </c>
      <c r="Q3087" t="str">
        <f t="shared" si="2469"/>
        <v>13/2</v>
      </c>
      <c r="R3087">
        <v>29</v>
      </c>
      <c r="AA3087" s="10">
        <f t="shared" si="2455"/>
        <v>2578.6669999999999</v>
      </c>
      <c r="AB3087" s="3">
        <f t="shared" si="2456"/>
        <v>38768.120000000003</v>
      </c>
      <c r="AC3087" s="3" cm="1">
        <f t="array" ref="AC3087">100000000/LvacE(AA3087)</f>
        <v>38768.119058910837</v>
      </c>
      <c r="AD3087" s="10">
        <f t="shared" si="2457"/>
        <v>1.2517085195356912E-2</v>
      </c>
      <c r="AE3087" s="10" t="b">
        <f t="shared" si="2458"/>
        <v>1</v>
      </c>
      <c r="AJ3087" t="s">
        <v>4712</v>
      </c>
      <c r="AK3087" t="s">
        <v>4694</v>
      </c>
      <c r="AL3087">
        <v>27380.31</v>
      </c>
      <c r="AM3087">
        <v>66148.399999999994</v>
      </c>
      <c r="AN3087" s="10" cm="1">
        <f t="array" ref="AN3087">Lair(100000000/($AM3087-$AL3087))</f>
        <v>2578.6689325820826</v>
      </c>
      <c r="AO3087" s="10">
        <f t="shared" si="2470"/>
        <v>2579.4409783922811</v>
      </c>
      <c r="AP3087" s="12">
        <v>8890000</v>
      </c>
      <c r="AQ3087" s="3">
        <v>0.23</v>
      </c>
      <c r="AR3087" s="3">
        <f t="shared" si="2471"/>
        <v>-6.3863134387016611</v>
      </c>
      <c r="AS3087" s="13">
        <f t="shared" si="2472"/>
        <v>2.1278285695131642</v>
      </c>
      <c r="AT3087" s="3">
        <f t="shared" si="2473"/>
        <v>6.1954828235064208E-2</v>
      </c>
      <c r="AU3087" s="13" cm="1">
        <f t="array" ref="AU3087">$C3087*EXP(poly_from_str(100000000/$E3087,AU$4343))</f>
        <v>5.8054445304948938</v>
      </c>
      <c r="AV3087" s="13">
        <f t="shared" si="2474"/>
        <v>-1.0036941805969328</v>
      </c>
      <c r="AW3087" s="13"/>
      <c r="AX3087" s="13"/>
      <c r="AY3087" s="13"/>
    </row>
    <row r="3088" spans="1:51" x14ac:dyDescent="0.25">
      <c r="A3088" t="s">
        <v>3667</v>
      </c>
      <c r="B3088" s="2" t="str">
        <f t="shared" si="2447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2455"/>
        <v>2578.4960000000001</v>
      </c>
      <c r="AB3088" s="3">
        <f t="shared" si="2456"/>
        <v>38770.69</v>
      </c>
      <c r="AC3088" s="3" cm="1">
        <f t="array" ref="AC3088">100000000/LvacE(AA3088)</f>
        <v>38770.689910207446</v>
      </c>
      <c r="AD3088" s="10">
        <f t="shared" si="2457"/>
        <v>1.2518082228982989E-2</v>
      </c>
      <c r="AE3088" s="10" t="b">
        <f t="shared" si="2458"/>
        <v>1</v>
      </c>
      <c r="AP3088"/>
      <c r="AQ3088"/>
      <c r="AU3088" s="13" cm="1">
        <f t="array" ref="AU3088">$C3088*EXP(poly_from_str(100000000/$E3088,AU$4343))</f>
        <v>2.9044427495568819</v>
      </c>
    </row>
    <row r="3089" spans="1:51" x14ac:dyDescent="0.25">
      <c r="A3089" t="s">
        <v>3668</v>
      </c>
      <c r="B3089" s="2" t="str">
        <f t="shared" si="2447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2475">$G3089&amp;""</f>
        <v>o</v>
      </c>
      <c r="N3089" t="str">
        <f t="shared" ref="N3089:N3091" si="2476">$H3089&amp;""</f>
        <v>3/2</v>
      </c>
      <c r="O3089">
        <v>106745.65</v>
      </c>
      <c r="P3089" t="str">
        <f t="shared" ref="P3089:P3091" si="2477">$J3089&amp;""</f>
        <v>e</v>
      </c>
      <c r="Q3089" t="str">
        <f t="shared" ref="Q3089:Q3091" si="2478">$K3089&amp;""</f>
        <v>5/2</v>
      </c>
      <c r="R3089">
        <v>29</v>
      </c>
      <c r="AA3089" s="10">
        <f t="shared" si="2455"/>
        <v>2577.866</v>
      </c>
      <c r="AB3089" s="3">
        <f t="shared" si="2456"/>
        <v>38780.160000000003</v>
      </c>
      <c r="AC3089" s="3" cm="1">
        <f t="array" ref="AC3089">100000000/LvacE(AA3089)</f>
        <v>38780.164410286234</v>
      </c>
      <c r="AD3089" s="10">
        <f t="shared" si="2457"/>
        <v>1.2521757222890218E-2</v>
      </c>
      <c r="AE3089" s="10" t="b">
        <f t="shared" si="2458"/>
        <v>1</v>
      </c>
      <c r="AJ3089" t="s">
        <v>4835</v>
      </c>
      <c r="AK3089" t="s">
        <v>4957</v>
      </c>
      <c r="AL3089">
        <v>67965.47</v>
      </c>
      <c r="AM3089">
        <v>106745.65</v>
      </c>
      <c r="AN3089" s="10" cm="1">
        <f t="array" ref="AN3089">Lair(100000000/($AM3089-$AL3089))</f>
        <v>2577.8649632408328</v>
      </c>
      <c r="AO3089" s="10">
        <f t="shared" ref="AO3089:AO3091" si="2479">100000000/($AM3089-$AL3089)</f>
        <v>2578.6368191173951</v>
      </c>
      <c r="AP3089" s="12">
        <v>759000000</v>
      </c>
      <c r="AQ3089" s="3">
        <v>0.82399999999999995</v>
      </c>
      <c r="AR3089" s="3">
        <f t="shared" ref="AR3089:AR3091" si="2480">LN(AU3089*100000000/($AM3089-$AL3089)/AP3089)</f>
        <v>-10.830933968838675</v>
      </c>
      <c r="AS3089" s="13">
        <f t="shared" ref="AS3089:AS3091" si="2481">EXP(AR$4341*$AM3089+AR$4342)*$AP3089/(100000000/($AM3089-$AL3089))</f>
        <v>8.634764770018462</v>
      </c>
      <c r="AT3089" s="3">
        <f t="shared" ref="AT3089:AT3091" si="2482">LN(AS3089/$C3089)</f>
        <v>1.4626492892106016</v>
      </c>
      <c r="AU3089" s="13" cm="1">
        <f t="array" ref="AU3089">$C3089*EXP(poly_from_str(100000000/$E3089,AU$4343))</f>
        <v>5.8215246391295228</v>
      </c>
      <c r="AV3089" s="13">
        <f t="shared" ref="AV3089:AV3091" si="2483">LN(AS3089/AU3089)</f>
        <v>0.39423427684799484</v>
      </c>
      <c r="AW3089" s="13"/>
      <c r="AX3089" s="13"/>
      <c r="AY3089" s="13"/>
    </row>
    <row r="3090" spans="1:51" x14ac:dyDescent="0.25">
      <c r="A3090" t="s">
        <v>3669</v>
      </c>
      <c r="B3090" s="2" t="str">
        <f t="shared" si="2447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2475"/>
        <v>o</v>
      </c>
      <c r="N3090" t="str">
        <f t="shared" si="2476"/>
        <v>9/2</v>
      </c>
      <c r="O3090">
        <v>106665.07</v>
      </c>
      <c r="P3090" t="str">
        <f t="shared" si="2477"/>
        <v>e</v>
      </c>
      <c r="Q3090" t="str">
        <f t="shared" si="2478"/>
        <v>7/2</v>
      </c>
      <c r="R3090">
        <v>29</v>
      </c>
      <c r="AA3090" s="10">
        <f t="shared" si="2455"/>
        <v>2576.922</v>
      </c>
      <c r="AB3090" s="3">
        <f t="shared" si="2456"/>
        <v>38794.370000000003</v>
      </c>
      <c r="AC3090" s="3" cm="1">
        <f t="array" ref="AC3090">100000000/LvacE(AA3090)</f>
        <v>38794.369791916171</v>
      </c>
      <c r="AD3090" s="10">
        <f t="shared" si="2457"/>
        <v>1.2527268926245377E-2</v>
      </c>
      <c r="AE3090" s="10" t="b">
        <f t="shared" si="2458"/>
        <v>1</v>
      </c>
      <c r="AJ3090" t="s">
        <v>4755</v>
      </c>
      <c r="AK3090" t="s">
        <v>4958</v>
      </c>
      <c r="AL3090">
        <v>67870.759999999995</v>
      </c>
      <c r="AM3090">
        <v>106665.07</v>
      </c>
      <c r="AN3090" s="10" cm="1">
        <f t="array" ref="AN3090">Lair(100000000/($AM3090-$AL3090))</f>
        <v>2576.9259715735375</v>
      </c>
      <c r="AO3090" s="10">
        <f t="shared" si="2479"/>
        <v>2577.6976056540243</v>
      </c>
      <c r="AP3090" s="12">
        <v>867000000</v>
      </c>
      <c r="AQ3090" s="3">
        <v>0.70199999999999996</v>
      </c>
      <c r="AR3090" s="3">
        <f t="shared" si="2480"/>
        <v>-10.555638153486059</v>
      </c>
      <c r="AS3090" s="13">
        <f t="shared" si="2481"/>
        <v>9.9268701008766076</v>
      </c>
      <c r="AT3090" s="3">
        <f t="shared" si="2482"/>
        <v>1.196632943417838</v>
      </c>
      <c r="AU3090" s="13" cm="1">
        <f t="array" ref="AU3090">$C3090*EXP(poly_from_str(100000000/$E3090,AU$4343))</f>
        <v>8.7605571338381267</v>
      </c>
      <c r="AV3090" s="13">
        <f t="shared" si="2483"/>
        <v>0.12498572940681518</v>
      </c>
      <c r="AW3090" s="13"/>
      <c r="AX3090" s="13"/>
      <c r="AY3090" s="13"/>
    </row>
    <row r="3091" spans="1:51" x14ac:dyDescent="0.25">
      <c r="A3091" t="s">
        <v>3670</v>
      </c>
      <c r="B3091" s="2" t="str">
        <f t="shared" si="2447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2475"/>
        <v>e</v>
      </c>
      <c r="N3091" t="str">
        <f t="shared" si="2476"/>
        <v>11/2</v>
      </c>
      <c r="O3091">
        <v>62240.83</v>
      </c>
      <c r="P3091" t="str">
        <f t="shared" si="2477"/>
        <v>o</v>
      </c>
      <c r="Q3091" t="str">
        <f t="shared" si="2478"/>
        <v>11/2</v>
      </c>
      <c r="R3091">
        <v>29</v>
      </c>
      <c r="AA3091" s="10">
        <f t="shared" si="2455"/>
        <v>2576.64</v>
      </c>
      <c r="AB3091" s="3">
        <f t="shared" si="2456"/>
        <v>38798.61</v>
      </c>
      <c r="AC3091" s="3" cm="1">
        <f t="array" ref="AC3091">100000000/LvacE(AA3091)</f>
        <v>38798.615367616039</v>
      </c>
      <c r="AD3091" s="10">
        <f t="shared" si="2457"/>
        <v>1.2528916606048195E-2</v>
      </c>
      <c r="AE3091" s="10" t="b">
        <f t="shared" si="2458"/>
        <v>1</v>
      </c>
      <c r="AJ3091" t="s">
        <v>4782</v>
      </c>
      <c r="AK3091" t="s">
        <v>4892</v>
      </c>
      <c r="AL3091">
        <v>23442.25</v>
      </c>
      <c r="AM3091">
        <v>62240.83</v>
      </c>
      <c r="AN3091" s="10" cm="1">
        <f t="array" ref="AN3091">Lair(100000000/($AM3091-$AL3091))</f>
        <v>2576.6423485694609</v>
      </c>
      <c r="AO3091" s="10">
        <f t="shared" si="2479"/>
        <v>2577.4139156639235</v>
      </c>
      <c r="AP3091" s="12">
        <v>24200000</v>
      </c>
      <c r="AQ3091" s="3">
        <v>7.8E-2</v>
      </c>
      <c r="AR3091" s="3">
        <f t="shared" si="2480"/>
        <v>-7.3815692820105765</v>
      </c>
      <c r="AS3091" s="13">
        <f t="shared" si="2481"/>
        <v>7.7722851667768795</v>
      </c>
      <c r="AT3091" s="3">
        <f t="shared" si="2482"/>
        <v>1.3574170418385989</v>
      </c>
      <c r="AU3091" s="13" cm="1">
        <f t="array" ref="AU3091">$C3091*EXP(poly_from_str(100000000/$E3091,AU$4343))</f>
        <v>5.845967411437667</v>
      </c>
      <c r="AV3091" s="13">
        <f t="shared" si="2483"/>
        <v>0.28481213023107166</v>
      </c>
      <c r="AW3091" s="13"/>
      <c r="AX3091" s="13"/>
      <c r="AY3091" s="13"/>
    </row>
    <row r="3092" spans="1:51" x14ac:dyDescent="0.25">
      <c r="A3092" t="s">
        <v>3671</v>
      </c>
      <c r="B3092" s="2" t="str">
        <f t="shared" si="2447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2455"/>
        <v>2576.4290000000001</v>
      </c>
      <c r="AB3092" s="3">
        <f t="shared" si="2456"/>
        <v>38801.79</v>
      </c>
      <c r="AC3092" s="3" cm="1">
        <f t="array" ref="AC3092">100000000/LvacE(AA3092)</f>
        <v>38801.792629554686</v>
      </c>
      <c r="AD3092" s="10">
        <f t="shared" si="2457"/>
        <v>1.2530149798336124E-2</v>
      </c>
      <c r="AE3092" s="10" t="b">
        <f t="shared" si="2458"/>
        <v>1</v>
      </c>
      <c r="AP3092"/>
      <c r="AQ3092"/>
      <c r="AU3092" s="13" cm="1">
        <f t="array" ref="AU3092">$C3092*EXP(poly_from_str(100000000/$E3092,AU$4343))</f>
        <v>2.9250780518249924</v>
      </c>
    </row>
    <row r="3093" spans="1:51" x14ac:dyDescent="0.25">
      <c r="A3093" t="s">
        <v>3672</v>
      </c>
      <c r="B3093" s="2" t="str">
        <f t="shared" si="2447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2455"/>
        <v>2576.1089999999999</v>
      </c>
      <c r="AB3093" s="3">
        <f t="shared" si="2456"/>
        <v>38806.61</v>
      </c>
      <c r="AC3093" s="3" cm="1">
        <f t="array" ref="AC3093">100000000/LvacE(AA3093)</f>
        <v>38806.612218972863</v>
      </c>
      <c r="AD3093" s="10">
        <f t="shared" si="2457"/>
        <v>1.2532020620822501E-2</v>
      </c>
      <c r="AE3093" s="10" t="b">
        <f t="shared" si="2458"/>
        <v>1</v>
      </c>
      <c r="AJ3093" t="s">
        <v>4831</v>
      </c>
      <c r="AK3093" t="s">
        <v>4891</v>
      </c>
      <c r="AL3093">
        <v>68492.429999999993</v>
      </c>
      <c r="AM3093">
        <v>107299.07</v>
      </c>
      <c r="AN3093" s="10" cm="1">
        <f t="array" ref="AN3093">Lair(100000000/($AM3093-$AL3093))</f>
        <v>2576.1071553318129</v>
      </c>
      <c r="AO3093" s="10">
        <f>100000000/($AM3093-$AL3093)</f>
        <v>2576.8785960340797</v>
      </c>
      <c r="AP3093" s="12">
        <v>80500000</v>
      </c>
      <c r="AQ3093" s="3">
        <v>0.13</v>
      </c>
      <c r="AR3093" s="3">
        <f>LN(AU3093*100000000/($AM3093-$AL3093)/AP3093)</f>
        <v>-9.2750301289923875</v>
      </c>
      <c r="AS3093" s="13">
        <f>EXP(AR$4341*$AM3093+AR$4342)*$AP3093/(100000000/($AM3093-$AL3093))</f>
        <v>0.87915116133389626</v>
      </c>
      <c r="AT3093" s="3">
        <f>LN(AS3093/$C3093)</f>
        <v>-0.12879842641891187</v>
      </c>
      <c r="AU3093" s="13" cm="1">
        <f t="array" ref="AU3093">$C3093*EXP(poly_from_str(100000000/$E3093,AU$4343))</f>
        <v>2.9282457231956651</v>
      </c>
      <c r="AV3093" s="13">
        <f>LN(AS3093/AU3093)</f>
        <v>-1.203201940853178</v>
      </c>
      <c r="AW3093" s="13"/>
      <c r="AX3093" s="13"/>
      <c r="AY3093" s="13"/>
    </row>
    <row r="3094" spans="1:51" x14ac:dyDescent="0.25">
      <c r="A3094" t="s">
        <v>3673</v>
      </c>
      <c r="B3094" s="2" t="str">
        <f t="shared" si="2447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2455"/>
        <v>2575.9110000000001</v>
      </c>
      <c r="AB3094" s="3">
        <f t="shared" si="2456"/>
        <v>38809.589999999997</v>
      </c>
      <c r="AC3094" s="3" cm="1">
        <f t="array" ref="AC3094">100000000/LvacE(AA3094)</f>
        <v>38809.594939539726</v>
      </c>
      <c r="AD3094" s="10">
        <f t="shared" si="2457"/>
        <v>1.2533178541405298E-2</v>
      </c>
      <c r="AE3094" s="10" t="b">
        <f t="shared" si="2458"/>
        <v>1</v>
      </c>
      <c r="AP3094"/>
      <c r="AQ3094"/>
      <c r="AU3094" s="13" cm="1">
        <f t="array" ref="AU3094">$C3094*EXP(poly_from_str(100000000/$E3094,AU$4343))</f>
        <v>2.9302000754502733</v>
      </c>
    </row>
    <row r="3095" spans="1:51" x14ac:dyDescent="0.25">
      <c r="A3095" t="s">
        <v>3674</v>
      </c>
      <c r="B3095" s="2" t="str">
        <f t="shared" si="2447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2455"/>
        <v>2575.3220000000001</v>
      </c>
      <c r="AB3095" s="3">
        <f t="shared" si="2456"/>
        <v>38818.47</v>
      </c>
      <c r="AC3095" s="3" cm="1">
        <f t="array" ref="AC3095">100000000/LvacE(AA3095)</f>
        <v>38818.470491164851</v>
      </c>
      <c r="AD3095" s="10">
        <f t="shared" si="2457"/>
        <v>1.2536624641727296E-2</v>
      </c>
      <c r="AE3095" s="10" t="b">
        <f t="shared" si="2458"/>
        <v>1</v>
      </c>
      <c r="AP3095"/>
      <c r="AQ3095"/>
      <c r="AU3095" s="13" cm="1">
        <f t="array" ref="AU3095">$C3095*EXP(poly_from_str(100000000/$E3095,AU$4343))</f>
        <v>2.9360052952062414</v>
      </c>
    </row>
    <row r="3096" spans="1:51" x14ac:dyDescent="0.25">
      <c r="A3096" t="s">
        <v>3675</v>
      </c>
      <c r="B3096" s="2" t="str">
        <f t="shared" si="2447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2455"/>
        <v>2574.9169999999999</v>
      </c>
      <c r="AB3096" s="3">
        <f t="shared" si="2456"/>
        <v>38824.58</v>
      </c>
      <c r="AC3096" s="3" cm="1">
        <f t="array" ref="AC3096">100000000/LvacE(AA3096)</f>
        <v>38824.575730334538</v>
      </c>
      <c r="AD3096" s="10">
        <f t="shared" si="2457"/>
        <v>1.2538995573514514E-2</v>
      </c>
      <c r="AE3096" s="10" t="b">
        <f t="shared" si="2458"/>
        <v>1</v>
      </c>
      <c r="AJ3096" t="s">
        <v>4822</v>
      </c>
      <c r="AK3096" t="s">
        <v>4732</v>
      </c>
      <c r="AL3096">
        <v>61605.66</v>
      </c>
      <c r="AM3096">
        <v>100430.29</v>
      </c>
      <c r="AN3096" s="10" cm="1">
        <f t="array" ref="AN3096">Lair(100000000/($AM3096-$AL3096))</f>
        <v>2574.9134001745319</v>
      </c>
      <c r="AO3096" s="10">
        <f>100000000/($AM3096-$AL3096)</f>
        <v>2575.6845590028811</v>
      </c>
      <c r="AP3096" s="12">
        <v>10900000</v>
      </c>
      <c r="AQ3096" s="3">
        <v>4.0000000000000001E-3</v>
      </c>
      <c r="AR3096" s="3"/>
      <c r="AS3096" s="13">
        <f>EXP(AR$4341*$AM3096+AR$4342)*$AP3096/(100000000/($AM3096-$AL3096))</f>
        <v>0.19941849645203968</v>
      </c>
      <c r="AT3096" s="3"/>
      <c r="AU3096" s="13" cm="1">
        <f t="array" ref="AU3096">$C3096*EXP(poly_from_str(100000000/$E3096,AU$4343))</f>
        <v>20.57988512299476</v>
      </c>
      <c r="AV3096" s="13"/>
      <c r="AW3096" s="13"/>
      <c r="AX3096" s="13"/>
      <c r="AY3096" s="13"/>
    </row>
    <row r="3097" spans="1:51" x14ac:dyDescent="0.25">
      <c r="A3097" t="s">
        <v>3676</v>
      </c>
      <c r="B3097" s="2" t="str">
        <f t="shared" si="2447"/>
        <v/>
      </c>
      <c r="C3097">
        <v>2</v>
      </c>
      <c r="E3097">
        <v>38825.75</v>
      </c>
      <c r="R3097">
        <v>29</v>
      </c>
      <c r="S3097" t="s">
        <v>22</v>
      </c>
      <c r="AA3097" s="10">
        <f t="shared" si="2455"/>
        <v>2574.8389999999999</v>
      </c>
      <c r="AB3097" s="3">
        <f t="shared" si="2456"/>
        <v>38825.75</v>
      </c>
      <c r="AC3097" s="3" cm="1">
        <f t="array" ref="AC3097">100000000/LvacE(AA3097)</f>
        <v>38825.751774714496</v>
      </c>
      <c r="AD3097" s="10">
        <f t="shared" si="2457"/>
        <v>1.2539452325895813E-2</v>
      </c>
      <c r="AE3097" s="10" t="b">
        <f t="shared" si="2458"/>
        <v>1</v>
      </c>
      <c r="AP3097"/>
      <c r="AQ3097"/>
      <c r="AU3097" s="13" cm="1">
        <f t="array" ref="AU3097">$C3097*EXP(poly_from_str(100000000/$E3097,AU$4343))</f>
        <v>5.8814877945908828</v>
      </c>
    </row>
    <row r="3098" spans="1:51" x14ac:dyDescent="0.25">
      <c r="A3098" t="s">
        <v>3677</v>
      </c>
      <c r="B3098" s="2" t="str">
        <f t="shared" si="2447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2455"/>
        <v>2573.971</v>
      </c>
      <c r="AB3098" s="3">
        <f t="shared" si="2456"/>
        <v>38838.839999999997</v>
      </c>
      <c r="AC3098" s="3" cm="1">
        <f t="array" ref="AC3098">100000000/LvacE(AA3098)</f>
        <v>38838.843847138844</v>
      </c>
      <c r="AD3098" s="10">
        <f t="shared" si="2457"/>
        <v>1.2544537962381636E-2</v>
      </c>
      <c r="AE3098" s="10" t="b">
        <f t="shared" si="2458"/>
        <v>1</v>
      </c>
      <c r="AP3098"/>
      <c r="AQ3098"/>
      <c r="AU3098" s="13" cm="1">
        <f t="array" ref="AU3098">$C3098*EXP(poly_from_str(100000000/$E3098,AU$4343))</f>
        <v>2.9492175767240405</v>
      </c>
    </row>
    <row r="3099" spans="1:51" x14ac:dyDescent="0.25">
      <c r="A3099" t="s">
        <v>3678</v>
      </c>
      <c r="B3099" s="2" t="str">
        <f t="shared" si="2447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2455"/>
        <v>2573.7379999999998</v>
      </c>
      <c r="AB3099" s="3">
        <f t="shared" si="2456"/>
        <v>38842.36</v>
      </c>
      <c r="AC3099" s="3" cm="1">
        <f t="array" ref="AC3099">100000000/LvacE(AA3099)</f>
        <v>38842.359696963817</v>
      </c>
      <c r="AD3099" s="10">
        <f t="shared" si="2457"/>
        <v>1.2545903991968844E-2</v>
      </c>
      <c r="AE3099" s="10" t="b">
        <f t="shared" si="2458"/>
        <v>1</v>
      </c>
      <c r="AJ3099" t="s">
        <v>4840</v>
      </c>
      <c r="AK3099" t="s">
        <v>4950</v>
      </c>
      <c r="AL3099">
        <v>63593.35</v>
      </c>
      <c r="AM3099">
        <v>102435.67</v>
      </c>
      <c r="AN3099" s="10" cm="1">
        <f t="array" ref="AN3099">Lair(100000000/($AM3099-$AL3099))</f>
        <v>2573.7406302149161</v>
      </c>
      <c r="AO3099" s="10">
        <f>100000000/($AM3099-$AL3099)</f>
        <v>2574.5115121856779</v>
      </c>
      <c r="AP3099" s="12">
        <v>561000000</v>
      </c>
      <c r="AQ3099" s="3">
        <v>0.36199999999999999</v>
      </c>
      <c r="AR3099" s="3">
        <f>LN(AU3099*100000000/($AM3099-$AL3099)/AP3099)</f>
        <v>-10.110895315292742</v>
      </c>
      <c r="AS3099" s="13">
        <f>EXP(AR$4341*$AM3099+AR$4342)*$AP3099/(100000000/($AM3099-$AL3099))</f>
        <v>8.8336360589734824</v>
      </c>
      <c r="AT3099" s="3">
        <f>LN(AS3099/$C3099)</f>
        <v>1.0799544258959124</v>
      </c>
      <c r="AU3099" s="13" cm="1">
        <f t="array" ref="AU3099">$C3099*EXP(poly_from_str(100000000/$E3099,AU$4343))</f>
        <v>8.8544579654092317</v>
      </c>
      <c r="AV3099" s="13">
        <f>LN(AS3099/AU3099)</f>
        <v>-2.3543425340127018E-3</v>
      </c>
      <c r="AW3099" s="13"/>
      <c r="AX3099" s="13"/>
      <c r="AY3099" s="13"/>
    </row>
    <row r="3100" spans="1:51" x14ac:dyDescent="0.25">
      <c r="A3100" t="s">
        <v>3679</v>
      </c>
      <c r="B3100" s="2" t="str">
        <f t="shared" si="2447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2455"/>
        <v>2572.9520000000002</v>
      </c>
      <c r="AB3100" s="3">
        <f t="shared" si="2456"/>
        <v>38854.22</v>
      </c>
      <c r="AC3100" s="3" cm="1">
        <f t="array" ref="AC3100">100000000/LvacE(AA3100)</f>
        <v>38854.224728204863</v>
      </c>
      <c r="AD3100" s="10">
        <f t="shared" si="2457"/>
        <v>1.2550514881001444E-2</v>
      </c>
      <c r="AE3100" s="10" t="b">
        <f t="shared" si="2458"/>
        <v>1</v>
      </c>
      <c r="AP3100"/>
      <c r="AQ3100"/>
      <c r="AU3100" s="13" cm="1">
        <f t="array" ref="AU3100">$C3100*EXP(poly_from_str(100000000/$E3100,AU$4343))</f>
        <v>5.9181942847748878</v>
      </c>
    </row>
    <row r="3101" spans="1:51" x14ac:dyDescent="0.25">
      <c r="A3101" t="s">
        <v>3680</v>
      </c>
      <c r="B3101" s="2" t="str">
        <f t="shared" si="2447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2455"/>
        <v>2572.6979999999999</v>
      </c>
      <c r="AB3101" s="3">
        <f t="shared" si="2456"/>
        <v>38858.06</v>
      </c>
      <c r="AC3101" s="3" cm="1">
        <f t="array" ref="AC3101">100000000/LvacE(AA3101)</f>
        <v>38858.060524729597</v>
      </c>
      <c r="AD3101" s="10">
        <f t="shared" si="2457"/>
        <v>1.255200581738113E-2</v>
      </c>
      <c r="AE3101" s="10" t="b">
        <f t="shared" si="2458"/>
        <v>1</v>
      </c>
      <c r="AJ3101" t="s">
        <v>4797</v>
      </c>
      <c r="AK3101" t="s">
        <v>4822</v>
      </c>
      <c r="AL3101">
        <v>22747.69</v>
      </c>
      <c r="AM3101">
        <v>61605.66</v>
      </c>
      <c r="AN3101" s="10" cm="1">
        <f t="array" ref="AN3101">Lair(100000000/($AM3101-$AL3101))</f>
        <v>2572.7039935147582</v>
      </c>
      <c r="AO3101" s="10">
        <f>100000000/($AM3101-$AL3101)</f>
        <v>2573.4746308157632</v>
      </c>
      <c r="AP3101" s="12">
        <v>144000</v>
      </c>
      <c r="AQ3101" s="3">
        <v>1E-3</v>
      </c>
      <c r="AR3101" s="3"/>
      <c r="AS3101" s="13">
        <f>EXP(AR$4341*$AM3101+AR$4342)*$AP3101/(100000000/($AM3101-$AL3101))</f>
        <v>4.858048441646326E-2</v>
      </c>
      <c r="AT3101" s="3"/>
      <c r="AU3101" s="13" cm="1">
        <f t="array" ref="AU3101">$C3101*EXP(poly_from_str(100000000/$E3101,AU$4343))</f>
        <v>11.84620379325191</v>
      </c>
      <c r="AV3101" s="13"/>
      <c r="AW3101" s="13"/>
      <c r="AX3101" s="13"/>
      <c r="AY3101" s="13"/>
    </row>
    <row r="3102" spans="1:51" x14ac:dyDescent="0.25">
      <c r="A3102" t="s">
        <v>3681</v>
      </c>
      <c r="B3102" s="2" t="str">
        <f t="shared" si="2447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2455"/>
        <v>2572.5880000000002</v>
      </c>
      <c r="AB3102" s="3">
        <f t="shared" si="2456"/>
        <v>38859.72</v>
      </c>
      <c r="AC3102" s="3" cm="1">
        <f t="array" ref="AC3102">100000000/LvacE(AA3102)</f>
        <v>38859.721931466665</v>
      </c>
      <c r="AD3102" s="10">
        <f t="shared" si="2457"/>
        <v>1.2552651635525523E-2</v>
      </c>
      <c r="AE3102" s="10" t="b">
        <f t="shared" si="2458"/>
        <v>1</v>
      </c>
      <c r="AP3102"/>
      <c r="AQ3102"/>
      <c r="AU3102" s="13" cm="1">
        <f t="array" ref="AU3102">$C3102*EXP(poly_from_str(100000000/$E3102,AU$4343))</f>
        <v>20.738270823754956</v>
      </c>
    </row>
    <row r="3103" spans="1:51" x14ac:dyDescent="0.25">
      <c r="A3103" t="s">
        <v>3682</v>
      </c>
      <c r="B3103" s="2" t="str">
        <f t="shared" si="2447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2484">$G3103&amp;""</f>
        <v>o</v>
      </c>
      <c r="N3103" t="str">
        <f t="shared" ref="N3103:N3105" si="2485">$H3103&amp;""</f>
        <v>11/2</v>
      </c>
      <c r="O3103">
        <v>104788.68</v>
      </c>
      <c r="P3103" t="str">
        <f t="shared" ref="P3103:P3105" si="2486">$J3103&amp;""</f>
        <v>e</v>
      </c>
      <c r="Q3103" t="str">
        <f t="shared" ref="Q3103:Q3105" si="2487">$K3103&amp;""</f>
        <v>11/2</v>
      </c>
      <c r="R3103">
        <v>29</v>
      </c>
      <c r="AA3103" s="10">
        <f t="shared" si="2455"/>
        <v>2572.1570000000002</v>
      </c>
      <c r="AB3103" s="3">
        <f t="shared" si="2456"/>
        <v>38866.230000000003</v>
      </c>
      <c r="AC3103" s="3" cm="1">
        <f t="array" ref="AC3103">100000000/LvacE(AA3103)</f>
        <v>38866.232994150669</v>
      </c>
      <c r="AD3103" s="10">
        <f t="shared" si="2457"/>
        <v>1.2555182866782756E-2</v>
      </c>
      <c r="AE3103" s="10" t="b">
        <f t="shared" si="2458"/>
        <v>1</v>
      </c>
      <c r="AJ3103" t="s">
        <v>4833</v>
      </c>
      <c r="AK3103" t="s">
        <v>4836</v>
      </c>
      <c r="AL3103">
        <v>65922.42</v>
      </c>
      <c r="AM3103">
        <v>104788.68</v>
      </c>
      <c r="AN3103" s="10" cm="1">
        <f t="array" ref="AN3103">Lair(100000000/($AM3103-$AL3103))</f>
        <v>2572.155212353558</v>
      </c>
      <c r="AO3103" s="10">
        <f t="shared" ref="AO3103:AO3105" si="2488">100000000/($AM3103-$AL3103)</f>
        <v>2572.925720149045</v>
      </c>
      <c r="AP3103" s="12">
        <v>1050000000</v>
      </c>
      <c r="AQ3103" s="3">
        <v>0.43</v>
      </c>
      <c r="AR3103" s="3">
        <f t="shared" ref="AR3103:AR3105" si="2489">LN(AU3103*100000000/($AM3103-$AL3103)/AP3103)</f>
        <v>-11.13864125299731</v>
      </c>
      <c r="AS3103" s="13">
        <f t="shared" ref="AS3103:AS3105" si="2490">EXP(AR$4341*$AM3103+AR$4342)*$AP3103/(100000000/($AM3103-$AL3103))</f>
        <v>13.865747965501878</v>
      </c>
      <c r="AT3103" s="3">
        <f t="shared" ref="AT3103:AT3105" si="2491">LN(AS3103/$C3103)</f>
        <v>1.9362744433565242</v>
      </c>
      <c r="AU3103" s="13" cm="1">
        <f t="array" ref="AU3103">$C3103*EXP(poly_from_str(100000000/$E3103,AU$4343))</f>
        <v>5.933509179707193</v>
      </c>
      <c r="AV3103" s="13">
        <f t="shared" ref="AV3103:AV3105" si="2492">LN(AS3103/AU3103)</f>
        <v>0.84880581869640559</v>
      </c>
      <c r="AW3103" s="13"/>
      <c r="AX3103" s="13"/>
      <c r="AY3103" s="13"/>
    </row>
    <row r="3104" spans="1:51" x14ac:dyDescent="0.25">
      <c r="A3104" t="s">
        <v>3683</v>
      </c>
      <c r="B3104" s="2" t="str">
        <f t="shared" si="2447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2484"/>
        <v>o</v>
      </c>
      <c r="N3104" t="str">
        <f t="shared" si="2485"/>
        <v>7/2</v>
      </c>
      <c r="O3104">
        <v>107854.46</v>
      </c>
      <c r="P3104" t="str">
        <f t="shared" si="2486"/>
        <v>e</v>
      </c>
      <c r="Q3104" t="str">
        <f t="shared" si="2487"/>
        <v>9/2</v>
      </c>
      <c r="R3104">
        <v>30</v>
      </c>
      <c r="S3104" t="s">
        <v>420</v>
      </c>
      <c r="AA3104" s="10">
        <f t="shared" si="2455"/>
        <v>2572.0740000000001</v>
      </c>
      <c r="AB3104" s="3">
        <f t="shared" si="2456"/>
        <v>38867.49</v>
      </c>
      <c r="AC3104" s="3" cm="1">
        <f t="array" ref="AC3104">100000000/LvacE(AA3104)</f>
        <v>38867.487115232405</v>
      </c>
      <c r="AD3104" s="10">
        <f t="shared" si="2457"/>
        <v>1.2555670465786055E-2</v>
      </c>
      <c r="AE3104" s="10" t="b">
        <f t="shared" si="2458"/>
        <v>1</v>
      </c>
      <c r="AJ3104" t="s">
        <v>4920</v>
      </c>
      <c r="AK3104" t="s">
        <v>4898</v>
      </c>
      <c r="AL3104">
        <v>68987.070000000007</v>
      </c>
      <c r="AM3104">
        <v>107854.46</v>
      </c>
      <c r="AN3104" s="10" cm="1">
        <f t="array" ref="AN3104">Lair(100000000/($AM3104-$AL3104))</f>
        <v>2572.080426777417</v>
      </c>
      <c r="AO3104" s="10">
        <f t="shared" si="2488"/>
        <v>2572.8509169254739</v>
      </c>
      <c r="AP3104" s="12">
        <v>198000000</v>
      </c>
      <c r="AQ3104" s="3">
        <v>0.187</v>
      </c>
      <c r="AR3104" s="3">
        <f t="shared" si="2489"/>
        <v>-10.163269323591868</v>
      </c>
      <c r="AS3104" s="13">
        <f t="shared" si="2490"/>
        <v>2.0773549578223336</v>
      </c>
      <c r="AT3104" s="3">
        <f t="shared" si="2491"/>
        <v>0.73109542958091278</v>
      </c>
      <c r="AU3104" s="13" cm="1">
        <f t="array" ref="AU3104">$C3104*EXP(poly_from_str(100000000/$E3104,AU$4343))</f>
        <v>2.9675550426049133</v>
      </c>
      <c r="AV3104" s="13">
        <f t="shared" si="2492"/>
        <v>-0.35664296622555558</v>
      </c>
      <c r="AW3104" s="13"/>
      <c r="AX3104" s="13"/>
      <c r="AY3104" s="13"/>
    </row>
    <row r="3105" spans="1:51" x14ac:dyDescent="0.25">
      <c r="A3105" t="s">
        <v>3684</v>
      </c>
      <c r="B3105" s="2" t="str">
        <f t="shared" si="2447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2484"/>
        <v>e</v>
      </c>
      <c r="N3105" t="str">
        <f t="shared" si="2485"/>
        <v>7/2</v>
      </c>
      <c r="O3105">
        <v>60166.2</v>
      </c>
      <c r="P3105" t="str">
        <f t="shared" si="2486"/>
        <v>o</v>
      </c>
      <c r="Q3105" t="str">
        <f t="shared" si="2487"/>
        <v>9/2</v>
      </c>
      <c r="R3105">
        <v>30</v>
      </c>
      <c r="AA3105" s="10">
        <f t="shared" si="2455"/>
        <v>2571.8209999999999</v>
      </c>
      <c r="AB3105" s="3">
        <f t="shared" si="2456"/>
        <v>38871.31</v>
      </c>
      <c r="AC3105" s="3" cm="1">
        <f t="array" ref="AC3105">100000000/LvacE(AA3105)</f>
        <v>38871.310417424225</v>
      </c>
      <c r="AD3105" s="10">
        <f t="shared" si="2457"/>
        <v>1.255715705280893E-2</v>
      </c>
      <c r="AE3105" s="10" t="b">
        <f t="shared" si="2458"/>
        <v>1</v>
      </c>
      <c r="AJ3105" t="s">
        <v>4791</v>
      </c>
      <c r="AK3105" t="s">
        <v>4726</v>
      </c>
      <c r="AL3105">
        <v>21294.89</v>
      </c>
      <c r="AM3105">
        <v>60166.2</v>
      </c>
      <c r="AN3105" s="10" cm="1">
        <f t="array" ref="AN3105">Lair(100000000/($AM3105-$AL3105))</f>
        <v>2571.8210273308882</v>
      </c>
      <c r="AO3105" s="10">
        <f t="shared" si="2488"/>
        <v>2572.5914562694184</v>
      </c>
      <c r="AP3105" s="12">
        <v>45200000</v>
      </c>
      <c r="AQ3105" s="3">
        <v>0.17699999999999999</v>
      </c>
      <c r="AR3105" s="3">
        <f t="shared" si="2489"/>
        <v>-6.6059423914331399</v>
      </c>
      <c r="AS3105" s="13">
        <f t="shared" si="2490"/>
        <v>16.99426159590957</v>
      </c>
      <c r="AT3105" s="3">
        <f t="shared" si="2491"/>
        <v>0.75343419221069119</v>
      </c>
      <c r="AU3105" s="13" cm="1">
        <f t="array" ref="AU3105">$C3105*EXP(poly_from_str(100000000/$E3105,AU$4343))</f>
        <v>23.759827509791677</v>
      </c>
      <c r="AV3105" s="13">
        <f t="shared" si="2492"/>
        <v>-0.33512050088866291</v>
      </c>
      <c r="AW3105" s="13"/>
      <c r="AX3105" s="13"/>
      <c r="AY3105" s="13"/>
    </row>
    <row r="3106" spans="1:51" x14ac:dyDescent="0.25">
      <c r="A3106" t="s">
        <v>3685</v>
      </c>
      <c r="B3106" s="2" t="str">
        <f t="shared" si="2447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2455"/>
        <v>2571.7080000000001</v>
      </c>
      <c r="AB3106" s="3">
        <f t="shared" si="2456"/>
        <v>38873.019999999997</v>
      </c>
      <c r="AC3106" s="3" cm="1">
        <f t="array" ref="AC3106">100000000/LvacE(AA3106)</f>
        <v>38873.018301322591</v>
      </c>
      <c r="AD3106" s="10">
        <f t="shared" si="2457"/>
        <v>1.2557821164246211E-2</v>
      </c>
      <c r="AE3106" s="10" t="b">
        <f t="shared" si="2458"/>
        <v>1</v>
      </c>
      <c r="AP3106"/>
      <c r="AQ3106"/>
      <c r="AU3106" s="13" cm="1">
        <f t="array" ref="AU3106">$C3106*EXP(poly_from_str(100000000/$E3106,AU$4343))</f>
        <v>5.9421232286752881</v>
      </c>
    </row>
    <row r="3107" spans="1:51" x14ac:dyDescent="0.25">
      <c r="A3107" t="s">
        <v>3686</v>
      </c>
      <c r="B3107" s="2" t="str">
        <f t="shared" si="2447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2493">$G3107&amp;""</f>
        <v>e</v>
      </c>
      <c r="N3107" t="str">
        <f t="shared" ref="N3107:N3109" si="2494">$H3107&amp;""</f>
        <v>5/2</v>
      </c>
      <c r="O3107">
        <v>64817.53</v>
      </c>
      <c r="P3107" t="str">
        <f t="shared" ref="P3107:P3109" si="2495">$J3107&amp;""</f>
        <v>o</v>
      </c>
      <c r="Q3107" t="str">
        <f t="shared" ref="Q3107:Q3109" si="2496">$K3107&amp;""</f>
        <v>5/2</v>
      </c>
      <c r="R3107">
        <v>30</v>
      </c>
      <c r="AA3107" s="10">
        <f t="shared" si="2455"/>
        <v>2571.0770000000002</v>
      </c>
      <c r="AB3107" s="3">
        <f t="shared" si="2456"/>
        <v>38882.559999999998</v>
      </c>
      <c r="AC3107" s="3" cm="1">
        <f t="array" ref="AC3107">100000000/LvacE(AA3107)</f>
        <v>38882.558005323168</v>
      </c>
      <c r="AD3107" s="10">
        <f t="shared" si="2457"/>
        <v>1.2561531219275651E-2</v>
      </c>
      <c r="AE3107" s="10" t="b">
        <f t="shared" si="2458"/>
        <v>1</v>
      </c>
      <c r="AJ3107" t="s">
        <v>4713</v>
      </c>
      <c r="AK3107" t="s">
        <v>4882</v>
      </c>
      <c r="AL3107">
        <v>25934.98</v>
      </c>
      <c r="AM3107">
        <v>64817.53</v>
      </c>
      <c r="AN3107" s="10" cm="1">
        <f t="array" ref="AN3107">Lair(100000000/($AM3107-$AL3107))</f>
        <v>2571.0775291025716</v>
      </c>
      <c r="AO3107" s="10">
        <f t="shared" ref="AO3107:AO3109" si="2497">100000000/($AM3107-$AL3107)</f>
        <v>2571.8477826171379</v>
      </c>
      <c r="AP3107" s="12">
        <v>14400000</v>
      </c>
      <c r="AQ3107" s="3">
        <v>3.6999999999999998E-2</v>
      </c>
      <c r="AR3107" s="3"/>
      <c r="AS3107" s="13">
        <f t="shared" ref="AS3107:AS3109" si="2498">EXP(AR$4341*$AM3107+AR$4342)*$AP3107/(100000000/($AM3107-$AL3107))</f>
        <v>3.8199171177737581</v>
      </c>
      <c r="AT3107" s="3"/>
      <c r="AU3107" s="13" cm="1">
        <f t="array" ref="AU3107">$C3107*EXP(poly_from_str(100000000/$E3107,AU$4343))</f>
        <v>2.9770859650424932</v>
      </c>
      <c r="AV3107" s="13"/>
      <c r="AW3107" s="13"/>
      <c r="AX3107" s="13"/>
      <c r="AY3107" s="13"/>
    </row>
    <row r="3108" spans="1:51" x14ac:dyDescent="0.25">
      <c r="A3108" t="s">
        <v>3687</v>
      </c>
      <c r="B3108" s="2">
        <f t="shared" si="2447"/>
        <v>1</v>
      </c>
      <c r="C3108">
        <v>9</v>
      </c>
      <c r="D3108" t="s">
        <v>3264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2493"/>
        <v>e</v>
      </c>
      <c r="N3108" t="str">
        <f t="shared" si="2494"/>
        <v>9/2</v>
      </c>
      <c r="O3108">
        <v>60419.73</v>
      </c>
      <c r="P3108" t="str">
        <f t="shared" si="2495"/>
        <v>o</v>
      </c>
      <c r="Q3108" t="str">
        <f t="shared" si="2496"/>
        <v>11/2</v>
      </c>
      <c r="R3108">
        <v>30</v>
      </c>
      <c r="AA3108" s="10">
        <f t="shared" si="2455"/>
        <v>2570.944</v>
      </c>
      <c r="AB3108" s="3">
        <f t="shared" si="2456"/>
        <v>38884.57</v>
      </c>
      <c r="AC3108" s="3" cm="1">
        <f t="array" ref="AC3108">100000000/LvacE(AA3108)</f>
        <v>38884.569348629659</v>
      </c>
      <c r="AD3108" s="10">
        <f t="shared" si="2457"/>
        <v>1.2562313560433377E-2</v>
      </c>
      <c r="AE3108" s="10" t="b">
        <f t="shared" si="2458"/>
        <v>1</v>
      </c>
      <c r="AJ3108" t="s">
        <v>4798</v>
      </c>
      <c r="AK3108" t="s">
        <v>4849</v>
      </c>
      <c r="AL3108">
        <v>21535.17</v>
      </c>
      <c r="AM3108">
        <v>60419.73</v>
      </c>
      <c r="AN3108" s="10" cm="1">
        <f t="array" ref="AN3108">Lair(100000000/($AM3108-$AL3108))</f>
        <v>2570.9446178715052</v>
      </c>
      <c r="AO3108" s="10">
        <f t="shared" si="2497"/>
        <v>2571.7148400290498</v>
      </c>
      <c r="AP3108" s="12">
        <v>60100000</v>
      </c>
      <c r="AQ3108" s="3">
        <v>0.441</v>
      </c>
      <c r="AR3108" s="3">
        <f t="shared" ref="AR3108:AR3109" si="2499">LN(AU3108*100000000/($AM3108-$AL3108)/AP3108)</f>
        <v>-6.7705977481639206</v>
      </c>
      <c r="AS3108" s="13">
        <f t="shared" si="2498"/>
        <v>22.178041856904365</v>
      </c>
      <c r="AT3108" s="3">
        <f t="shared" ref="AT3108:AT3109" si="2500">LN(AS3108/$C3108)</f>
        <v>0.9018781165094798</v>
      </c>
      <c r="AU3108" s="13" cm="1">
        <f t="array" ref="AU3108">$C3108*EXP(poly_from_str(100000000/$E3108,AU$4343))</f>
        <v>26.805160984810989</v>
      </c>
      <c r="AV3108" s="13">
        <f t="shared" ref="AV3108:AV3109" si="2501">LN(AS3108/AU3108)</f>
        <v>-0.18949174919121908</v>
      </c>
      <c r="AW3108" s="13"/>
      <c r="AX3108" s="13"/>
      <c r="AY3108" s="13"/>
    </row>
    <row r="3109" spans="1:51" x14ac:dyDescent="0.25">
      <c r="A3109" t="s">
        <v>3687</v>
      </c>
      <c r="B3109" s="2">
        <f t="shared" si="2447"/>
        <v>2</v>
      </c>
      <c r="C3109">
        <v>9</v>
      </c>
      <c r="D3109" t="s">
        <v>3264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2493"/>
        <v>o</v>
      </c>
      <c r="N3109" t="str">
        <f t="shared" si="2494"/>
        <v>9/2</v>
      </c>
      <c r="O3109">
        <v>100947.18</v>
      </c>
      <c r="P3109" t="str">
        <f t="shared" si="2495"/>
        <v>e</v>
      </c>
      <c r="Q3109" t="str">
        <f t="shared" si="2496"/>
        <v>9/2</v>
      </c>
      <c r="R3109">
        <v>30</v>
      </c>
      <c r="AA3109" s="10">
        <f t="shared" si="2455"/>
        <v>2570.944</v>
      </c>
      <c r="AB3109" s="3">
        <f t="shared" si="2456"/>
        <v>38884.57</v>
      </c>
      <c r="AC3109" s="3" cm="1">
        <f t="array" ref="AC3109">100000000/LvacE(AA3109)</f>
        <v>38884.569348629659</v>
      </c>
      <c r="AD3109" s="10">
        <f t="shared" si="2457"/>
        <v>1.2562313560433377E-2</v>
      </c>
      <c r="AE3109" s="10" t="b">
        <f t="shared" si="2458"/>
        <v>1</v>
      </c>
      <c r="AJ3109" t="s">
        <v>4848</v>
      </c>
      <c r="AK3109" t="s">
        <v>4955</v>
      </c>
      <c r="AL3109">
        <v>62062.63</v>
      </c>
      <c r="AM3109">
        <v>100947.18</v>
      </c>
      <c r="AN3109" s="10" cm="1">
        <f t="array" ref="AN3109">Lair(100000000/($AM3109-$AL3109))</f>
        <v>2570.9452790874025</v>
      </c>
      <c r="AO3109" s="10">
        <f t="shared" si="2497"/>
        <v>2571.7155014009422</v>
      </c>
      <c r="AP3109" s="12">
        <v>753000000</v>
      </c>
      <c r="AQ3109" s="3">
        <v>0.432</v>
      </c>
      <c r="AR3109" s="3">
        <f t="shared" si="2499"/>
        <v>-9.2986528772511345</v>
      </c>
      <c r="AS3109" s="13">
        <f t="shared" si="2498"/>
        <v>13.272629919896108</v>
      </c>
      <c r="AT3109" s="3">
        <f t="shared" si="2500"/>
        <v>0.3884794367444987</v>
      </c>
      <c r="AU3109" s="13" cm="1">
        <f t="array" ref="AU3109">$C3109*EXP(poly_from_str(100000000/$E3109,AU$4343))</f>
        <v>26.805160984810989</v>
      </c>
      <c r="AV3109" s="13">
        <f t="shared" si="2501"/>
        <v>-0.70289042895620035</v>
      </c>
      <c r="AW3109" s="13"/>
      <c r="AX3109" s="13"/>
      <c r="AY3109" s="13"/>
    </row>
    <row r="3110" spans="1:51" x14ac:dyDescent="0.25">
      <c r="A3110" t="s">
        <v>3688</v>
      </c>
      <c r="B3110" s="2" t="str">
        <f t="shared" si="2447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2455"/>
        <v>2570.4920000000002</v>
      </c>
      <c r="AB3110" s="3">
        <f t="shared" si="2456"/>
        <v>38891.410000000003</v>
      </c>
      <c r="AC3110" s="3" cm="1">
        <f t="array" ref="AC3110">100000000/LvacE(AA3110)</f>
        <v>38891.406446759785</v>
      </c>
      <c r="AD3110" s="10">
        <f t="shared" si="2457"/>
        <v>1.2564973251572031E-2</v>
      </c>
      <c r="AE3110" s="10" t="b">
        <f t="shared" si="2458"/>
        <v>1</v>
      </c>
      <c r="AP3110"/>
      <c r="AQ3110"/>
      <c r="AU3110" s="13" cm="1">
        <f t="array" ref="AU3110">$C3110*EXP(poly_from_str(100000000/$E3110,AU$4343))</f>
        <v>11.930585528857581</v>
      </c>
    </row>
    <row r="3111" spans="1:51" x14ac:dyDescent="0.25">
      <c r="A3111" t="s">
        <v>3689</v>
      </c>
      <c r="B3111" s="2" t="str">
        <f t="shared" si="2447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2455"/>
        <v>2570.17</v>
      </c>
      <c r="AB3111" s="3">
        <f t="shared" si="2456"/>
        <v>38896.28</v>
      </c>
      <c r="AC3111" s="3" cm="1">
        <f t="array" ref="AC3111">100000000/LvacE(AA3111)</f>
        <v>38896.278589475347</v>
      </c>
      <c r="AD3111" s="10">
        <f t="shared" si="2457"/>
        <v>1.2566868843204019E-2</v>
      </c>
      <c r="AE3111" s="10" t="b">
        <f t="shared" si="2458"/>
        <v>1</v>
      </c>
      <c r="AJ3111" t="s">
        <v>4909</v>
      </c>
      <c r="AK3111" t="s">
        <v>4887</v>
      </c>
      <c r="AL3111">
        <v>66735.88</v>
      </c>
      <c r="AM3111">
        <v>105632.16</v>
      </c>
      <c r="AN3111" s="10" cm="1">
        <f t="array" ref="AN3111">Lair(100000000/($AM3111-$AL3111))</f>
        <v>2570.1699065282228</v>
      </c>
      <c r="AO3111" s="10">
        <f>100000000/($AM3111-$AL3111)</f>
        <v>2570.9399459279912</v>
      </c>
      <c r="AP3111" s="12">
        <v>940000000</v>
      </c>
      <c r="AQ3111" s="3">
        <v>0.61399999999999999</v>
      </c>
      <c r="AR3111" s="3">
        <f>LN(AU3111*100000000/($AM3111-$AL3111)/AP3111)</f>
        <v>-10.329236799971278</v>
      </c>
      <c r="AS3111" s="13">
        <f>EXP(AR$4341*$AM3111+AR$4342)*$AP3111/(100000000/($AM3111-$AL3111))</f>
        <v>11.660740762803085</v>
      </c>
      <c r="AT3111" s="3">
        <f>LN(AS3111/$C3111)</f>
        <v>1.0699333480420488</v>
      </c>
      <c r="AU3111" s="13" cm="1">
        <f t="array" ref="AU3111">$C3111*EXP(poly_from_str(100000000/$E3111,AU$4343))</f>
        <v>11.942778481284609</v>
      </c>
      <c r="AV3111" s="13">
        <f>LN(AS3111/AU3111)</f>
        <v>-2.3899075356404235E-2</v>
      </c>
      <c r="AW3111" s="13"/>
      <c r="AX3111" s="13"/>
      <c r="AY3111" s="13"/>
    </row>
    <row r="3112" spans="1:51" x14ac:dyDescent="0.25">
      <c r="A3112" t="s">
        <v>3690</v>
      </c>
      <c r="B3112" s="2" t="str">
        <f t="shared" si="2447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2455"/>
        <v>2569.3620000000001</v>
      </c>
      <c r="AB3112" s="3">
        <f t="shared" si="2456"/>
        <v>38908.51</v>
      </c>
      <c r="AC3112" s="3" cm="1">
        <f t="array" ref="AC3112">100000000/LvacE(AA3112)</f>
        <v>38908.509715106229</v>
      </c>
      <c r="AD3112" s="10">
        <f t="shared" si="2457"/>
        <v>1.2571628621250379E-2</v>
      </c>
      <c r="AE3112" s="10" t="b">
        <f t="shared" si="2458"/>
        <v>1</v>
      </c>
      <c r="AP3112"/>
      <c r="AQ3112"/>
      <c r="AU3112" s="13" cm="1">
        <f t="array" ref="AU3112">$C3112*EXP(poly_from_str(100000000/$E3112,AU$4343))</f>
        <v>2.9933135223984904</v>
      </c>
    </row>
    <row r="3113" spans="1:51" x14ac:dyDescent="0.25">
      <c r="A3113" t="s">
        <v>3691</v>
      </c>
      <c r="B3113" s="2" t="str">
        <f t="shared" si="2447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2502">$G3113&amp;""</f>
        <v>e</v>
      </c>
      <c r="N3113" t="str">
        <f t="shared" ref="N3113:N3114" si="2503">$H3113&amp;""</f>
        <v>13/2</v>
      </c>
      <c r="O3113">
        <v>62558.67</v>
      </c>
      <c r="P3113" t="str">
        <f t="shared" ref="P3113:P3114" si="2504">$J3113&amp;""</f>
        <v>o</v>
      </c>
      <c r="Q3113" t="str">
        <f t="shared" ref="Q3113:Q3114" si="2505">$K3113&amp;""</f>
        <v>11/2</v>
      </c>
      <c r="R3113">
        <v>30</v>
      </c>
      <c r="AA3113" s="10">
        <f t="shared" si="2455"/>
        <v>2569.203</v>
      </c>
      <c r="AB3113" s="3">
        <f t="shared" si="2456"/>
        <v>38910.92</v>
      </c>
      <c r="AC3113" s="3" cm="1">
        <f t="array" ref="AC3113">100000000/LvacE(AA3113)</f>
        <v>38910.917488440187</v>
      </c>
      <c r="AD3113" s="10">
        <f t="shared" si="2457"/>
        <v>1.2572565789554228E-2</v>
      </c>
      <c r="AE3113" s="10" t="b">
        <f t="shared" si="2458"/>
        <v>1</v>
      </c>
      <c r="AJ3113" t="s">
        <v>4966</v>
      </c>
      <c r="AK3113" t="s">
        <v>4821</v>
      </c>
      <c r="AL3113">
        <v>23647.77</v>
      </c>
      <c r="AM3113">
        <v>62558.67</v>
      </c>
      <c r="AN3113" s="10" cm="1">
        <f t="array" ref="AN3113">Lair(100000000/($AM3113-$AL3113))</f>
        <v>2569.2041545515999</v>
      </c>
      <c r="AO3113" s="10">
        <f t="shared" ref="AO3113:AO3114" si="2506">100000000/($AM3113-$AL3113)</f>
        <v>2569.9739661637232</v>
      </c>
      <c r="AP3113" s="12">
        <v>170000000</v>
      </c>
      <c r="AQ3113" s="3">
        <v>0.23200000000000001</v>
      </c>
      <c r="AR3113" s="3">
        <f t="shared" ref="AR3113:AR3114" si="2507">LN(AU3113*100000000/($AM3113-$AL3113)/AP3113)</f>
        <v>-7.8055529827654269</v>
      </c>
      <c r="AS3113" s="13">
        <f t="shared" ref="AS3113:AS3114" si="2508">EXP(AR$4341*$AM3113+AR$4342)*$AP3113/(100000000/($AM3113-$AL3113))</f>
        <v>53.46610667944519</v>
      </c>
      <c r="AT3113" s="3">
        <f t="shared" ref="AT3113:AT3114" si="2509">LN(AS3113/$C3113)</f>
        <v>1.7818233557967753</v>
      </c>
      <c r="AU3113" s="13" cm="1">
        <f t="array" ref="AU3113">$C3113*EXP(poly_from_str(100000000/$E3113,AU$4343))</f>
        <v>26.953279123874076</v>
      </c>
      <c r="AV3113" s="13">
        <f t="shared" ref="AV3113:AV3114" si="2510">LN(AS3113/AU3113)</f>
        <v>0.68494296882445915</v>
      </c>
      <c r="AW3113" s="13"/>
      <c r="AX3113" s="13"/>
      <c r="AY3113" s="13"/>
    </row>
    <row r="3114" spans="1:51" x14ac:dyDescent="0.25">
      <c r="A3114" t="s">
        <v>3692</v>
      </c>
      <c r="B3114" s="2" t="str">
        <f t="shared" si="2447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2502"/>
        <v>e</v>
      </c>
      <c r="N3114" t="str">
        <f t="shared" si="2503"/>
        <v>3/2</v>
      </c>
      <c r="O3114">
        <v>63221.279999999999</v>
      </c>
      <c r="P3114" t="str">
        <f t="shared" si="2504"/>
        <v>o</v>
      </c>
      <c r="Q3114" t="str">
        <f t="shared" si="2505"/>
        <v>3/2</v>
      </c>
      <c r="R3114">
        <v>30</v>
      </c>
      <c r="S3114" t="s">
        <v>97</v>
      </c>
      <c r="AA3114" s="10">
        <f t="shared" si="2455"/>
        <v>2569.1260000000002</v>
      </c>
      <c r="AB3114" s="3">
        <f t="shared" si="2456"/>
        <v>38912.080000000002</v>
      </c>
      <c r="AC3114" s="3" cm="1">
        <f t="array" ref="AC3114">100000000/LvacE(AA3114)</f>
        <v>38912.08362413432</v>
      </c>
      <c r="AD3114" s="10">
        <f t="shared" si="2457"/>
        <v>1.2573019700889391E-2</v>
      </c>
      <c r="AE3114" s="10" t="b">
        <f t="shared" si="2458"/>
        <v>1</v>
      </c>
      <c r="AJ3114" t="s">
        <v>4749</v>
      </c>
      <c r="AK3114" t="s">
        <v>4707</v>
      </c>
      <c r="AL3114">
        <v>24309.200000000001</v>
      </c>
      <c r="AM3114">
        <v>63221.279999999999</v>
      </c>
      <c r="AN3114" s="10" cm="1">
        <f t="array" ref="AN3114">Lair(100000000/($AM3114-$AL3114))</f>
        <v>2569.126239049765</v>
      </c>
      <c r="AO3114" s="10">
        <f t="shared" si="2506"/>
        <v>2569.8960322861176</v>
      </c>
      <c r="AP3114" s="12">
        <v>16000000</v>
      </c>
      <c r="AQ3114" s="3">
        <v>7.5999999999999998E-2</v>
      </c>
      <c r="AR3114" s="3">
        <f t="shared" si="2507"/>
        <v>-5.8475986475559116</v>
      </c>
      <c r="AS3114" s="13">
        <f t="shared" si="2508"/>
        <v>4.788138960756207</v>
      </c>
      <c r="AT3114" s="3">
        <f t="shared" si="2509"/>
        <v>-0.2256176592391502</v>
      </c>
      <c r="AU3114" s="13" cm="1">
        <f t="array" ref="AU3114">$C3114*EXP(poly_from_str(100000000/$E3114,AU$4343))</f>
        <v>17.973166757334855</v>
      </c>
      <c r="AV3114" s="13">
        <f t="shared" si="2510"/>
        <v>-1.3227380999516516</v>
      </c>
      <c r="AW3114" s="13"/>
      <c r="AX3114" s="13"/>
      <c r="AY3114" s="13"/>
    </row>
    <row r="3115" spans="1:51" x14ac:dyDescent="0.25">
      <c r="A3115" t="s">
        <v>3693</v>
      </c>
      <c r="B3115" s="2" t="str">
        <f t="shared" si="2447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2455"/>
        <v>2569.038</v>
      </c>
      <c r="AB3115" s="3">
        <f t="shared" si="2456"/>
        <v>38913.42</v>
      </c>
      <c r="AC3115" s="3" cm="1">
        <f t="array" ref="AC3115">100000000/LvacE(AA3115)</f>
        <v>38913.41643622773</v>
      </c>
      <c r="AD3115" s="10">
        <f t="shared" si="2457"/>
        <v>1.2573538506675988E-2</v>
      </c>
      <c r="AE3115" s="10" t="b">
        <f t="shared" si="2458"/>
        <v>1</v>
      </c>
      <c r="AP3115"/>
      <c r="AQ3115"/>
      <c r="AU3115" s="13" cm="1">
        <f t="array" ref="AU3115">$C3115*EXP(poly_from_str(100000000/$E3115,AU$4343))</f>
        <v>2.9963577866505822</v>
      </c>
    </row>
    <row r="3116" spans="1:51" x14ac:dyDescent="0.25">
      <c r="A3116" t="s">
        <v>3694</v>
      </c>
      <c r="B3116" s="2">
        <f t="shared" si="2447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2511">$G3116&amp;""</f>
        <v>o</v>
      </c>
      <c r="N3116" t="str">
        <f t="shared" ref="N3116:N3117" si="2512">$H3116&amp;""</f>
        <v>9/2</v>
      </c>
      <c r="O3116">
        <v>107299.07</v>
      </c>
      <c r="P3116" t="str">
        <f t="shared" ref="P3116:P3117" si="2513">$J3116&amp;""</f>
        <v>e</v>
      </c>
      <c r="Q3116" t="str">
        <f t="shared" ref="Q3116:Q3117" si="2514">$K3116&amp;""</f>
        <v>7/2</v>
      </c>
      <c r="R3116">
        <v>30</v>
      </c>
      <c r="AA3116" s="10">
        <f t="shared" si="2455"/>
        <v>2568.306</v>
      </c>
      <c r="AB3116" s="3">
        <f t="shared" si="2456"/>
        <v>38924.51</v>
      </c>
      <c r="AC3116" s="3" cm="1">
        <f t="array" ref="AC3116">100000000/LvacE(AA3116)</f>
        <v>38924.506548804413</v>
      </c>
      <c r="AD3116" s="10">
        <f t="shared" si="2457"/>
        <v>1.2577856094407057E-2</v>
      </c>
      <c r="AE3116" s="10" t="b">
        <f t="shared" si="2458"/>
        <v>1</v>
      </c>
      <c r="AJ3116" t="s">
        <v>4739</v>
      </c>
      <c r="AK3116" t="s">
        <v>4891</v>
      </c>
      <c r="AL3116">
        <v>68374.539999999994</v>
      </c>
      <c r="AM3116">
        <v>107299.07</v>
      </c>
      <c r="AN3116" s="10" cm="1">
        <f t="array" ref="AN3116">Lair(100000000/($AM3116-$AL3116))</f>
        <v>2568.3044523203907</v>
      </c>
      <c r="AO3116" s="10">
        <f t="shared" ref="AO3116:AO3117" si="2515">100000000/($AM3116-$AL3116)</f>
        <v>2569.0740517611894</v>
      </c>
      <c r="AP3116" s="15">
        <v>160000000</v>
      </c>
      <c r="AQ3116" s="3">
        <v>0.158</v>
      </c>
      <c r="AR3116" s="14"/>
      <c r="AS3116" s="13">
        <f t="shared" ref="AS3116:AS3117" si="2516">EXP(AR$4341*$AM3116+AR$4342)*$AP3116/(100000000/($AM3116-$AL3116))</f>
        <v>1.7526895284028465</v>
      </c>
      <c r="AT3116" s="14"/>
      <c r="AU3116" s="13" cm="1">
        <f t="array" ref="AU3116">$C3116*EXP(poly_from_str(100000000/$E3116,AU$4343))</f>
        <v>18.019219242636279</v>
      </c>
      <c r="AV3116" s="13"/>
      <c r="AW3116" s="13"/>
      <c r="AX3116" s="13"/>
      <c r="AY3116" s="13"/>
    </row>
    <row r="3117" spans="1:51" x14ac:dyDescent="0.25">
      <c r="A3117" t="s">
        <v>3694</v>
      </c>
      <c r="B3117" s="2">
        <f t="shared" si="2447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2511"/>
        <v>o</v>
      </c>
      <c r="N3117" t="str">
        <f t="shared" si="2512"/>
        <v>11/2</v>
      </c>
      <c r="O3117">
        <v>101165.33</v>
      </c>
      <c r="P3117" t="str">
        <f t="shared" si="2513"/>
        <v>e</v>
      </c>
      <c r="Q3117" t="str">
        <f t="shared" si="2514"/>
        <v>11/2</v>
      </c>
      <c r="R3117">
        <v>30</v>
      </c>
      <c r="AA3117" s="10">
        <f t="shared" si="2455"/>
        <v>2568.306</v>
      </c>
      <c r="AB3117" s="3">
        <f t="shared" si="2456"/>
        <v>38924.51</v>
      </c>
      <c r="AC3117" s="3" cm="1">
        <f t="array" ref="AC3117">100000000/LvacE(AA3117)</f>
        <v>38924.506548804413</v>
      </c>
      <c r="AD3117" s="10">
        <f t="shared" si="2457"/>
        <v>1.2577856094407057E-2</v>
      </c>
      <c r="AE3117" s="10" t="b">
        <f t="shared" si="2458"/>
        <v>1</v>
      </c>
      <c r="AJ3117" t="s">
        <v>4892</v>
      </c>
      <c r="AK3117" t="s">
        <v>4953</v>
      </c>
      <c r="AL3117">
        <v>62240.83</v>
      </c>
      <c r="AM3117">
        <v>101165.33</v>
      </c>
      <c r="AN3117" s="10" cm="1">
        <f t="array" ref="AN3117">Lair(100000000/($AM3117-$AL3117))</f>
        <v>2568.3064318975707</v>
      </c>
      <c r="AO3117" s="10">
        <f t="shared" si="2515"/>
        <v>2569.0760318051612</v>
      </c>
      <c r="AP3117" s="12">
        <v>962000000</v>
      </c>
      <c r="AQ3117" s="3">
        <v>0.255</v>
      </c>
      <c r="AR3117" s="3">
        <f>LN(AU3117*100000000/($AM3117-$AL3117)/AP3117)</f>
        <v>-9.9417844921083045</v>
      </c>
      <c r="AS3117" s="13">
        <f t="shared" si="2516"/>
        <v>16.698329077981615</v>
      </c>
      <c r="AT3117" s="3">
        <f t="shared" ref="AT3117" si="2517">LN(AS3117/$C3117)</f>
        <v>1.0235491899781162</v>
      </c>
      <c r="AU3117" s="13" cm="1">
        <f t="array" ref="AU3117">$C3117*EXP(poly_from_str(100000000/$E3117,AU$4343))</f>
        <v>18.019219242636279</v>
      </c>
      <c r="AV3117" s="13">
        <f>LN(AS3117/AU3117)</f>
        <v>-7.613026476768045E-2</v>
      </c>
      <c r="AW3117" s="13"/>
      <c r="AX3117" s="13"/>
      <c r="AY3117" s="13"/>
    </row>
    <row r="3118" spans="1:51" x14ac:dyDescent="0.25">
      <c r="A3118" t="s">
        <v>3695</v>
      </c>
      <c r="B3118" s="2" t="str">
        <f t="shared" si="2447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2455"/>
        <v>2567.89</v>
      </c>
      <c r="AB3118" s="3">
        <f t="shared" si="2456"/>
        <v>38930.81</v>
      </c>
      <c r="AC3118" s="3" cm="1">
        <f t="array" ref="AC3118">100000000/LvacE(AA3118)</f>
        <v>38930.811943729954</v>
      </c>
      <c r="AD3118" s="10">
        <f t="shared" si="2457"/>
        <v>1.2580311450983095E-2</v>
      </c>
      <c r="AE3118" s="10" t="b">
        <f t="shared" si="2458"/>
        <v>1</v>
      </c>
      <c r="AP3118"/>
      <c r="AQ3118"/>
      <c r="AU3118" s="13" cm="1">
        <f t="array" ref="AU3118">$C3118*EXP(poly_from_str(100000000/$E3118,AU$4343))</f>
        <v>21.049511957408601</v>
      </c>
    </row>
    <row r="3119" spans="1:51" x14ac:dyDescent="0.25">
      <c r="A3119" t="s">
        <v>3696</v>
      </c>
      <c r="B3119" s="2" t="str">
        <f t="shared" si="2447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2455"/>
        <v>2567.259</v>
      </c>
      <c r="AB3119" s="3">
        <f t="shared" si="2456"/>
        <v>38940.379999999997</v>
      </c>
      <c r="AC3119" s="3" cm="1">
        <f t="array" ref="AC3119">100000000/LvacE(AA3119)</f>
        <v>38940.380036585317</v>
      </c>
      <c r="AD3119" s="10">
        <f t="shared" si="2457"/>
        <v>1.2584038080416762E-2</v>
      </c>
      <c r="AE3119" s="10" t="b">
        <f t="shared" si="2458"/>
        <v>1</v>
      </c>
      <c r="AP3119"/>
      <c r="AQ3119"/>
      <c r="AU3119" s="13" cm="1">
        <f t="array" ref="AU3119">$C3119*EXP(poly_from_str(100000000/$E3119,AU$4343))</f>
        <v>6.025851449391288</v>
      </c>
    </row>
    <row r="3120" spans="1:51" x14ac:dyDescent="0.25">
      <c r="A3120" t="s">
        <v>3697</v>
      </c>
      <c r="B3120" s="2" t="str">
        <f t="shared" si="2447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2518">$G3120&amp;""</f>
        <v>e</v>
      </c>
      <c r="N3120" t="str">
        <f t="shared" ref="N3120:N3123" si="2519">$H3120&amp;""</f>
        <v>5/2</v>
      </c>
      <c r="O3120">
        <v>75614.81</v>
      </c>
      <c r="P3120" t="str">
        <f t="shared" ref="P3120:P3123" si="2520">$J3120&amp;""</f>
        <v>o</v>
      </c>
      <c r="Q3120" t="str">
        <f t="shared" ref="Q3120:Q3123" si="2521">$K3120&amp;""</f>
        <v>5/2</v>
      </c>
      <c r="R3120">
        <v>30</v>
      </c>
      <c r="S3120" t="s">
        <v>3698</v>
      </c>
      <c r="AA3120" s="10">
        <f t="shared" si="2455"/>
        <v>2565.7959999999998</v>
      </c>
      <c r="AB3120" s="3">
        <f t="shared" si="2456"/>
        <v>38962.58</v>
      </c>
      <c r="AC3120" s="3" cm="1">
        <f t="array" ref="AC3120">100000000/LvacE(AA3120)</f>
        <v>38962.582164347703</v>
      </c>
      <c r="AD3120" s="10">
        <f t="shared" si="2457"/>
        <v>1.2592689006520337E-2</v>
      </c>
      <c r="AE3120" s="10" t="b">
        <f t="shared" si="2458"/>
        <v>1</v>
      </c>
      <c r="AJ3120" t="s">
        <v>4771</v>
      </c>
      <c r="AK3120" t="s">
        <v>4947</v>
      </c>
      <c r="AL3120">
        <v>36652.29</v>
      </c>
      <c r="AM3120">
        <v>75614.81</v>
      </c>
      <c r="AN3120" s="10" cm="1">
        <f t="array" ref="AN3120">Lair(100000000/($AM3120-$AL3120))</f>
        <v>2565.8000937758989</v>
      </c>
      <c r="AO3120" s="10">
        <f t="shared" ref="AO3120:AO3123" si="2522">100000000/($AM3120-$AL3120)</f>
        <v>2566.5691028198385</v>
      </c>
      <c r="AP3120" s="12">
        <v>8220000</v>
      </c>
      <c r="AQ3120" s="3">
        <v>2.1999999999999999E-2</v>
      </c>
      <c r="AR3120" s="3"/>
      <c r="AS3120" s="13">
        <f t="shared" ref="AS3120:AS3123" si="2523">EXP(AR$4341*$AM3120+AR$4342)*$AP3120/(100000000/($AM3120-$AL3120))</f>
        <v>0.97173168481252337</v>
      </c>
      <c r="AT3120" s="3"/>
      <c r="AU3120" s="13" cm="1">
        <f t="array" ref="AU3120">$C3120*EXP(poly_from_str(100000000/$E3120,AU$4343))</f>
        <v>3.0263818356765202</v>
      </c>
      <c r="AV3120" s="13"/>
      <c r="AW3120" s="13"/>
      <c r="AX3120" s="13"/>
      <c r="AY3120" s="13"/>
    </row>
    <row r="3121" spans="1:51" x14ac:dyDescent="0.25">
      <c r="A3121" t="s">
        <v>3699</v>
      </c>
      <c r="B3121" s="2" t="str">
        <f t="shared" si="2447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2518"/>
        <v>o</v>
      </c>
      <c r="N3121" t="str">
        <f t="shared" si="2519"/>
        <v>9/2</v>
      </c>
      <c r="O3121">
        <v>100321.12</v>
      </c>
      <c r="P3121" t="str">
        <f t="shared" si="2520"/>
        <v>e</v>
      </c>
      <c r="Q3121" t="str">
        <f t="shared" si="2521"/>
        <v>9/2</v>
      </c>
      <c r="R3121">
        <v>30</v>
      </c>
      <c r="AA3121" s="10">
        <f t="shared" si="2455"/>
        <v>2565.6950000000002</v>
      </c>
      <c r="AB3121" s="3">
        <f t="shared" si="2456"/>
        <v>38964.120000000003</v>
      </c>
      <c r="AC3121" s="3" cm="1">
        <f t="array" ref="AC3121">100000000/LvacE(AA3121)</f>
        <v>38964.115849701186</v>
      </c>
      <c r="AD3121" s="10">
        <f t="shared" si="2457"/>
        <v>1.2593286779937051E-2</v>
      </c>
      <c r="AE3121" s="10" t="b">
        <f t="shared" si="2458"/>
        <v>1</v>
      </c>
      <c r="AJ3121" t="s">
        <v>4903</v>
      </c>
      <c r="AK3121" t="s">
        <v>4841</v>
      </c>
      <c r="AL3121">
        <v>61357.04</v>
      </c>
      <c r="AM3121">
        <v>100321.12</v>
      </c>
      <c r="AN3121" s="10" cm="1">
        <f t="array" ref="AN3121">Lair(100000000/($AM3121-$AL3121))</f>
        <v>2565.6973605826879</v>
      </c>
      <c r="AO3121" s="10">
        <f t="shared" si="2522"/>
        <v>2566.4663454135198</v>
      </c>
      <c r="AP3121" s="12">
        <v>823000000</v>
      </c>
      <c r="AQ3121" s="3">
        <v>0.39800000000000002</v>
      </c>
      <c r="AR3121" s="3">
        <f t="shared" ref="AR3121:AR3123" si="2524">LN(AU3121*100000000/($AM3121-$AL3121)/AP3121)</f>
        <v>-11.570507365731562</v>
      </c>
      <c r="AS3121" s="13">
        <f t="shared" si="2523"/>
        <v>15.235404427627214</v>
      </c>
      <c r="AT3121" s="3">
        <f t="shared" ref="AT3121:AT3123" si="2525">LN(AS3121/$C3121)</f>
        <v>2.7236219580405177</v>
      </c>
      <c r="AU3121" s="13" cm="1">
        <f t="array" ref="AU3121">$C3121*EXP(poly_from_str(100000000/$E3121,AU$4343))</f>
        <v>3.0273090542651824</v>
      </c>
      <c r="AV3121" s="13">
        <f t="shared" ref="AV3121:AV3123" si="2526">LN(AS3121/AU3121)</f>
        <v>1.615947834017071</v>
      </c>
      <c r="AW3121" s="13"/>
      <c r="AX3121" s="13"/>
      <c r="AY3121" s="13"/>
    </row>
    <row r="3122" spans="1:51" x14ac:dyDescent="0.25">
      <c r="A3122" t="s">
        <v>3700</v>
      </c>
      <c r="B3122" s="2" t="str">
        <f t="shared" si="2447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2518"/>
        <v>e</v>
      </c>
      <c r="N3122" t="str">
        <f t="shared" si="2519"/>
        <v>9/2</v>
      </c>
      <c r="O3122">
        <v>68801.67</v>
      </c>
      <c r="P3122" t="str">
        <f t="shared" si="2520"/>
        <v>o</v>
      </c>
      <c r="Q3122" t="str">
        <f t="shared" si="2521"/>
        <v>7/2</v>
      </c>
      <c r="R3122">
        <v>30</v>
      </c>
      <c r="AA3122" s="10">
        <f t="shared" si="2455"/>
        <v>2565.5320000000002</v>
      </c>
      <c r="AB3122" s="3">
        <f t="shared" si="2456"/>
        <v>38966.589999999997</v>
      </c>
      <c r="AC3122" s="3" cm="1">
        <f t="array" ref="AC3122">100000000/LvacE(AA3122)</f>
        <v>38966.59125994068</v>
      </c>
      <c r="AD3122" s="10">
        <f t="shared" si="2457"/>
        <v>1.2594251652277321E-2</v>
      </c>
      <c r="AE3122" s="10" t="b">
        <f t="shared" si="2458"/>
        <v>1</v>
      </c>
      <c r="AJ3122" t="s">
        <v>4697</v>
      </c>
      <c r="AK3122" t="s">
        <v>4857</v>
      </c>
      <c r="AL3122">
        <v>29835.09</v>
      </c>
      <c r="AM3122">
        <v>68801.67</v>
      </c>
      <c r="AN3122" s="10" cm="1">
        <f t="array" ref="AN3122">Lair(100000000/($AM3122-$AL3122))</f>
        <v>2565.5327412079</v>
      </c>
      <c r="AO3122" s="10">
        <f t="shared" si="2522"/>
        <v>2566.301687240707</v>
      </c>
      <c r="AP3122" s="12">
        <v>97300000</v>
      </c>
      <c r="AQ3122" s="3">
        <v>8.3000000000000004E-2</v>
      </c>
      <c r="AR3122" s="3">
        <f t="shared" si="2524"/>
        <v>-7.3554821991671142</v>
      </c>
      <c r="AS3122" s="13">
        <f t="shared" si="2523"/>
        <v>19.181792119444196</v>
      </c>
      <c r="AT3122" s="3">
        <f t="shared" si="2525"/>
        <v>0.8745199602949757</v>
      </c>
      <c r="AU3122" s="13" cm="1">
        <f t="array" ref="AU3122">$C3122*EXP(poly_from_str(100000000/$E3122,AU$4343))</f>
        <v>24.230356277503642</v>
      </c>
      <c r="AV3122" s="13">
        <f t="shared" si="2526"/>
        <v>-0.23364473672833669</v>
      </c>
      <c r="AW3122" s="13"/>
      <c r="AX3122" s="13"/>
      <c r="AY3122" s="13"/>
    </row>
    <row r="3123" spans="1:51" x14ac:dyDescent="0.25">
      <c r="A3123" t="s">
        <v>3701</v>
      </c>
      <c r="B3123" s="2" t="str">
        <f t="shared" si="2447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2518"/>
        <v>e</v>
      </c>
      <c r="N3123" t="str">
        <f t="shared" si="2519"/>
        <v>11/2</v>
      </c>
      <c r="O3123">
        <v>75640</v>
      </c>
      <c r="P3123" t="str">
        <f t="shared" si="2520"/>
        <v>o</v>
      </c>
      <c r="Q3123" t="str">
        <f t="shared" si="2521"/>
        <v>11/2</v>
      </c>
      <c r="R3123">
        <v>30</v>
      </c>
      <c r="AA3123" s="10">
        <f t="shared" si="2455"/>
        <v>2565.346</v>
      </c>
      <c r="AB3123" s="3">
        <f t="shared" si="2456"/>
        <v>38969.42</v>
      </c>
      <c r="AC3123" s="3" cm="1">
        <f t="array" ref="AC3123">100000000/LvacE(AA3123)</f>
        <v>38969.416345432503</v>
      </c>
      <c r="AD3123" s="10">
        <f t="shared" si="2457"/>
        <v>1.2595352896925503E-2</v>
      </c>
      <c r="AE3123" s="10" t="b">
        <f t="shared" si="2458"/>
        <v>1</v>
      </c>
      <c r="AJ3123" t="s">
        <v>4772</v>
      </c>
      <c r="AK3123" t="s">
        <v>4938</v>
      </c>
      <c r="AL3123">
        <v>36670.57</v>
      </c>
      <c r="AM3123">
        <v>75640</v>
      </c>
      <c r="AN3123" s="10" cm="1">
        <f t="array" ref="AN3123">Lair(100000000/($AM3123-$AL3123))</f>
        <v>2565.3451008832899</v>
      </c>
      <c r="AO3123" s="10">
        <f t="shared" si="2522"/>
        <v>2566.1140026939065</v>
      </c>
      <c r="AP3123" s="12">
        <v>43200000</v>
      </c>
      <c r="AQ3123" s="3">
        <v>0.152</v>
      </c>
      <c r="AR3123" s="3">
        <f t="shared" si="2524"/>
        <v>-8.6224774458494551</v>
      </c>
      <c r="AS3123" s="13">
        <f t="shared" si="2523"/>
        <v>5.0981699165533145</v>
      </c>
      <c r="AT3123" s="3">
        <f t="shared" si="2525"/>
        <v>1.628881635440333</v>
      </c>
      <c r="AU3123" s="13" cm="1">
        <f t="array" ref="AU3123">$C3123*EXP(poly_from_str(100000000/$E3123,AU$4343))</f>
        <v>3.0304939771697574</v>
      </c>
      <c r="AV3123" s="13">
        <f t="shared" si="2526"/>
        <v>0.520156000437904</v>
      </c>
      <c r="AW3123" s="13"/>
      <c r="AX3123" s="13"/>
      <c r="AY3123" s="13"/>
    </row>
    <row r="3124" spans="1:51" x14ac:dyDescent="0.25">
      <c r="A3124" t="s">
        <v>3702</v>
      </c>
      <c r="B3124" s="2" t="str">
        <f t="shared" si="2447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2455"/>
        <v>2565.0010000000002</v>
      </c>
      <c r="AB3124" s="3">
        <f t="shared" si="2456"/>
        <v>38974.660000000003</v>
      </c>
      <c r="AC3124" s="3" cm="1">
        <f t="array" ref="AC3124">100000000/LvacE(AA3124)</f>
        <v>38974.657508016375</v>
      </c>
      <c r="AD3124" s="10">
        <f t="shared" si="2457"/>
        <v>1.259739616242184E-2</v>
      </c>
      <c r="AE3124" s="10" t="b">
        <f t="shared" si="2458"/>
        <v>1</v>
      </c>
      <c r="AP3124"/>
      <c r="AQ3124"/>
      <c r="AU3124" s="13" cm="1">
        <f t="array" ref="AU3124">$C3124*EXP(poly_from_str(100000000/$E3124,AU$4343))</f>
        <v>3.0336334796923614</v>
      </c>
    </row>
    <row r="3125" spans="1:51" x14ac:dyDescent="0.25">
      <c r="A3125" t="s">
        <v>3703</v>
      </c>
      <c r="B3125" s="2" t="str">
        <f t="shared" si="2447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2455"/>
        <v>2564.509</v>
      </c>
      <c r="AB3125" s="3">
        <f t="shared" si="2456"/>
        <v>38982.129999999997</v>
      </c>
      <c r="AC3125" s="3" cm="1">
        <f t="array" ref="AC3125">100000000/LvacE(AA3125)</f>
        <v>38982.134300783502</v>
      </c>
      <c r="AD3125" s="10">
        <f t="shared" si="2457"/>
        <v>1.2600311463282738E-2</v>
      </c>
      <c r="AE3125" s="10" t="b">
        <f t="shared" si="2458"/>
        <v>1</v>
      </c>
      <c r="AJ3125" t="s">
        <v>4833</v>
      </c>
      <c r="AK3125" t="s">
        <v>4853</v>
      </c>
      <c r="AL3125">
        <v>65922.42</v>
      </c>
      <c r="AM3125">
        <v>104904.55</v>
      </c>
      <c r="AN3125" s="10" cm="1">
        <f t="array" ref="AN3125">Lair(100000000/($AM3125-$AL3125))</f>
        <v>2564.5092827835811</v>
      </c>
      <c r="AO3125" s="10">
        <f>100000000/($AM3125-$AL3125)</f>
        <v>2565.2779876317686</v>
      </c>
      <c r="AU3125" s="13" cm="1">
        <f t="array" ref="AU3125">$C3125*EXP(poly_from_str(100000000/$E3125,AU$4343))</f>
        <v>12.152371993124923</v>
      </c>
    </row>
    <row r="3126" spans="1:51" x14ac:dyDescent="0.25">
      <c r="A3126" t="s">
        <v>3704</v>
      </c>
      <c r="B3126" s="2" t="str">
        <f t="shared" si="2447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2455"/>
        <v>2564.0419999999999</v>
      </c>
      <c r="AB3126" s="3">
        <f t="shared" si="2456"/>
        <v>38989.230000000003</v>
      </c>
      <c r="AC3126" s="3" cm="1">
        <f t="array" ref="AC3126">100000000/LvacE(AA3126)</f>
        <v>38989.233829259952</v>
      </c>
      <c r="AD3126" s="10">
        <f t="shared" si="2457"/>
        <v>1.2603080181459577E-2</v>
      </c>
      <c r="AE3126" s="10" t="b">
        <f t="shared" si="2458"/>
        <v>1</v>
      </c>
      <c r="AP3126"/>
      <c r="AQ3126"/>
      <c r="AU3126" s="13" cm="1">
        <f t="array" ref="AU3126">$C3126*EXP(poly_from_str(100000000/$E3126,AU$4343))</f>
        <v>6.0846283121847273</v>
      </c>
    </row>
    <row r="3127" spans="1:51" x14ac:dyDescent="0.25">
      <c r="A3127" t="s">
        <v>3705</v>
      </c>
      <c r="B3127" s="2" t="str">
        <f t="shared" si="2447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2527">$G3127&amp;""</f>
        <v>e</v>
      </c>
      <c r="N3127" t="str">
        <f t="shared" ref="N3127:N3132" si="2528">$H3127&amp;""</f>
        <v>7/2</v>
      </c>
      <c r="O3127">
        <v>64401.03</v>
      </c>
      <c r="P3127" t="str">
        <f t="shared" ref="P3127:P3132" si="2529">$J3127&amp;""</f>
        <v>o</v>
      </c>
      <c r="Q3127" t="str">
        <f t="shared" ref="Q3127:Q3132" si="2530">$K3127&amp;""</f>
        <v>5/2</v>
      </c>
      <c r="R3127">
        <v>30</v>
      </c>
      <c r="AA3127" s="10">
        <f t="shared" si="2455"/>
        <v>2563.904</v>
      </c>
      <c r="AB3127" s="3">
        <f t="shared" si="2456"/>
        <v>38991.33</v>
      </c>
      <c r="AC3127" s="3" cm="1">
        <f t="array" ref="AC3127">100000000/LvacE(AA3127)</f>
        <v>38991.332257713715</v>
      </c>
      <c r="AD3127" s="10">
        <f t="shared" si="2457"/>
        <v>1.2603898636164559E-2</v>
      </c>
      <c r="AE3127" s="10" t="b">
        <f t="shared" si="2458"/>
        <v>1</v>
      </c>
      <c r="AJ3127" t="s">
        <v>4720</v>
      </c>
      <c r="AK3127" t="s">
        <v>4837</v>
      </c>
      <c r="AL3127">
        <v>25409.74</v>
      </c>
      <c r="AM3127">
        <v>64401.03</v>
      </c>
      <c r="AN3127" s="10" cm="1">
        <f t="array" ref="AN3127">Lair(100000000/($AM3127-$AL3127))</f>
        <v>2563.9067787092572</v>
      </c>
      <c r="AO3127" s="10">
        <f t="shared" ref="AO3127:AO3132" si="2531">100000000/($AM3127-$AL3127)</f>
        <v>2564.6753415955209</v>
      </c>
      <c r="AP3127" s="12">
        <v>14900000</v>
      </c>
      <c r="AQ3127" s="3">
        <v>2.4E-2</v>
      </c>
      <c r="AR3127" s="3"/>
      <c r="AS3127" s="13">
        <f t="shared" ref="AS3127:AS3128" si="2532">EXP(AR$4341*$AM3127+AR$4342)*$AP3127/(100000000/($AM3127-$AL3127))</f>
        <v>4.0894538630357822</v>
      </c>
      <c r="AT3127" s="3"/>
      <c r="AU3127" s="13" cm="1">
        <f t="array" ref="AU3127">$C3127*EXP(poly_from_str(100000000/$E3127,AU$4343))</f>
        <v>6.0871188191522094</v>
      </c>
      <c r="AV3127" s="13"/>
      <c r="AW3127" s="13"/>
      <c r="AX3127" s="13"/>
      <c r="AY3127" s="13"/>
    </row>
    <row r="3128" spans="1:51" x14ac:dyDescent="0.25">
      <c r="A3128" t="s">
        <v>3706</v>
      </c>
      <c r="B3128" s="2" t="str">
        <f t="shared" si="2447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2527"/>
        <v>e</v>
      </c>
      <c r="N3128" t="str">
        <f t="shared" si="2528"/>
        <v>13/2</v>
      </c>
      <c r="O3128">
        <v>75640</v>
      </c>
      <c r="P3128" t="str">
        <f t="shared" si="2529"/>
        <v>o</v>
      </c>
      <c r="Q3128" t="str">
        <f t="shared" si="2530"/>
        <v>11/2</v>
      </c>
      <c r="R3128">
        <v>30</v>
      </c>
      <c r="AA3128" s="10">
        <f t="shared" si="2455"/>
        <v>2563.4740000000002</v>
      </c>
      <c r="AB3128" s="3">
        <f t="shared" si="2456"/>
        <v>38997.870000000003</v>
      </c>
      <c r="AC3128" s="3" cm="1">
        <f t="array" ref="AC3128">100000000/LvacE(AA3128)</f>
        <v>38997.872287732462</v>
      </c>
      <c r="AD3128" s="10">
        <f t="shared" si="2457"/>
        <v>1.2606449741197387E-2</v>
      </c>
      <c r="AE3128" s="10" t="b">
        <f t="shared" si="2458"/>
        <v>1</v>
      </c>
      <c r="AJ3128" t="s">
        <v>4793</v>
      </c>
      <c r="AK3128" t="s">
        <v>4938</v>
      </c>
      <c r="AL3128">
        <v>36642.129999999997</v>
      </c>
      <c r="AM3128">
        <v>75640</v>
      </c>
      <c r="AN3128" s="10" cm="1">
        <f t="array" ref="AN3128">Lair(100000000/($AM3128-$AL3128))</f>
        <v>2563.4741502385127</v>
      </c>
      <c r="AO3128" s="10">
        <f t="shared" si="2531"/>
        <v>2564.2426111990217</v>
      </c>
      <c r="AP3128" s="12">
        <v>427000000</v>
      </c>
      <c r="AQ3128" s="3">
        <v>0.38400000000000001</v>
      </c>
      <c r="AR3128" s="3">
        <f>LN(AU3128*100000000/($AM3128-$AL3128)/AP3128)</f>
        <v>-8.9626680395614766</v>
      </c>
      <c r="AS3128" s="13">
        <f t="shared" si="2532"/>
        <v>50.428409159104277</v>
      </c>
      <c r="AT3128" s="3">
        <f t="shared" ref="AT3128" si="2533">LN(AS3128/$C3128)</f>
        <v>1.9746445410093625</v>
      </c>
      <c r="AU3128" s="13" cm="1">
        <f t="array" ref="AU3128">$C3128*EXP(poly_from_str(100000000/$E3128,AU$4343))</f>
        <v>21.331995801359277</v>
      </c>
      <c r="AV3128" s="13">
        <f>LN(AS3128/AU3128)</f>
        <v>0.86034659414992487</v>
      </c>
      <c r="AW3128" s="13"/>
      <c r="AX3128" s="13"/>
      <c r="AY3128" s="13"/>
    </row>
    <row r="3129" spans="1:51" x14ac:dyDescent="0.25">
      <c r="A3129" t="s">
        <v>3707</v>
      </c>
      <c r="B3129" s="2" t="str">
        <f t="shared" si="2447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2527"/>
        <v>o</v>
      </c>
      <c r="N3129" t="str">
        <f t="shared" si="2528"/>
        <v>9/2</v>
      </c>
      <c r="O3129">
        <v>102617.24</v>
      </c>
      <c r="P3129" t="str">
        <f t="shared" si="2529"/>
        <v>e</v>
      </c>
      <c r="Q3129" t="str">
        <f t="shared" si="2530"/>
        <v>11/2</v>
      </c>
      <c r="R3129">
        <v>30</v>
      </c>
      <c r="AA3129" s="10">
        <f t="shared" si="2455"/>
        <v>2561.7730000000001</v>
      </c>
      <c r="AB3129" s="3">
        <f t="shared" si="2456"/>
        <v>39023.760000000002</v>
      </c>
      <c r="AC3129" s="3" cm="1">
        <f t="array" ref="AC3129">100000000/LvacE(AA3129)</f>
        <v>39023.764947905947</v>
      </c>
      <c r="AD3129" s="10">
        <f t="shared" si="2457"/>
        <v>1.2616554032676967E-2</v>
      </c>
      <c r="AE3129" s="10" t="b">
        <f t="shared" si="2458"/>
        <v>1</v>
      </c>
      <c r="AJ3129" t="s">
        <v>4840</v>
      </c>
      <c r="AK3129" t="s">
        <v>4845</v>
      </c>
      <c r="AL3129">
        <v>63593.35</v>
      </c>
      <c r="AM3129">
        <v>102617.24</v>
      </c>
      <c r="AN3129" s="10" cm="1">
        <f t="array" ref="AN3129">Lair(100000000/($AM3129-$AL3129))</f>
        <v>2561.7647901439386</v>
      </c>
      <c r="AO3129" s="10">
        <f t="shared" si="2531"/>
        <v>2562.5328484679508</v>
      </c>
      <c r="AU3129" s="13" cm="1">
        <f t="array" ref="AU3129">$C3129*EXP(poly_from_str(100000000/$E3129,AU$4343))</f>
        <v>18.375610058988936</v>
      </c>
    </row>
    <row r="3130" spans="1:51" x14ac:dyDescent="0.25">
      <c r="A3130" t="s">
        <v>3708</v>
      </c>
      <c r="B3130" s="2" t="str">
        <f t="shared" si="2447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2527"/>
        <v>e</v>
      </c>
      <c r="N3130" t="str">
        <f t="shared" si="2528"/>
        <v>3/2</v>
      </c>
      <c r="O3130">
        <v>67965.47</v>
      </c>
      <c r="P3130" t="str">
        <f t="shared" si="2529"/>
        <v>o</v>
      </c>
      <c r="Q3130" t="str">
        <f t="shared" si="2530"/>
        <v>3/2</v>
      </c>
      <c r="R3130">
        <v>30</v>
      </c>
      <c r="AA3130" s="10">
        <f t="shared" si="2455"/>
        <v>2561.4290000000001</v>
      </c>
      <c r="AB3130" s="3">
        <f t="shared" si="2456"/>
        <v>39029.01</v>
      </c>
      <c r="AC3130" s="3" cm="1">
        <f t="array" ref="AC3130">100000000/LvacE(AA3130)</f>
        <v>39029.005503744986</v>
      </c>
      <c r="AD3130" s="10">
        <f t="shared" si="2457"/>
        <v>1.2618599911171653E-2</v>
      </c>
      <c r="AE3130" s="10" t="b">
        <f t="shared" si="2458"/>
        <v>1</v>
      </c>
      <c r="AJ3130" t="s">
        <v>4801</v>
      </c>
      <c r="AK3130" t="s">
        <v>4835</v>
      </c>
      <c r="AL3130">
        <v>28936.46</v>
      </c>
      <c r="AM3130">
        <v>67965.47</v>
      </c>
      <c r="AN3130" s="10" cm="1">
        <f t="array" ref="AN3130">Lair(100000000/($AM3130-$AL3130))</f>
        <v>2561.4287047784942</v>
      </c>
      <c r="AO3130" s="10">
        <f t="shared" si="2531"/>
        <v>2562.1966839538077</v>
      </c>
      <c r="AP3130" s="12">
        <v>29900000</v>
      </c>
      <c r="AQ3130" s="3">
        <v>0.111</v>
      </c>
      <c r="AR3130" s="3">
        <f>LN(AU3130*100000000/($AM3130-$AL3130)/AP3130)</f>
        <v>-6.8581943829607646</v>
      </c>
      <c r="AS3130" s="13">
        <f t="shared" ref="AS3130:AS3131" si="2534">EXP(AR$4341*$AM3130+AR$4342)*$AP3130/(100000000/($AM3130-$AL3130))</f>
        <v>6.2863206916239847</v>
      </c>
      <c r="AT3130" s="3">
        <f t="shared" ref="AT3130" si="2535">LN(AS3130/$C3130)</f>
        <v>0.45208159275722437</v>
      </c>
      <c r="AU3130" s="13" cm="1">
        <f t="array" ref="AU3130">$C3130*EXP(poly_from_str(100000000/$E3130,AU$4343))</f>
        <v>12.262605228710168</v>
      </c>
      <c r="AV3130" s="13">
        <f>LN(AS3130/AU3130)</f>
        <v>-0.66817845231986439</v>
      </c>
      <c r="AW3130" s="13"/>
      <c r="AX3130" s="13"/>
      <c r="AY3130" s="13"/>
    </row>
    <row r="3131" spans="1:51" x14ac:dyDescent="0.25">
      <c r="A3131" t="s">
        <v>3709</v>
      </c>
      <c r="B3131" s="2">
        <f t="shared" si="2447"/>
        <v>1</v>
      </c>
      <c r="C3131">
        <v>1</v>
      </c>
      <c r="D3131" t="s">
        <v>3264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2527"/>
        <v>e</v>
      </c>
      <c r="N3131" t="str">
        <f t="shared" si="2528"/>
        <v>13/2</v>
      </c>
      <c r="O3131">
        <v>62678.7</v>
      </c>
      <c r="P3131" t="str">
        <f t="shared" si="2529"/>
        <v>o</v>
      </c>
      <c r="Q3131" t="str">
        <f t="shared" si="2530"/>
        <v>13/2</v>
      </c>
      <c r="R3131">
        <v>30</v>
      </c>
      <c r="AA3131" s="10">
        <f t="shared" si="2455"/>
        <v>2561.3029999999999</v>
      </c>
      <c r="AB3131" s="3">
        <f t="shared" si="2456"/>
        <v>39030.92</v>
      </c>
      <c r="AC3131" s="3" cm="1">
        <f t="array" ref="AC3131">100000000/LvacE(AA3131)</f>
        <v>39030.925361849651</v>
      </c>
      <c r="AD3131" s="10">
        <f t="shared" si="2457"/>
        <v>1.2619349479903326E-2</v>
      </c>
      <c r="AE3131" s="10" t="b">
        <f t="shared" si="2458"/>
        <v>1</v>
      </c>
      <c r="AJ3131" t="s">
        <v>4966</v>
      </c>
      <c r="AK3131" t="s">
        <v>4888</v>
      </c>
      <c r="AL3131">
        <v>23647.77</v>
      </c>
      <c r="AM3131">
        <v>62678.7</v>
      </c>
      <c r="AN3131" s="10" cm="1">
        <f t="array" ref="AN3131">Lair(100000000/($AM3131-$AL3131))</f>
        <v>2561.302695497498</v>
      </c>
      <c r="AO3131" s="10">
        <f t="shared" si="2531"/>
        <v>2562.0706449987233</v>
      </c>
      <c r="AP3131" s="12">
        <v>5370000</v>
      </c>
      <c r="AQ3131" s="3">
        <v>4.4999999999999998E-2</v>
      </c>
      <c r="AR3131" s="3"/>
      <c r="AS3131" s="13">
        <f t="shared" si="2534"/>
        <v>1.6789179922938284</v>
      </c>
      <c r="AT3131" s="3"/>
      <c r="AU3131" s="13" cm="1">
        <f t="array" ref="AU3131">$C3131*EXP(poly_from_str(100000000/$E3131,AU$4343))</f>
        <v>3.0667585160561734</v>
      </c>
      <c r="AV3131" s="13"/>
      <c r="AW3131" s="13"/>
      <c r="AX3131" s="13"/>
      <c r="AY3131" s="13"/>
    </row>
    <row r="3132" spans="1:51" x14ac:dyDescent="0.25">
      <c r="A3132" t="s">
        <v>3709</v>
      </c>
      <c r="B3132" s="2">
        <f t="shared" si="2447"/>
        <v>2</v>
      </c>
      <c r="C3132">
        <v>1</v>
      </c>
      <c r="D3132" t="s">
        <v>3264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2527"/>
        <v>o</v>
      </c>
      <c r="N3132" t="str">
        <f t="shared" si="2528"/>
        <v>3/2</v>
      </c>
      <c r="O3132">
        <v>48401.64</v>
      </c>
      <c r="P3132" t="str">
        <f t="shared" si="2529"/>
        <v>e</v>
      </c>
      <c r="Q3132" t="str">
        <f t="shared" si="2530"/>
        <v>3/2</v>
      </c>
      <c r="R3132">
        <v>30</v>
      </c>
      <c r="AA3132" s="10">
        <f t="shared" si="2455"/>
        <v>2561.3029999999999</v>
      </c>
      <c r="AB3132" s="3">
        <f t="shared" si="2456"/>
        <v>39030.92</v>
      </c>
      <c r="AC3132" s="3" cm="1">
        <f t="array" ref="AC3132">100000000/LvacE(AA3132)</f>
        <v>39030.925361849651</v>
      </c>
      <c r="AD3132" s="10">
        <f t="shared" si="2457"/>
        <v>1.2619349479903326E-2</v>
      </c>
      <c r="AE3132" s="10" t="b">
        <f t="shared" si="2458"/>
        <v>1</v>
      </c>
      <c r="AJ3132" t="s">
        <v>4967</v>
      </c>
      <c r="AK3132" t="s">
        <v>4945</v>
      </c>
      <c r="AL3132">
        <v>9370.66</v>
      </c>
      <c r="AM3132">
        <v>48401.64</v>
      </c>
      <c r="AN3132" s="10" cm="1">
        <f t="array" ref="AN3132">Lair(100000000/($AM3132-$AL3132))</f>
        <v>2561.2994141714212</v>
      </c>
      <c r="AO3132" s="10">
        <f t="shared" si="2531"/>
        <v>2562.0673628999325</v>
      </c>
      <c r="AU3132" s="13" cm="1">
        <f t="array" ref="AU3132">$C3132*EXP(poly_from_str(100000000/$E3132,AU$4343))</f>
        <v>3.0667585160561734</v>
      </c>
    </row>
    <row r="3133" spans="1:51" x14ac:dyDescent="0.25">
      <c r="A3133" t="s">
        <v>3710</v>
      </c>
      <c r="B3133" s="2" t="str">
        <f t="shared" si="2447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2455"/>
        <v>2560.4549999999999</v>
      </c>
      <c r="AB3133" s="3">
        <f t="shared" si="2456"/>
        <v>39043.85</v>
      </c>
      <c r="AC3133" s="3" cm="1">
        <f t="array" ref="AC3133">100000000/LvacE(AA3133)</f>
        <v>39043.851226175175</v>
      </c>
      <c r="AD3133" s="10">
        <f t="shared" si="2457"/>
        <v>1.2624397075163434E-2</v>
      </c>
      <c r="AE3133" s="10" t="b">
        <f t="shared" si="2458"/>
        <v>1</v>
      </c>
      <c r="AP3133"/>
      <c r="AQ3133"/>
      <c r="AU3133" s="13" cm="1">
        <f t="array" ref="AU3133">$C3133*EXP(poly_from_str(100000000/$E3133,AU$4343))</f>
        <v>15.371110288151</v>
      </c>
    </row>
    <row r="3134" spans="1:51" x14ac:dyDescent="0.25">
      <c r="A3134" t="s">
        <v>3711</v>
      </c>
      <c r="B3134" s="2" t="str">
        <f t="shared" si="2447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2536">$G3134&amp;""</f>
        <v>o</v>
      </c>
      <c r="N3134" t="str">
        <f t="shared" ref="N3134:N3136" si="2537">$H3134&amp;""</f>
        <v>13/2</v>
      </c>
      <c r="O3134">
        <v>105019.06</v>
      </c>
      <c r="P3134" t="str">
        <f t="shared" ref="P3134:P3136" si="2538">$J3134&amp;""</f>
        <v>e</v>
      </c>
      <c r="Q3134" t="str">
        <f t="shared" ref="Q3134:Q3136" si="2539">$K3134&amp;""</f>
        <v>13/2</v>
      </c>
      <c r="R3134">
        <v>30</v>
      </c>
      <c r="AA3134" s="10">
        <f t="shared" si="2455"/>
        <v>2559.9209999999998</v>
      </c>
      <c r="AB3134" s="3">
        <f t="shared" si="2456"/>
        <v>39051.99</v>
      </c>
      <c r="AC3134" s="3" cm="1">
        <f t="array" ref="AC3134">100000000/LvacE(AA3134)</f>
        <v>39051.995256165297</v>
      </c>
      <c r="AD3134" s="10">
        <f t="shared" si="2457"/>
        <v>1.2627578205765978E-2</v>
      </c>
      <c r="AE3134" s="10" t="b">
        <f t="shared" si="2458"/>
        <v>1</v>
      </c>
      <c r="AJ3134" t="s">
        <v>4935</v>
      </c>
      <c r="AK3134" t="s">
        <v>4855</v>
      </c>
      <c r="AL3134">
        <v>65967.149999999994</v>
      </c>
      <c r="AM3134">
        <v>105019.06</v>
      </c>
      <c r="AN3134" s="10" cm="1">
        <f t="array" ref="AN3134">Lair(100000000/($AM3134-$AL3134))</f>
        <v>2559.9265889572603</v>
      </c>
      <c r="AO3134" s="10">
        <f t="shared" ref="AO3134:AO3136" si="2540">100000000/($AM3134-$AL3134)</f>
        <v>2560.6942144443124</v>
      </c>
      <c r="AU3134" s="13" cm="1">
        <f t="array" ref="AU3134">$C3134*EXP(poly_from_str(100000000/$E3134,AU$4343))</f>
        <v>3.078892286344237</v>
      </c>
    </row>
    <row r="3135" spans="1:51" x14ac:dyDescent="0.25">
      <c r="A3135" t="s">
        <v>3712</v>
      </c>
      <c r="B3135" s="2" t="str">
        <f t="shared" si="2447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2536"/>
        <v>o</v>
      </c>
      <c r="N3135" t="str">
        <f t="shared" si="2537"/>
        <v>7/2</v>
      </c>
      <c r="O3135">
        <v>107854.46</v>
      </c>
      <c r="P3135" t="str">
        <f t="shared" si="2538"/>
        <v>e</v>
      </c>
      <c r="Q3135" t="str">
        <f t="shared" si="2539"/>
        <v>9/2</v>
      </c>
      <c r="R3135">
        <v>30</v>
      </c>
      <c r="AA3135" s="10">
        <f t="shared" si="2455"/>
        <v>2559.8649999999998</v>
      </c>
      <c r="AB3135" s="3">
        <f t="shared" si="2456"/>
        <v>39052.85</v>
      </c>
      <c r="AC3135" s="3" cm="1">
        <f t="array" ref="AC3135">100000000/LvacE(AA3135)</f>
        <v>39052.849508564141</v>
      </c>
      <c r="AD3135" s="10">
        <f t="shared" si="2457"/>
        <v>1.2627911922809239E-2</v>
      </c>
      <c r="AE3135" s="10" t="b">
        <f t="shared" si="2458"/>
        <v>1</v>
      </c>
      <c r="AJ3135" t="s">
        <v>4857</v>
      </c>
      <c r="AK3135" t="s">
        <v>4898</v>
      </c>
      <c r="AL3135">
        <v>68801.67</v>
      </c>
      <c r="AM3135">
        <v>107854.46</v>
      </c>
      <c r="AN3135" s="10" cm="1">
        <f t="array" ref="AN3135">Lair(100000000/($AM3135-$AL3135))</f>
        <v>2559.868900875942</v>
      </c>
      <c r="AO3135" s="10">
        <f t="shared" si="2540"/>
        <v>2560.6365127818008</v>
      </c>
      <c r="AP3135" s="12">
        <v>209000000</v>
      </c>
      <c r="AQ3135" s="3">
        <v>0.124</v>
      </c>
      <c r="AR3135" s="3">
        <f t="shared" ref="AR3135:AR3136" si="2541">LN(AU3135*100000000/($AM3135-$AL3135)/AP3135)</f>
        <v>-10.185103951189543</v>
      </c>
      <c r="AS3135" s="13">
        <f t="shared" ref="AS3135:AS3136" si="2542">EXP(AR$4341*$AM3135+AR$4342)*$AP3135/(100000000/($AM3135-$AL3135))</f>
        <v>2.2032231926481227</v>
      </c>
      <c r="AT3135" s="3">
        <f t="shared" ref="AT3135:AT3136" si="2543">LN(AS3135/$C3135)</f>
        <v>0.78992137573791932</v>
      </c>
      <c r="AU3135" s="13" cm="1">
        <f t="array" ref="AU3135">$C3135*EXP(poly_from_str(100000000/$E3135,AU$4343))</f>
        <v>3.0793844230549881</v>
      </c>
      <c r="AV3135" s="13">
        <f t="shared" ref="AV3135:AV3136" si="2544">LN(AS3135/AU3135)</f>
        <v>-0.33480833862787934</v>
      </c>
      <c r="AW3135" s="13"/>
      <c r="AX3135" s="13"/>
      <c r="AY3135" s="13"/>
    </row>
    <row r="3136" spans="1:51" x14ac:dyDescent="0.25">
      <c r="A3136" t="s">
        <v>3713</v>
      </c>
      <c r="B3136" s="2" t="str">
        <f t="shared" si="2447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2536"/>
        <v>o</v>
      </c>
      <c r="N3136" t="str">
        <f t="shared" si="2537"/>
        <v>7/2</v>
      </c>
      <c r="O3136">
        <v>102830.43</v>
      </c>
      <c r="P3136" t="str">
        <f t="shared" si="2538"/>
        <v>e</v>
      </c>
      <c r="Q3136" t="str">
        <f t="shared" si="2539"/>
        <v>9/2</v>
      </c>
      <c r="R3136">
        <v>30</v>
      </c>
      <c r="AA3136" s="10">
        <f t="shared" si="2455"/>
        <v>2559.277</v>
      </c>
      <c r="AB3136" s="3">
        <f t="shared" si="2456"/>
        <v>39061.82</v>
      </c>
      <c r="AC3136" s="3" cm="1">
        <f t="array" ref="AC3136">100000000/LvacE(AA3136)</f>
        <v>39061.821415539969</v>
      </c>
      <c r="AD3136" s="10">
        <f t="shared" si="2457"/>
        <v>1.2631417274398194E-2</v>
      </c>
      <c r="AE3136" s="10" t="b">
        <f t="shared" si="2458"/>
        <v>1</v>
      </c>
      <c r="AJ3136" t="s">
        <v>4850</v>
      </c>
      <c r="AK3136" t="s">
        <v>4866</v>
      </c>
      <c r="AL3136">
        <v>63768.66</v>
      </c>
      <c r="AM3136">
        <v>102830.43</v>
      </c>
      <c r="AN3136" s="10" cm="1">
        <f t="array" ref="AN3136">Lair(100000000/($AM3136-$AL3136))</f>
        <v>2559.2803688144832</v>
      </c>
      <c r="AO3136" s="10">
        <f t="shared" si="2540"/>
        <v>2560.0478421740754</v>
      </c>
      <c r="AP3136" s="12">
        <v>862000000</v>
      </c>
      <c r="AQ3136" s="3">
        <v>0.61</v>
      </c>
      <c r="AR3136" s="3">
        <f t="shared" si="2541"/>
        <v>-10.907446881717558</v>
      </c>
      <c r="AS3136" s="13">
        <f t="shared" si="2542"/>
        <v>13.251483205713464</v>
      </c>
      <c r="AT3136" s="3">
        <f t="shared" si="2543"/>
        <v>1.8909623056613121</v>
      </c>
      <c r="AU3136" s="13" cm="1">
        <f t="array" ref="AU3136">$C3136*EXP(poly_from_str(100000000/$E3136,AU$4343))</f>
        <v>6.1690059903158234</v>
      </c>
      <c r="AV3136" s="13">
        <f t="shared" si="2544"/>
        <v>0.76457176495907997</v>
      </c>
      <c r="AW3136" s="13"/>
      <c r="AX3136" s="13"/>
      <c r="AY3136" s="13"/>
    </row>
    <row r="3137" spans="1:51" x14ac:dyDescent="0.25">
      <c r="A3137" t="s">
        <v>3714</v>
      </c>
      <c r="B3137" s="2" t="str">
        <f t="shared" si="2447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2455"/>
        <v>2558.9940000000001</v>
      </c>
      <c r="AB3137" s="3">
        <f t="shared" si="2456"/>
        <v>39066.14</v>
      </c>
      <c r="AC3137" s="3" cm="1">
        <f t="array" ref="AC3137">100000000/LvacE(AA3137)</f>
        <v>39066.140996797818</v>
      </c>
      <c r="AD3137" s="10">
        <f t="shared" si="2457"/>
        <v>1.2633105235259991E-2</v>
      </c>
      <c r="AE3137" s="10" t="b">
        <f t="shared" si="2458"/>
        <v>1</v>
      </c>
      <c r="AP3137"/>
      <c r="AQ3137"/>
      <c r="AU3137" s="13" cm="1">
        <f t="array" ref="AU3137">$C3137*EXP(poly_from_str(100000000/$E3137,AU$4343))</f>
        <v>27.782628155235553</v>
      </c>
    </row>
    <row r="3138" spans="1:51" x14ac:dyDescent="0.25">
      <c r="A3138" t="s">
        <v>3715</v>
      </c>
      <c r="B3138" s="2" t="str">
        <f t="shared" ref="B3138:B3201" si="2545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2455"/>
        <v>2558.6750000000002</v>
      </c>
      <c r="AB3138" s="3">
        <f t="shared" si="2456"/>
        <v>39071.01</v>
      </c>
      <c r="AC3138" s="3" cm="1">
        <f t="array" ref="AC3138">100000000/LvacE(AA3138)</f>
        <v>39071.011210868237</v>
      </c>
      <c r="AD3138" s="10">
        <f t="shared" si="2457"/>
        <v>1.2635008590553359E-2</v>
      </c>
      <c r="AE3138" s="10" t="b">
        <f t="shared" si="2458"/>
        <v>1</v>
      </c>
      <c r="AJ3138" t="s">
        <v>4880</v>
      </c>
      <c r="AK3138" t="s">
        <v>4873</v>
      </c>
      <c r="AL3138">
        <v>61717.98</v>
      </c>
      <c r="AM3138">
        <v>100788.95</v>
      </c>
      <c r="AN3138" s="10" cm="1">
        <f t="array" ref="AN3138">Lair(100000000/($AM3138-$AL3138))</f>
        <v>2558.677698913672</v>
      </c>
      <c r="AO3138" s="10">
        <f>100000000/($AM3138-$AL3138)</f>
        <v>2559.4450304151655</v>
      </c>
      <c r="AP3138" s="12">
        <v>965000000</v>
      </c>
      <c r="AQ3138" s="3">
        <v>0.83799999999999997</v>
      </c>
      <c r="AR3138" s="3">
        <f>LN(AU3138*100000000/($AM3138-$AL3138)/AP3138)</f>
        <v>-10.102574651484852</v>
      </c>
      <c r="AS3138" s="13">
        <f>EXP(AR$4341*$AM3138+AR$4342)*$AP3138/(100000000/($AM3138-$AL3138))</f>
        <v>17.295118134678084</v>
      </c>
      <c r="AT3138" s="3">
        <f>LN(AS3138/$C3138)</f>
        <v>1.2409863604999651</v>
      </c>
      <c r="AU3138" s="13" cm="1">
        <f t="array" ref="AU3138">$C3138*EXP(poly_from_str(100000000/$E3138,AU$4343))</f>
        <v>15.448598370001195</v>
      </c>
      <c r="AV3138" s="13">
        <f>LN(AS3138/AU3138)</f>
        <v>0.1129059940939264</v>
      </c>
      <c r="AW3138" s="13"/>
      <c r="AX3138" s="13"/>
      <c r="AY3138" s="13"/>
    </row>
    <row r="3139" spans="1:51" x14ac:dyDescent="0.25">
      <c r="A3139" t="s">
        <v>3716</v>
      </c>
      <c r="B3139" s="2" t="str">
        <f t="shared" si="2545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2546">ROUND($A3139,3)+0</f>
        <v>2558.5369999999998</v>
      </c>
      <c r="AB3139" s="3">
        <f t="shared" ref="AB3139:AB3202" si="2547">ROUND($E3139,2)+0</f>
        <v>39073.120000000003</v>
      </c>
      <c r="AC3139" s="3" cm="1">
        <f t="array" ref="AC3139">100000000/LvacE(AA3139)</f>
        <v>39073.118450912298</v>
      </c>
      <c r="AD3139" s="10">
        <f t="shared" ref="AD3139:AD3202" si="2548">0.0005/$AA3139*AC3139+0.005</f>
        <v>1.2635832206239797E-2</v>
      </c>
      <c r="AE3139" s="10" t="b">
        <f t="shared" ref="AE3139:AE3202" si="2549">ABS(AB3139-AC3139)&lt;AD3139</f>
        <v>1</v>
      </c>
      <c r="AP3139"/>
      <c r="AQ3139"/>
      <c r="AU3139" s="13" cm="1">
        <f t="array" ref="AU3139">$C3139*EXP(poly_from_str(100000000/$E3139,AU$4343))</f>
        <v>12.36365400302102</v>
      </c>
    </row>
    <row r="3140" spans="1:51" x14ac:dyDescent="0.25">
      <c r="A3140" t="s">
        <v>3717</v>
      </c>
      <c r="B3140" s="2" t="str">
        <f t="shared" si="2545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2550">$G3140&amp;""</f>
        <v>o</v>
      </c>
      <c r="N3140" t="str">
        <f t="shared" ref="N3140:N3144" si="2551">$H3140&amp;""</f>
        <v>13/2</v>
      </c>
      <c r="O3140">
        <v>105049.72</v>
      </c>
      <c r="P3140" t="str">
        <f t="shared" ref="P3140:P3144" si="2552">$J3140&amp;""</f>
        <v>e</v>
      </c>
      <c r="Q3140" t="str">
        <f t="shared" ref="Q3140:Q3144" si="2553">$K3140&amp;""</f>
        <v>15/2</v>
      </c>
      <c r="R3140">
        <v>30</v>
      </c>
      <c r="AA3140" s="10">
        <f t="shared" si="2546"/>
        <v>2557.9160000000002</v>
      </c>
      <c r="AB3140" s="3">
        <f t="shared" si="2547"/>
        <v>39082.6</v>
      </c>
      <c r="AC3140" s="3" cm="1">
        <f t="array" ref="AC3140">100000000/LvacE(AA3140)</f>
        <v>39082.603844491918</v>
      </c>
      <c r="AD3140" s="10">
        <f t="shared" si="2548"/>
        <v>1.2639540126511566E-2</v>
      </c>
      <c r="AE3140" s="10" t="b">
        <f t="shared" si="2549"/>
        <v>1</v>
      </c>
      <c r="AJ3140" t="s">
        <v>4935</v>
      </c>
      <c r="AK3140" t="s">
        <v>4870</v>
      </c>
      <c r="AL3140">
        <v>65967.149999999994</v>
      </c>
      <c r="AM3140">
        <v>105049.72</v>
      </c>
      <c r="AN3140" s="10" cm="1">
        <f t="array" ref="AN3140">Lair(100000000/($AM3140-$AL3140))</f>
        <v>2557.9182151717209</v>
      </c>
      <c r="AO3140" s="10">
        <f t="shared" ref="AO3140:AO3144" si="2554">100000000/($AM3140-$AL3140)</f>
        <v>2558.6853679274413</v>
      </c>
      <c r="AU3140" s="13" cm="1">
        <f t="array" ref="AU3140">$C3140*EXP(poly_from_str(100000000/$E3140,AU$4343))</f>
        <v>3.096259268751119</v>
      </c>
    </row>
    <row r="3141" spans="1:51" x14ac:dyDescent="0.25">
      <c r="A3141" t="s">
        <v>3718</v>
      </c>
      <c r="B3141" s="2" t="str">
        <f t="shared" si="2545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2550"/>
        <v>e</v>
      </c>
      <c r="N3141" t="str">
        <f t="shared" si="2551"/>
        <v>11/2</v>
      </c>
      <c r="O3141">
        <v>75762.23</v>
      </c>
      <c r="P3141" t="str">
        <f t="shared" si="2552"/>
        <v>o</v>
      </c>
      <c r="Q3141" t="str">
        <f t="shared" si="2553"/>
        <v>9/2</v>
      </c>
      <c r="R3141">
        <v>30</v>
      </c>
      <c r="AA3141" s="10">
        <f t="shared" si="2546"/>
        <v>2557.3229999999999</v>
      </c>
      <c r="AB3141" s="3">
        <f t="shared" si="2547"/>
        <v>39091.67</v>
      </c>
      <c r="AC3141" s="3" cm="1">
        <f t="array" ref="AC3141">100000000/LvacE(AA3141)</f>
        <v>39091.665854572704</v>
      </c>
      <c r="AD3141" s="10">
        <f t="shared" si="2548"/>
        <v>1.2643083383399888E-2</v>
      </c>
      <c r="AE3141" s="10" t="b">
        <f t="shared" si="2549"/>
        <v>1</v>
      </c>
      <c r="AJ3141" t="s">
        <v>4772</v>
      </c>
      <c r="AK3141" t="s">
        <v>4932</v>
      </c>
      <c r="AL3141">
        <v>36670.57</v>
      </c>
      <c r="AM3141">
        <v>75762.23</v>
      </c>
      <c r="AN3141" s="10" cm="1">
        <f t="array" ref="AN3141">Lair(100000000/($AM3141-$AL3141))</f>
        <v>2557.3233829725668</v>
      </c>
      <c r="AO3141" s="10">
        <f t="shared" si="2554"/>
        <v>2558.0903957519331</v>
      </c>
      <c r="AP3141" s="12">
        <v>121000000</v>
      </c>
      <c r="AQ3141" s="3">
        <v>0.23499999999999999</v>
      </c>
      <c r="AR3141" s="3">
        <f>LN(AU3141*100000000/($AM3141-$AL3141)/AP3141)</f>
        <v>-8.5338361544756154</v>
      </c>
      <c r="AS3141" s="13">
        <f t="shared" ref="AS3141:AS3144" si="2555">EXP(AR$4341*$AM3141+AR$4342)*$AP3141/(100000000/($AM3141-$AL3141))</f>
        <v>14.193588843004752</v>
      </c>
      <c r="AT3141" s="3">
        <f t="shared" ref="AT3141:AT3144" si="2556">LN(AS3141/$C3141)</f>
        <v>1.5541780840575965</v>
      </c>
      <c r="AU3141" s="13" cm="1">
        <f t="array" ref="AU3141">$C3141*EXP(poly_from_str(100000000/$E3141,AU$4343))</f>
        <v>9.3040392062628676</v>
      </c>
      <c r="AV3141" s="13">
        <f>LN(AS3141/AU3141)</f>
        <v>0.42234174360346766</v>
      </c>
      <c r="AW3141" s="13"/>
      <c r="AX3141" s="13"/>
      <c r="AY3141" s="13"/>
    </row>
    <row r="3142" spans="1:51" x14ac:dyDescent="0.25">
      <c r="A3142" t="s">
        <v>3719</v>
      </c>
      <c r="B3142" s="2" t="str">
        <f t="shared" si="2545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2550"/>
        <v>e</v>
      </c>
      <c r="N3142" t="str">
        <f t="shared" si="2551"/>
        <v>11/2</v>
      </c>
      <c r="O3142">
        <v>62535.62</v>
      </c>
      <c r="P3142" t="str">
        <f t="shared" si="2552"/>
        <v>o</v>
      </c>
      <c r="Q3142" t="str">
        <f t="shared" si="2553"/>
        <v>9/2</v>
      </c>
      <c r="R3142">
        <v>30</v>
      </c>
      <c r="AA3142" s="10">
        <f t="shared" si="2546"/>
        <v>2557.2080000000001</v>
      </c>
      <c r="AB3142" s="3">
        <f t="shared" si="2547"/>
        <v>39093.42</v>
      </c>
      <c r="AC3142" s="3" cm="1">
        <f t="array" ref="AC3142">100000000/LvacE(AA3142)</f>
        <v>39093.423729198068</v>
      </c>
      <c r="AD3142" s="10">
        <f t="shared" si="2548"/>
        <v>1.2643770809648271E-2</v>
      </c>
      <c r="AE3142" s="10" t="b">
        <f t="shared" si="2549"/>
        <v>1</v>
      </c>
      <c r="AJ3142" t="s">
        <v>4782</v>
      </c>
      <c r="AK3142" t="s">
        <v>4839</v>
      </c>
      <c r="AL3142">
        <v>23442.25</v>
      </c>
      <c r="AM3142">
        <v>62535.62</v>
      </c>
      <c r="AN3142" s="10" cm="1">
        <f t="array" ref="AN3142">Lair(100000000/($AM3142-$AL3142))</f>
        <v>2557.211514757626</v>
      </c>
      <c r="AO3142" s="10">
        <f t="shared" si="2554"/>
        <v>2557.9785012138886</v>
      </c>
      <c r="AP3142" s="12">
        <v>3180000</v>
      </c>
      <c r="AQ3142" s="3">
        <v>1.6E-2</v>
      </c>
      <c r="AR3142" s="3"/>
      <c r="AS3142" s="13">
        <f t="shared" si="2555"/>
        <v>1.0065604169343745</v>
      </c>
      <c r="AT3142" s="3"/>
      <c r="AU3142" s="13" cm="1">
        <f t="array" ref="AU3142">$C3142*EXP(poly_from_str(100000000/$E3142,AU$4343))</f>
        <v>3.1023248534424384</v>
      </c>
      <c r="AV3142" s="13"/>
      <c r="AW3142" s="13"/>
      <c r="AX3142" s="13"/>
      <c r="AY3142" s="13"/>
    </row>
    <row r="3143" spans="1:51" x14ac:dyDescent="0.25">
      <c r="A3143" t="s">
        <v>3720</v>
      </c>
      <c r="B3143" s="2" t="str">
        <f t="shared" si="2545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2550"/>
        <v>o</v>
      </c>
      <c r="N3143" t="str">
        <f t="shared" si="2551"/>
        <v>9/2</v>
      </c>
      <c r="O3143">
        <v>103335.06</v>
      </c>
      <c r="P3143" t="str">
        <f t="shared" si="2552"/>
        <v>e</v>
      </c>
      <c r="Q3143" t="str">
        <f t="shared" si="2553"/>
        <v>9/2</v>
      </c>
      <c r="R3143">
        <v>30</v>
      </c>
      <c r="AA3143" s="10">
        <f t="shared" si="2546"/>
        <v>2556.8130000000001</v>
      </c>
      <c r="AB3143" s="3">
        <f t="shared" si="2547"/>
        <v>39099.46</v>
      </c>
      <c r="AC3143" s="3" cm="1">
        <f t="array" ref="AC3143">100000000/LvacE(AA3143)</f>
        <v>39099.462850606833</v>
      </c>
      <c r="AD3143" s="10">
        <f t="shared" si="2548"/>
        <v>1.2646132675836448E-2</v>
      </c>
      <c r="AE3143" s="10" t="b">
        <f t="shared" si="2549"/>
        <v>1</v>
      </c>
      <c r="AJ3143" t="s">
        <v>4842</v>
      </c>
      <c r="AK3143" t="s">
        <v>4890</v>
      </c>
      <c r="AL3143">
        <v>64235.61</v>
      </c>
      <c r="AM3143">
        <v>103335.06</v>
      </c>
      <c r="AN3143" s="10" cm="1">
        <f t="array" ref="AN3143">Lair(100000000/($AM3143-$AL3143))</f>
        <v>2556.8138403465323</v>
      </c>
      <c r="AO3143" s="10">
        <f t="shared" si="2554"/>
        <v>2557.5807332328204</v>
      </c>
      <c r="AP3143" s="12">
        <v>778000000</v>
      </c>
      <c r="AQ3143" s="3">
        <v>0.622</v>
      </c>
      <c r="AR3143" s="3">
        <f t="shared" ref="AR3143:AR3144" si="2557">LN(AU3143*100000000/($AM3143-$AL3143)/AP3143)</f>
        <v>-10.105888367341882</v>
      </c>
      <c r="AS3143" s="13">
        <f t="shared" si="2555"/>
        <v>11.526791879025334</v>
      </c>
      <c r="AT3143" s="3">
        <f t="shared" si="2556"/>
        <v>1.0583796932501335</v>
      </c>
      <c r="AU3143" s="13" cm="1">
        <f t="array" ref="AU3143">$C3143*EXP(poly_from_str(100000000/$E3143,AU$4343))</f>
        <v>12.422777096051629</v>
      </c>
      <c r="AV3143" s="13">
        <f t="shared" ref="AV3143:AV3144" si="2558">LN(AS3143/AU3143)</f>
        <v>-7.4857595856753625E-2</v>
      </c>
      <c r="AW3143" s="13"/>
      <c r="AX3143" s="13"/>
      <c r="AY3143" s="13"/>
    </row>
    <row r="3144" spans="1:51" x14ac:dyDescent="0.25">
      <c r="A3144" t="s">
        <v>3721</v>
      </c>
      <c r="B3144" s="2" t="str">
        <f t="shared" si="2545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2550"/>
        <v>o</v>
      </c>
      <c r="N3144" t="str">
        <f t="shared" si="2551"/>
        <v>9/2</v>
      </c>
      <c r="O3144">
        <v>101165.33</v>
      </c>
      <c r="P3144" t="str">
        <f t="shared" si="2552"/>
        <v>e</v>
      </c>
      <c r="Q3144" t="str">
        <f t="shared" si="2553"/>
        <v>11/2</v>
      </c>
      <c r="R3144">
        <v>30</v>
      </c>
      <c r="AA3144" s="10">
        <f t="shared" si="2546"/>
        <v>2556.605</v>
      </c>
      <c r="AB3144" s="3">
        <f t="shared" si="2547"/>
        <v>39102.639999999999</v>
      </c>
      <c r="AC3144" s="3" cm="1">
        <f t="array" ref="AC3144">100000000/LvacE(AA3144)</f>
        <v>39102.643694881837</v>
      </c>
      <c r="AD3144" s="10">
        <f t="shared" si="2548"/>
        <v>1.2647376832729703E-2</v>
      </c>
      <c r="AE3144" s="10" t="b">
        <f t="shared" si="2549"/>
        <v>1</v>
      </c>
      <c r="AJ3144" t="s">
        <v>4848</v>
      </c>
      <c r="AK3144" t="s">
        <v>4953</v>
      </c>
      <c r="AL3144">
        <v>62062.63</v>
      </c>
      <c r="AM3144">
        <v>101165.33</v>
      </c>
      <c r="AN3144" s="10" cm="1">
        <f t="array" ref="AN3144">Lair(100000000/($AM3144-$AL3144))</f>
        <v>2556.6013183935197</v>
      </c>
      <c r="AO3144" s="10">
        <f t="shared" si="2554"/>
        <v>2557.3681612778655</v>
      </c>
      <c r="AP3144" s="12">
        <v>1590000000</v>
      </c>
      <c r="AQ3144" s="3">
        <v>0.83</v>
      </c>
      <c r="AR3144" s="3">
        <f t="shared" si="2557"/>
        <v>-10.414699641849086</v>
      </c>
      <c r="AS3144" s="13">
        <f t="shared" si="2555"/>
        <v>27.725460693838297</v>
      </c>
      <c r="AT3144" s="3">
        <f t="shared" si="2556"/>
        <v>1.5305916804199453</v>
      </c>
      <c r="AU3144" s="13" cm="1">
        <f t="array" ref="AU3144">$C3144*EXP(poly_from_str(100000000/$E3144,AU$4343))</f>
        <v>18.644780942004381</v>
      </c>
      <c r="AV3144" s="13">
        <f t="shared" si="2558"/>
        <v>0.39678488497310105</v>
      </c>
      <c r="AW3144" s="13"/>
      <c r="AX3144" s="13"/>
      <c r="AY3144" s="13"/>
    </row>
    <row r="3145" spans="1:51" x14ac:dyDescent="0.25">
      <c r="A3145" t="s">
        <v>3722</v>
      </c>
      <c r="B3145" s="2" t="str">
        <f t="shared" si="2545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2546"/>
        <v>2556.4760000000001</v>
      </c>
      <c r="AB3145" s="3">
        <f t="shared" si="2547"/>
        <v>39104.620000000003</v>
      </c>
      <c r="AC3145" s="3" cm="1">
        <f t="array" ref="AC3145">100000000/LvacE(AA3145)</f>
        <v>39104.616690051174</v>
      </c>
      <c r="AD3145" s="10">
        <f t="shared" si="2548"/>
        <v>1.2648148601835333E-2</v>
      </c>
      <c r="AE3145" s="10" t="b">
        <f t="shared" si="2549"/>
        <v>1</v>
      </c>
      <c r="AP3145"/>
      <c r="AQ3145"/>
      <c r="AU3145" s="13" cm="1">
        <f t="array" ref="AU3145">$C3145*EXP(poly_from_str(100000000/$E3145,AU$4343))</f>
        <v>18.651380550985017</v>
      </c>
    </row>
    <row r="3146" spans="1:51" x14ac:dyDescent="0.25">
      <c r="A3146" t="s">
        <v>3723</v>
      </c>
      <c r="B3146" s="2" t="str">
        <f t="shared" si="2545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2559">$G3146&amp;""</f>
        <v>o</v>
      </c>
      <c r="N3146" t="str">
        <f t="shared" ref="N3146:N3149" si="2560">$H3146&amp;""</f>
        <v>9/2</v>
      </c>
      <c r="O3146">
        <v>103344.35</v>
      </c>
      <c r="P3146" t="str">
        <f t="shared" ref="P3146:P3149" si="2561">$J3146&amp;""</f>
        <v>e</v>
      </c>
      <c r="Q3146" t="str">
        <f t="shared" ref="Q3146:Q3149" si="2562">$K3146&amp;""</f>
        <v>11/2</v>
      </c>
      <c r="R3146">
        <v>30</v>
      </c>
      <c r="AA3146" s="10">
        <f t="shared" si="2546"/>
        <v>2556.21</v>
      </c>
      <c r="AB3146" s="3">
        <f t="shared" si="2547"/>
        <v>39108.69</v>
      </c>
      <c r="AC3146" s="3" cm="1">
        <f t="array" ref="AC3146">100000000/LvacE(AA3146)</f>
        <v>39108.685665265788</v>
      </c>
      <c r="AD3146" s="10">
        <f t="shared" si="2548"/>
        <v>1.2649740370561453E-2</v>
      </c>
      <c r="AE3146" s="10" t="b">
        <f t="shared" si="2549"/>
        <v>1</v>
      </c>
      <c r="AJ3146" t="s">
        <v>4842</v>
      </c>
      <c r="AK3146" t="s">
        <v>4904</v>
      </c>
      <c r="AL3146">
        <v>64235.61</v>
      </c>
      <c r="AM3146">
        <v>103344.35</v>
      </c>
      <c r="AN3146" s="10" cm="1">
        <f t="array" ref="AN3146">Lair(100000000/($AM3146-$AL3146))</f>
        <v>2556.2064483331033</v>
      </c>
      <c r="AO3146" s="10">
        <f t="shared" ref="AO3146:AO3149" si="2563">100000000/($AM3146-$AL3146)</f>
        <v>2556.9731983183297</v>
      </c>
      <c r="AP3146" s="12">
        <v>874000000</v>
      </c>
      <c r="AQ3146" s="3">
        <v>0.71099999999999997</v>
      </c>
      <c r="AR3146" s="3">
        <f t="shared" ref="AR3146:AR3147" si="2564">LN(AU3146*100000000/($AM3146-$AL3146)/AP3146)</f>
        <v>-10.220830585536046</v>
      </c>
      <c r="AS3146" s="13">
        <f t="shared" ref="AS3146:AS3149" si="2565">EXP(AR$4341*$AM3146+AR$4342)*$AP3146/(100000000/($AM3146-$AL3146))</f>
        <v>12.943170732438817</v>
      </c>
      <c r="AT3146" s="3">
        <f t="shared" ref="AT3146:AT3149" si="2566">LN(AS3146/$C3146)</f>
        <v>1.1742739313558437</v>
      </c>
      <c r="AU3146" s="13" cm="1">
        <f t="array" ref="AU3146">$C3146*EXP(poly_from_str(100000000/$E3146,AU$4343))</f>
        <v>12.443281697082071</v>
      </c>
      <c r="AV3146" s="13">
        <f t="shared" ref="AV3146:AV3147" si="2567">LN(AS3146/AU3146)</f>
        <v>3.938743793809104E-2</v>
      </c>
      <c r="AW3146" s="13"/>
      <c r="AX3146" s="13"/>
      <c r="AY3146" s="13"/>
    </row>
    <row r="3147" spans="1:51" x14ac:dyDescent="0.25">
      <c r="A3147" t="s">
        <v>3724</v>
      </c>
      <c r="B3147" s="2" t="str">
        <f t="shared" si="2545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2559"/>
        <v>e</v>
      </c>
      <c r="N3147" t="str">
        <f t="shared" si="2560"/>
        <v>11/2</v>
      </c>
      <c r="O3147">
        <v>62558.67</v>
      </c>
      <c r="P3147" t="str">
        <f t="shared" si="2561"/>
        <v>o</v>
      </c>
      <c r="Q3147" t="str">
        <f t="shared" si="2562"/>
        <v>11/2</v>
      </c>
      <c r="R3147">
        <v>30</v>
      </c>
      <c r="AA3147" s="10">
        <f t="shared" si="2546"/>
        <v>2555.703</v>
      </c>
      <c r="AB3147" s="3">
        <f t="shared" si="2547"/>
        <v>39116.44</v>
      </c>
      <c r="AC3147" s="3" cm="1">
        <f t="array" ref="AC3147">100000000/LvacE(AA3147)</f>
        <v>39116.443538666324</v>
      </c>
      <c r="AD3147" s="10">
        <f t="shared" si="2548"/>
        <v>1.2652775682202966E-2</v>
      </c>
      <c r="AE3147" s="10" t="b">
        <f t="shared" si="2549"/>
        <v>1</v>
      </c>
      <c r="AJ3147" t="s">
        <v>4782</v>
      </c>
      <c r="AK3147" t="s">
        <v>4821</v>
      </c>
      <c r="AL3147">
        <v>23442.25</v>
      </c>
      <c r="AM3147">
        <v>62558.67</v>
      </c>
      <c r="AN3147" s="10" cm="1">
        <f t="array" ref="AN3147">Lair(100000000/($AM3147-$AL3147))</f>
        <v>2555.7045379940837</v>
      </c>
      <c r="AO3147" s="10">
        <f t="shared" si="2563"/>
        <v>2556.4711699076756</v>
      </c>
      <c r="AP3147" s="12">
        <v>145000000</v>
      </c>
      <c r="AQ3147" s="3">
        <v>0.24199999999999999</v>
      </c>
      <c r="AR3147" s="3">
        <f t="shared" si="2564"/>
        <v>-7.6123742465118793</v>
      </c>
      <c r="AS3147" s="13">
        <f t="shared" si="2565"/>
        <v>45.844312681250457</v>
      </c>
      <c r="AT3147" s="3">
        <f t="shared" si="2566"/>
        <v>1.6280265718240194</v>
      </c>
      <c r="AU3147" s="13" cm="1">
        <f t="array" ref="AU3147">$C3147*EXP(poly_from_str(100000000/$E3147,AU$4343))</f>
        <v>28.035930413367566</v>
      </c>
      <c r="AV3147" s="13">
        <f t="shared" si="2567"/>
        <v>0.49176423257091179</v>
      </c>
      <c r="AW3147" s="13"/>
      <c r="AX3147" s="13"/>
      <c r="AY3147" s="13"/>
    </row>
    <row r="3148" spans="1:51" x14ac:dyDescent="0.25">
      <c r="A3148" t="s">
        <v>3725</v>
      </c>
      <c r="B3148" s="2">
        <f t="shared" si="2545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2559"/>
        <v>e</v>
      </c>
      <c r="N3148" t="str">
        <f t="shared" si="2560"/>
        <v>7/2</v>
      </c>
      <c r="O3148">
        <v>75762.23</v>
      </c>
      <c r="P3148" t="str">
        <f t="shared" si="2561"/>
        <v>o</v>
      </c>
      <c r="Q3148" t="str">
        <f t="shared" si="2562"/>
        <v>9/2</v>
      </c>
      <c r="R3148">
        <v>30</v>
      </c>
      <c r="AA3148" s="10">
        <f t="shared" si="2546"/>
        <v>2555.3530000000001</v>
      </c>
      <c r="AB3148" s="3">
        <f t="shared" si="2547"/>
        <v>39121.800000000003</v>
      </c>
      <c r="AC3148" s="3" cm="1">
        <f t="array" ref="AC3148">100000000/LvacE(AA3148)</f>
        <v>39121.800868459359</v>
      </c>
      <c r="AD3148" s="10">
        <f t="shared" si="2548"/>
        <v>1.2654872119127839E-2</v>
      </c>
      <c r="AE3148" s="10" t="b">
        <f t="shared" si="2549"/>
        <v>1</v>
      </c>
      <c r="AJ3148" t="s">
        <v>4805</v>
      </c>
      <c r="AK3148" t="s">
        <v>4932</v>
      </c>
      <c r="AL3148">
        <v>36640.379999999997</v>
      </c>
      <c r="AM3148">
        <v>75762.23</v>
      </c>
      <c r="AN3148" s="10" cm="1">
        <f t="array" ref="AN3148">Lair(100000000/($AM3148-$AL3148))</f>
        <v>2555.3497906108537</v>
      </c>
      <c r="AO3148" s="10">
        <f t="shared" si="2563"/>
        <v>2556.1163390790571</v>
      </c>
      <c r="AP3148" s="12">
        <v>132000</v>
      </c>
      <c r="AQ3148" s="3">
        <v>1E-3</v>
      </c>
      <c r="AR3148" s="3"/>
      <c r="AS3148" s="13">
        <f t="shared" si="2565"/>
        <v>1.5495873135396203E-2</v>
      </c>
      <c r="AT3148" s="3"/>
      <c r="AU3148" s="13" cm="1">
        <f t="array" ref="AU3148">$C3148*EXP(poly_from_str(100000000/$E3148,AU$4343))</f>
        <v>21.826379563579941</v>
      </c>
      <c r="AV3148" s="13"/>
      <c r="AW3148" s="13"/>
      <c r="AX3148" s="13"/>
      <c r="AY3148" s="13"/>
    </row>
    <row r="3149" spans="1:51" x14ac:dyDescent="0.25">
      <c r="A3149" t="s">
        <v>3725</v>
      </c>
      <c r="B3149" s="2">
        <f t="shared" si="2545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2559"/>
        <v>o</v>
      </c>
      <c r="N3149" t="str">
        <f t="shared" si="2560"/>
        <v>11/2</v>
      </c>
      <c r="O3149">
        <v>101680.38</v>
      </c>
      <c r="P3149" t="str">
        <f t="shared" si="2561"/>
        <v>e</v>
      </c>
      <c r="Q3149" t="str">
        <f t="shared" si="2562"/>
        <v>13/2</v>
      </c>
      <c r="R3149">
        <v>30</v>
      </c>
      <c r="AA3149" s="10">
        <f t="shared" si="2546"/>
        <v>2555.3530000000001</v>
      </c>
      <c r="AB3149" s="3">
        <f t="shared" si="2547"/>
        <v>39121.800000000003</v>
      </c>
      <c r="AC3149" s="3" cm="1">
        <f t="array" ref="AC3149">100000000/LvacE(AA3149)</f>
        <v>39121.800868459359</v>
      </c>
      <c r="AD3149" s="10">
        <f t="shared" si="2548"/>
        <v>1.2654872119127839E-2</v>
      </c>
      <c r="AE3149" s="10" t="b">
        <f t="shared" si="2549"/>
        <v>1</v>
      </c>
      <c r="AJ3149" t="s">
        <v>4821</v>
      </c>
      <c r="AK3149" t="s">
        <v>4942</v>
      </c>
      <c r="AL3149">
        <v>62558.67</v>
      </c>
      <c r="AM3149">
        <v>101680.38</v>
      </c>
      <c r="AN3149" s="10" cm="1">
        <f t="array" ref="AN3149">Lair(100000000/($AM3149-$AL3149))</f>
        <v>2555.3589357155388</v>
      </c>
      <c r="AO3149" s="10">
        <f t="shared" si="2563"/>
        <v>2556.1254863348249</v>
      </c>
      <c r="AP3149" s="12">
        <v>2950000000</v>
      </c>
      <c r="AQ3149" s="3">
        <v>0.747</v>
      </c>
      <c r="AR3149" s="3">
        <f>LN(AU3149*100000000/($AM3149-$AL3149)/AP3149)</f>
        <v>-10.875703788223447</v>
      </c>
      <c r="AS3149" s="13">
        <f t="shared" si="2565"/>
        <v>49.514002464431655</v>
      </c>
      <c r="AT3149" s="3">
        <f t="shared" si="2566"/>
        <v>1.9563453585862003</v>
      </c>
      <c r="AU3149" s="13" cm="1">
        <f t="array" ref="AU3149">$C3149*EXP(poly_from_str(100000000/$E3149,AU$4343))</f>
        <v>21.826379563579941</v>
      </c>
      <c r="AV3149" s="13">
        <f>LN(AS3149/AU3149)</f>
        <v>0.81913619766931844</v>
      </c>
      <c r="AW3149" s="13"/>
      <c r="AX3149" s="13"/>
      <c r="AY3149" s="13"/>
    </row>
    <row r="3150" spans="1:51" x14ac:dyDescent="0.25">
      <c r="A3150" t="s">
        <v>3726</v>
      </c>
      <c r="B3150" s="2" t="str">
        <f t="shared" si="2545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2546"/>
        <v>2555.203</v>
      </c>
      <c r="AB3150" s="3">
        <f t="shared" si="2547"/>
        <v>39124.1</v>
      </c>
      <c r="AC3150" s="3" cm="1">
        <f t="array" ref="AC3150">100000000/LvacE(AA3150)</f>
        <v>39124.097316165688</v>
      </c>
      <c r="AD3150" s="10">
        <f t="shared" si="2548"/>
        <v>1.2655770855811786E-2</v>
      </c>
      <c r="AE3150" s="10" t="b">
        <f t="shared" si="2549"/>
        <v>1</v>
      </c>
      <c r="AP3150"/>
      <c r="AQ3150"/>
      <c r="AU3150" s="13" cm="1">
        <f t="array" ref="AU3150">$C3150*EXP(poly_from_str(100000000/$E3150,AU$4343))</f>
        <v>6.2386352323913687</v>
      </c>
    </row>
    <row r="3151" spans="1:51" x14ac:dyDescent="0.25">
      <c r="A3151" t="s">
        <v>3727</v>
      </c>
      <c r="B3151" s="2" t="str">
        <f t="shared" si="2545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2546"/>
        <v>2555.1460000000002</v>
      </c>
      <c r="AB3151" s="3">
        <f t="shared" si="2547"/>
        <v>39124.97</v>
      </c>
      <c r="AC3151" s="3" cm="1">
        <f t="array" ref="AC3151">100000000/LvacE(AA3151)</f>
        <v>39124.970036981358</v>
      </c>
      <c r="AD3151" s="10">
        <f t="shared" si="2548"/>
        <v>1.2656112417251569E-2</v>
      </c>
      <c r="AE3151" s="10" t="b">
        <f t="shared" si="2549"/>
        <v>1</v>
      </c>
      <c r="AP3151"/>
      <c r="AQ3151"/>
      <c r="AU3151" s="13" cm="1">
        <f t="array" ref="AU3151">$C3151*EXP(poly_from_str(100000000/$E3151,AU$4343))</f>
        <v>3.1197950661844707</v>
      </c>
    </row>
    <row r="3152" spans="1:51" x14ac:dyDescent="0.25">
      <c r="A3152" t="s">
        <v>3728</v>
      </c>
      <c r="B3152" s="2" t="str">
        <f t="shared" si="2545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2568">$G3152&amp;""</f>
        <v>e</v>
      </c>
      <c r="N3152" t="str">
        <f t="shared" ref="N3152:N3153" si="2569">$H3152&amp;""</f>
        <v>5/2</v>
      </c>
      <c r="O3152">
        <v>77822</v>
      </c>
      <c r="P3152" t="str">
        <f t="shared" ref="P3152:P3153" si="2570">$J3152&amp;""</f>
        <v>o</v>
      </c>
      <c r="Q3152" t="str">
        <f t="shared" ref="Q3152:Q3153" si="2571">$K3152&amp;""</f>
        <v>5/2</v>
      </c>
      <c r="R3152">
        <v>30</v>
      </c>
      <c r="AA3152" s="10">
        <f t="shared" si="2546"/>
        <v>2554.9789999999998</v>
      </c>
      <c r="AB3152" s="3">
        <f t="shared" si="2547"/>
        <v>39127.53</v>
      </c>
      <c r="AC3152" s="3" cm="1">
        <f t="array" ref="AC3152">100000000/LvacE(AA3152)</f>
        <v>39127.527180004727</v>
      </c>
      <c r="AD3152" s="10">
        <f t="shared" si="2548"/>
        <v>1.2657113263945561E-2</v>
      </c>
      <c r="AE3152" s="10" t="b">
        <f t="shared" si="2549"/>
        <v>1</v>
      </c>
      <c r="AJ3152" t="s">
        <v>4794</v>
      </c>
      <c r="AK3152" t="s">
        <v>4886</v>
      </c>
      <c r="AL3152">
        <v>38694.51</v>
      </c>
      <c r="AM3152">
        <v>77822</v>
      </c>
      <c r="AN3152" s="10" cm="1">
        <f t="array" ref="AN3152">Lair(100000000/($AM3152-$AL3152))</f>
        <v>2554.9814279565785</v>
      </c>
      <c r="AO3152" s="10">
        <f t="shared" ref="AO3152:AO3153" si="2572">100000000/($AM3152-$AL3152)</f>
        <v>2555.7478897828614</v>
      </c>
      <c r="AP3152" s="12">
        <v>21500000</v>
      </c>
      <c r="AQ3152" s="3">
        <v>8.5000000000000006E-2</v>
      </c>
      <c r="AR3152" s="3">
        <f t="shared" ref="AR3152:AR3153" si="2573">LN(AU3152*100000000/($AM3152-$AL3152)/AP3152)</f>
        <v>-7.8992462319877967</v>
      </c>
      <c r="AS3152" s="13">
        <f t="shared" ref="AS3152:AS3153" si="2574">EXP(AR$4341*$AM3152+AR$4342)*$AP3152/(100000000/($AM3152-$AL3152))</f>
        <v>2.1627700738283702</v>
      </c>
      <c r="AT3152" s="3">
        <f t="shared" ref="AT3152:AT3153" si="2575">LN(AS3152/$C3152)</f>
        <v>0.77138984165745283</v>
      </c>
      <c r="AU3152" s="13" cm="1">
        <f t="array" ref="AU3152">$C3152*EXP(poly_from_str(100000000/$E3152,AU$4343))</f>
        <v>3.1211985701385352</v>
      </c>
      <c r="AV3152" s="13">
        <f t="shared" ref="AV3152:AV3153" si="2576">LN(AS3152/AU3152)</f>
        <v>-0.36682724349017759</v>
      </c>
      <c r="AW3152" s="13"/>
      <c r="AX3152" s="13"/>
      <c r="AY3152" s="13"/>
    </row>
    <row r="3153" spans="1:51" x14ac:dyDescent="0.25">
      <c r="A3153" t="s">
        <v>3729</v>
      </c>
      <c r="B3153" s="2" t="str">
        <f t="shared" si="2545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2568"/>
        <v>o</v>
      </c>
      <c r="N3153" t="str">
        <f t="shared" si="2569"/>
        <v>13/2</v>
      </c>
      <c r="O3153">
        <v>103344.35</v>
      </c>
      <c r="P3153" t="str">
        <f t="shared" si="2570"/>
        <v>e</v>
      </c>
      <c r="Q3153" t="str">
        <f t="shared" si="2571"/>
        <v>11/2</v>
      </c>
      <c r="R3153">
        <v>30</v>
      </c>
      <c r="AA3153" s="10">
        <f t="shared" si="2546"/>
        <v>2554.884</v>
      </c>
      <c r="AB3153" s="3">
        <f t="shared" si="2547"/>
        <v>39128.980000000003</v>
      </c>
      <c r="AC3153" s="3" cm="1">
        <f t="array" ref="AC3153">100000000/LvacE(AA3153)</f>
        <v>39128.981991358909</v>
      </c>
      <c r="AD3153" s="10">
        <f t="shared" si="2548"/>
        <v>1.2657682695448973E-2</v>
      </c>
      <c r="AE3153" s="10" t="b">
        <f t="shared" si="2549"/>
        <v>1</v>
      </c>
      <c r="AJ3153" t="s">
        <v>4823</v>
      </c>
      <c r="AK3153" t="s">
        <v>4904</v>
      </c>
      <c r="AL3153">
        <v>64215.45</v>
      </c>
      <c r="AM3153">
        <v>103344.35</v>
      </c>
      <c r="AN3153" s="10" cm="1">
        <f t="array" ref="AN3153">Lair(100000000/($AM3153-$AL3153))</f>
        <v>2554.8893538843531</v>
      </c>
      <c r="AO3153" s="10">
        <f t="shared" si="2572"/>
        <v>2555.6557940550329</v>
      </c>
      <c r="AP3153" s="12">
        <v>308000000</v>
      </c>
      <c r="AQ3153" s="3">
        <v>0.252</v>
      </c>
      <c r="AR3153" s="3">
        <f t="shared" si="2573"/>
        <v>-10.561074750815752</v>
      </c>
      <c r="AS3153" s="13">
        <f t="shared" si="2574"/>
        <v>4.5635601464072595</v>
      </c>
      <c r="AT3153" s="3">
        <f t="shared" si="2575"/>
        <v>1.5181030527733927</v>
      </c>
      <c r="AU3153" s="13" cm="1">
        <f t="array" ref="AU3153">$C3153*EXP(poly_from_str(100000000/$E3153,AU$4343))</f>
        <v>3.1219925929462593</v>
      </c>
      <c r="AV3153" s="13">
        <f t="shared" si="2576"/>
        <v>0.37963160321779743</v>
      </c>
      <c r="AW3153" s="13"/>
      <c r="AX3153" s="13"/>
      <c r="AY3153" s="13"/>
    </row>
    <row r="3154" spans="1:51" x14ac:dyDescent="0.25">
      <c r="A3154" t="s">
        <v>3730</v>
      </c>
      <c r="B3154" s="2" t="str">
        <f t="shared" si="2545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2546"/>
        <v>2554.252</v>
      </c>
      <c r="AB3154" s="3">
        <f t="shared" si="2547"/>
        <v>39138.660000000003</v>
      </c>
      <c r="AC3154" s="3" cm="1">
        <f t="array" ref="AC3154">100000000/LvacE(AA3154)</f>
        <v>39138.663069652612</v>
      </c>
      <c r="AD3154" s="10">
        <f t="shared" si="2548"/>
        <v>1.2661472530833412E-2</v>
      </c>
      <c r="AE3154" s="10" t="b">
        <f t="shared" si="2549"/>
        <v>1</v>
      </c>
      <c r="AP3154"/>
      <c r="AQ3154"/>
      <c r="AU3154" s="13" cm="1">
        <f t="array" ref="AU3154">$C3154*EXP(poly_from_str(100000000/$E3154,AU$4343))</f>
        <v>3.1272761710164096</v>
      </c>
    </row>
    <row r="3155" spans="1:51" x14ac:dyDescent="0.25">
      <c r="A3155" t="s">
        <v>3731</v>
      </c>
      <c r="B3155" s="2" t="str">
        <f t="shared" si="2545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2546"/>
        <v>2553.5439999999999</v>
      </c>
      <c r="AB3155" s="3">
        <f t="shared" si="2547"/>
        <v>39149.51</v>
      </c>
      <c r="AC3155" s="3" cm="1">
        <f t="array" ref="AC3155">100000000/LvacE(AA3155)</f>
        <v>39149.514018710935</v>
      </c>
      <c r="AD3155" s="10">
        <f t="shared" si="2548"/>
        <v>1.2665721448056297E-2</v>
      </c>
      <c r="AE3155" s="10" t="b">
        <f t="shared" si="2549"/>
        <v>1</v>
      </c>
      <c r="AP3155"/>
      <c r="AQ3155"/>
      <c r="AU3155" s="13" cm="1">
        <f t="array" ref="AU3155">$C3155*EXP(poly_from_str(100000000/$E3155,AU$4343))</f>
        <v>3.133162900631671</v>
      </c>
    </row>
    <row r="3156" spans="1:51" x14ac:dyDescent="0.25">
      <c r="A3156" t="s">
        <v>3732</v>
      </c>
      <c r="B3156" s="2" t="str">
        <f t="shared" si="2545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2546"/>
        <v>2553.38</v>
      </c>
      <c r="AB3156" s="3">
        <f t="shared" si="2547"/>
        <v>39152.03</v>
      </c>
      <c r="AC3156" s="3" cm="1">
        <f t="array" ref="AC3156">100000000/LvacE(AA3156)</f>
        <v>39152.028373658737</v>
      </c>
      <c r="AD3156" s="10">
        <f t="shared" si="2548"/>
        <v>1.2666706164703008E-2</v>
      </c>
      <c r="AE3156" s="10" t="b">
        <f t="shared" si="2549"/>
        <v>1</v>
      </c>
      <c r="AJ3156" t="s">
        <v>4697</v>
      </c>
      <c r="AK3156" t="s">
        <v>4920</v>
      </c>
      <c r="AL3156">
        <v>29835.09</v>
      </c>
      <c r="AM3156">
        <v>68987.070000000007</v>
      </c>
      <c r="AN3156" s="10" cm="1">
        <f t="array" ref="AN3156">Lair(100000000/($AM3156-$AL3156))</f>
        <v>2553.3831550117966</v>
      </c>
      <c r="AO3156" s="10">
        <f>100000000/($AM3156-$AL3156)</f>
        <v>2554.1492409834696</v>
      </c>
      <c r="AP3156" s="12">
        <v>71600000</v>
      </c>
      <c r="AQ3156" s="3">
        <v>6.5000000000000002E-2</v>
      </c>
      <c r="AR3156" s="3">
        <f>LN(AU3156*100000000/($AM3156-$AL3156)/AP3156)</f>
        <v>-8.000041291872126</v>
      </c>
      <c r="AS3156" s="13">
        <f>EXP(AR$4341*$AM3156+AR$4342)*$AP3156/(100000000/($AM3156-$AL3156))</f>
        <v>13.986471732961425</v>
      </c>
      <c r="AT3156" s="3">
        <f>LN(AS3156/$C3156)</f>
        <v>1.5394782689852282</v>
      </c>
      <c r="AU3156" s="13" cm="1">
        <f t="array" ref="AU3156">$C3156*EXP(poly_from_str(100000000/$E3156,AU$4343))</f>
        <v>9.4035743872369224</v>
      </c>
      <c r="AV3156" s="13">
        <f>LN(AS3156/AU3156)</f>
        <v>0.39700068669422039</v>
      </c>
      <c r="AW3156" s="13"/>
      <c r="AX3156" s="13"/>
      <c r="AY3156" s="13"/>
    </row>
    <row r="3157" spans="1:51" x14ac:dyDescent="0.25">
      <c r="A3157" t="s">
        <v>3733</v>
      </c>
      <c r="B3157" s="2" t="str">
        <f t="shared" si="2545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2546"/>
        <v>2553.319</v>
      </c>
      <c r="AB3157" s="3">
        <f t="shared" si="2547"/>
        <v>39152.959999999999</v>
      </c>
      <c r="AC3157" s="3" cm="1">
        <f t="array" ref="AC3157">100000000/LvacE(AA3157)</f>
        <v>39152.96367344958</v>
      </c>
      <c r="AD3157" s="10">
        <f t="shared" si="2548"/>
        <v>1.2667072479672454E-2</v>
      </c>
      <c r="AE3157" s="10" t="b">
        <f t="shared" si="2549"/>
        <v>1</v>
      </c>
      <c r="AP3157"/>
      <c r="AQ3157"/>
      <c r="AU3157" s="13" cm="1">
        <f t="array" ref="AU3157">$C3157*EXP(poly_from_str(100000000/$E3157,AU$4343))</f>
        <v>15.675134459888632</v>
      </c>
    </row>
    <row r="3158" spans="1:51" x14ac:dyDescent="0.25">
      <c r="A3158" t="s">
        <v>3734</v>
      </c>
      <c r="B3158" s="2" t="str">
        <f t="shared" si="2545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2546"/>
        <v>2552.3359999999998</v>
      </c>
      <c r="AB3158" s="3">
        <f t="shared" si="2547"/>
        <v>39168.04</v>
      </c>
      <c r="AC3158" s="3" cm="1">
        <f t="array" ref="AC3158">100000000/LvacE(AA3158)</f>
        <v>39168.041963881362</v>
      </c>
      <c r="AD3158" s="10">
        <f t="shared" si="2548"/>
        <v>1.2672979177483168E-2</v>
      </c>
      <c r="AE3158" s="10" t="b">
        <f t="shared" si="2549"/>
        <v>1</v>
      </c>
      <c r="AJ3158" t="s">
        <v>4968</v>
      </c>
      <c r="AK3158" t="s">
        <v>4902</v>
      </c>
      <c r="AL3158">
        <v>18990.080000000002</v>
      </c>
      <c r="AM3158">
        <v>58158.080000000002</v>
      </c>
      <c r="AN3158" s="10" cm="1">
        <f t="array" ref="AN3158">Lair(100000000/($AM3158-$AL3158))</f>
        <v>2552.3387347370717</v>
      </c>
      <c r="AO3158" s="10">
        <f>100000000/($AM3158-$AL3158)</f>
        <v>2553.1045751633987</v>
      </c>
      <c r="AP3158" s="12">
        <v>16700000</v>
      </c>
      <c r="AQ3158" s="3">
        <v>9.1999999999999998E-2</v>
      </c>
      <c r="AR3158" s="3">
        <f>LN(AU3158*100000000/($AM3158-$AL3158)/AP3158)</f>
        <v>-6.0311967727946323</v>
      </c>
      <c r="AS3158" s="13">
        <f>EXP(AR$4341*$AM3158+AR$4342)*$AP3158/(100000000/($AM3158-$AL3158))</f>
        <v>7.3558352252428962</v>
      </c>
      <c r="AT3158" s="3">
        <f>LN(AS3158/$C3158)</f>
        <v>0.38605599400854351</v>
      </c>
      <c r="AU3158" s="13" cm="1">
        <f t="array" ref="AU3158">$C3158*EXP(poly_from_str(100000000/$E3158,AU$4343))</f>
        <v>15.715651498668704</v>
      </c>
      <c r="AV3158" s="13">
        <f>LN(AS3158/AU3158)</f>
        <v>-0.75916322006933989</v>
      </c>
      <c r="AW3158" s="13"/>
      <c r="AX3158" s="13"/>
      <c r="AY3158" s="13"/>
    </row>
    <row r="3159" spans="1:51" x14ac:dyDescent="0.25">
      <c r="A3159" t="s">
        <v>3735</v>
      </c>
      <c r="B3159" s="2" t="str">
        <f t="shared" si="2545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2546"/>
        <v>2552.2600000000002</v>
      </c>
      <c r="AB3159" s="3">
        <f t="shared" si="2547"/>
        <v>39169.21</v>
      </c>
      <c r="AC3159" s="3" cm="1">
        <f t="array" ref="AC3159">100000000/LvacE(AA3159)</f>
        <v>39169.208215660394</v>
      </c>
      <c r="AD3159" s="10">
        <f t="shared" si="2548"/>
        <v>1.2673436134183116E-2</v>
      </c>
      <c r="AE3159" s="10" t="b">
        <f t="shared" si="2549"/>
        <v>1</v>
      </c>
      <c r="AP3159"/>
      <c r="AQ3159"/>
      <c r="AU3159" s="13" cm="1">
        <f t="array" ref="AU3159">$C3159*EXP(poly_from_str(100000000/$E3159,AU$4343))</f>
        <v>6.2875120387411831</v>
      </c>
    </row>
    <row r="3160" spans="1:51" x14ac:dyDescent="0.25">
      <c r="A3160" t="s">
        <v>3736</v>
      </c>
      <c r="B3160" s="2" t="str">
        <f t="shared" si="2545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2546"/>
        <v>2552.114</v>
      </c>
      <c r="AB3160" s="3">
        <f t="shared" si="2547"/>
        <v>39171.449999999997</v>
      </c>
      <c r="AC3160" s="3" cm="1">
        <f t="array" ref="AC3160">100000000/LvacE(AA3160)</f>
        <v>39171.448841573154</v>
      </c>
      <c r="AD3160" s="10">
        <f t="shared" si="2548"/>
        <v>1.2674314086591186E-2</v>
      </c>
      <c r="AE3160" s="10" t="b">
        <f t="shared" si="2549"/>
        <v>1</v>
      </c>
      <c r="AP3160"/>
      <c r="AQ3160"/>
      <c r="AU3160" s="13" cm="1">
        <f t="array" ref="AU3160">$C3160*EXP(poly_from_str(100000000/$E3160,AU$4343))</f>
        <v>12.579811117523645</v>
      </c>
    </row>
    <row r="3161" spans="1:51" x14ac:dyDescent="0.25">
      <c r="A3161" t="s">
        <v>3737</v>
      </c>
      <c r="B3161" s="2" t="str">
        <f t="shared" si="2545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2546"/>
        <v>2552.0369999999998</v>
      </c>
      <c r="AB3161" s="3">
        <f t="shared" si="2547"/>
        <v>39172.629999999997</v>
      </c>
      <c r="AC3161" s="3" cm="1">
        <f t="array" ref="AC3161">100000000/LvacE(AA3161)</f>
        <v>39172.630644786368</v>
      </c>
      <c r="AD3161" s="10">
        <f t="shared" si="2548"/>
        <v>1.2674777176973996E-2</v>
      </c>
      <c r="AE3161" s="10" t="b">
        <f t="shared" si="2549"/>
        <v>1</v>
      </c>
      <c r="AP3161"/>
      <c r="AQ3161"/>
      <c r="AU3161" s="13" cm="1">
        <f t="array" ref="AU3161">$C3161*EXP(poly_from_str(100000000/$E3161,AU$4343))</f>
        <v>3.1455825824779047</v>
      </c>
    </row>
    <row r="3162" spans="1:51" x14ac:dyDescent="0.25">
      <c r="A3162" t="s">
        <v>3738</v>
      </c>
      <c r="B3162" s="2" t="str">
        <f t="shared" si="2545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2546"/>
        <v>2551.88</v>
      </c>
      <c r="AB3162" s="3">
        <f t="shared" si="2547"/>
        <v>39175.040000000001</v>
      </c>
      <c r="AC3162" s="3" cm="1">
        <f t="array" ref="AC3162">100000000/LvacE(AA3162)</f>
        <v>39175.0405164244</v>
      </c>
      <c r="AD3162" s="10">
        <f t="shared" si="2548"/>
        <v>1.2675721530092401E-2</v>
      </c>
      <c r="AE3162" s="10" t="b">
        <f t="shared" si="2549"/>
        <v>1</v>
      </c>
      <c r="AP3162"/>
      <c r="AQ3162"/>
      <c r="AU3162" s="13" cm="1">
        <f t="array" ref="AU3162">$C3162*EXP(poly_from_str(100000000/$E3162,AU$4343))</f>
        <v>22.028072636301051</v>
      </c>
    </row>
    <row r="3163" spans="1:51" x14ac:dyDescent="0.25">
      <c r="A3163" t="s">
        <v>3739</v>
      </c>
      <c r="B3163" s="2" t="str">
        <f t="shared" si="2545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2577">$G3163&amp;""</f>
        <v>e</v>
      </c>
      <c r="N3163" t="str">
        <f t="shared" ref="N3163:N3164" si="2578">$H3163&amp;""</f>
        <v>11/2</v>
      </c>
      <c r="O3163">
        <v>69686.259999999995</v>
      </c>
      <c r="P3163" t="str">
        <f t="shared" ref="P3163:P3164" si="2579">$J3163&amp;""</f>
        <v>o</v>
      </c>
      <c r="Q3163" t="str">
        <f t="shared" ref="Q3163:Q3164" si="2580">$K3163&amp;""</f>
        <v>9/2</v>
      </c>
      <c r="R3163">
        <v>30</v>
      </c>
      <c r="AA3163" s="10">
        <f t="shared" si="2546"/>
        <v>2551.5189999999998</v>
      </c>
      <c r="AB3163" s="3">
        <f t="shared" si="2547"/>
        <v>39180.58</v>
      </c>
      <c r="AC3163" s="3" cm="1">
        <f t="array" ref="AC3163">100000000/LvacE(AA3163)</f>
        <v>39180.582811050124</v>
      </c>
      <c r="AD3163" s="10">
        <f t="shared" si="2548"/>
        <v>1.2677893602017098E-2</v>
      </c>
      <c r="AE3163" s="10" t="b">
        <f t="shared" si="2549"/>
        <v>1</v>
      </c>
      <c r="AJ3163" t="s">
        <v>4706</v>
      </c>
      <c r="AK3163" t="s">
        <v>4838</v>
      </c>
      <c r="AL3163">
        <v>30505.72</v>
      </c>
      <c r="AM3163">
        <v>69686.259999999995</v>
      </c>
      <c r="AN3163" s="10" cm="1">
        <f t="array" ref="AN3163">Lair(100000000/($AM3163-$AL3163))</f>
        <v>2551.5217881736216</v>
      </c>
      <c r="AO3163" s="10">
        <f t="shared" ref="AO3163:AO3164" si="2581">100000000/($AM3163-$AL3163)</f>
        <v>2552.2874365692769</v>
      </c>
      <c r="AP3163" s="12">
        <v>256000000</v>
      </c>
      <c r="AQ3163" s="3">
        <v>0.307</v>
      </c>
      <c r="AR3163" s="3">
        <f t="shared" ref="AR3163:AR3164" si="2582">LN(AU3163*100000000/($AM3163-$AL3163)/AP3163)</f>
        <v>-8.1713746298511509</v>
      </c>
      <c r="AS3163" s="13">
        <f t="shared" ref="AS3163:AS3164" si="2583">EXP(AR$4341*$AM3163+AR$4342)*$AP3163/(100000000/($AM3163-$AL3163))</f>
        <v>47.485774558899905</v>
      </c>
      <c r="AT3163" s="3">
        <f t="shared" ref="AT3163:AT3164" si="2584">LN(AS3163/$C3163)</f>
        <v>1.6632056058798674</v>
      </c>
      <c r="AU3163" s="13" cm="1">
        <f t="array" ref="AU3163">$C3163*EXP(poly_from_str(100000000/$E3163,AU$4343))</f>
        <v>28.348329452107738</v>
      </c>
      <c r="AV3163" s="13">
        <f t="shared" ref="AV3163:AV3164" si="2585">LN(AS3163/AU3163)</f>
        <v>0.51586208063010097</v>
      </c>
      <c r="AW3163" s="13"/>
      <c r="AX3163" s="13"/>
      <c r="AY3163" s="13"/>
    </row>
    <row r="3164" spans="1:51" x14ac:dyDescent="0.25">
      <c r="A3164" t="s">
        <v>3740</v>
      </c>
      <c r="B3164" s="2" t="str">
        <f t="shared" si="2545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2577"/>
        <v>e</v>
      </c>
      <c r="N3164" t="str">
        <f t="shared" si="2578"/>
        <v>7/2</v>
      </c>
      <c r="O3164">
        <v>58174.15</v>
      </c>
      <c r="P3164" t="str">
        <f t="shared" si="2579"/>
        <v>o</v>
      </c>
      <c r="Q3164" t="str">
        <f t="shared" si="2580"/>
        <v>9/2</v>
      </c>
      <c r="R3164">
        <v>30</v>
      </c>
      <c r="AA3164" s="10">
        <f t="shared" si="2546"/>
        <v>2551.3000000000002</v>
      </c>
      <c r="AB3164" s="3">
        <f t="shared" si="2547"/>
        <v>39183.949999999997</v>
      </c>
      <c r="AC3164" s="3" cm="1">
        <f t="array" ref="AC3164">100000000/LvacE(AA3164)</f>
        <v>39183.945798361994</v>
      </c>
      <c r="AD3164" s="10">
        <f t="shared" si="2548"/>
        <v>1.2679211734872808E-2</v>
      </c>
      <c r="AE3164" s="10" t="b">
        <f t="shared" si="2549"/>
        <v>1</v>
      </c>
      <c r="AJ3164" t="s">
        <v>4968</v>
      </c>
      <c r="AK3164" t="s">
        <v>4698</v>
      </c>
      <c r="AL3164">
        <v>18990.080000000002</v>
      </c>
      <c r="AM3164">
        <v>58174.15</v>
      </c>
      <c r="AN3164" s="10" cm="1">
        <f t="array" ref="AN3164">Lair(100000000/($AM3164-$AL3164))</f>
        <v>2551.2919126761299</v>
      </c>
      <c r="AO3164" s="10">
        <f t="shared" si="2581"/>
        <v>2552.0575070430409</v>
      </c>
      <c r="AP3164" s="12">
        <v>19100000</v>
      </c>
      <c r="AQ3164" s="3">
        <v>0.503</v>
      </c>
      <c r="AR3164" s="3">
        <f t="shared" si="2582"/>
        <v>-5.5754081532553572</v>
      </c>
      <c r="AS3164" s="13">
        <f t="shared" si="2583"/>
        <v>8.4062688602910178</v>
      </c>
      <c r="AT3164" s="3">
        <f t="shared" si="2584"/>
        <v>-6.8246856933231209E-2</v>
      </c>
      <c r="AU3164" s="13" cm="1">
        <f t="array" ref="AU3164">$C3164*EXP(poly_from_str(100000000/$E3164,AU$4343))</f>
        <v>28.364420527814971</v>
      </c>
      <c r="AV3164" s="13">
        <f t="shared" si="2585"/>
        <v>-1.216157841039947</v>
      </c>
      <c r="AW3164" s="13"/>
      <c r="AX3164" s="13"/>
      <c r="AY3164" s="13"/>
    </row>
    <row r="3165" spans="1:51" x14ac:dyDescent="0.25">
      <c r="A3165" t="s">
        <v>3741</v>
      </c>
      <c r="B3165" s="2" t="str">
        <f t="shared" si="2545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2546"/>
        <v>2551.1819999999998</v>
      </c>
      <c r="AB3165" s="3">
        <f t="shared" si="2547"/>
        <v>39185.760000000002</v>
      </c>
      <c r="AC3165" s="3" cm="1">
        <f t="array" ref="AC3165">100000000/LvacE(AA3165)</f>
        <v>39185.758058253014</v>
      </c>
      <c r="AD3165" s="10">
        <f t="shared" si="2548"/>
        <v>1.2679922102431934E-2</v>
      </c>
      <c r="AE3165" s="10" t="b">
        <f t="shared" si="2549"/>
        <v>1</v>
      </c>
      <c r="AP3165"/>
      <c r="AQ3165"/>
      <c r="AU3165" s="13" cm="1">
        <f t="array" ref="AU3165">$C3165*EXP(poly_from_str(100000000/$E3165,AU$4343))</f>
        <v>15.762805421964153</v>
      </c>
    </row>
    <row r="3166" spans="1:51" x14ac:dyDescent="0.25">
      <c r="A3166" t="s">
        <v>3742</v>
      </c>
      <c r="B3166" s="2" t="str">
        <f t="shared" si="2545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2546"/>
        <v>2551.1480000000001</v>
      </c>
      <c r="AB3166" s="3">
        <f t="shared" si="2547"/>
        <v>39186.28</v>
      </c>
      <c r="AC3166" s="3" cm="1">
        <f t="array" ref="AC3166">100000000/LvacE(AA3166)</f>
        <v>39186.280265939728</v>
      </c>
      <c r="AD3166" s="10">
        <f t="shared" si="2548"/>
        <v>1.2680126802902012E-2</v>
      </c>
      <c r="AE3166" s="10" t="b">
        <f t="shared" si="2549"/>
        <v>1</v>
      </c>
      <c r="AP3166"/>
      <c r="AQ3166"/>
      <c r="AU3166" s="13" cm="1">
        <f t="array" ref="AU3166">$C3166*EXP(poly_from_str(100000000/$E3166,AU$4343))</f>
        <v>15.76418176517334</v>
      </c>
    </row>
    <row r="3167" spans="1:51" x14ac:dyDescent="0.25">
      <c r="A3167" t="s">
        <v>3743</v>
      </c>
      <c r="B3167" s="2" t="str">
        <f t="shared" si="2545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2546"/>
        <v>2550.681</v>
      </c>
      <c r="AB3167" s="3">
        <f t="shared" si="2547"/>
        <v>39193.449999999997</v>
      </c>
      <c r="AC3167" s="3" cm="1">
        <f t="array" ref="AC3167">100000000/LvacE(AA3167)</f>
        <v>39193.454350775915</v>
      </c>
      <c r="AD3167" s="10">
        <f t="shared" si="2548"/>
        <v>1.2682939252453739E-2</v>
      </c>
      <c r="AE3167" s="10" t="b">
        <f t="shared" si="2549"/>
        <v>1</v>
      </c>
      <c r="AJ3167" t="s">
        <v>4931</v>
      </c>
      <c r="AK3167" t="s">
        <v>4904</v>
      </c>
      <c r="AL3167">
        <v>64150.94</v>
      </c>
      <c r="AM3167">
        <v>103344.35</v>
      </c>
      <c r="AN3167" s="10" cm="1">
        <f t="array" ref="AN3167">Lair(100000000/($AM3167-$AL3167))</f>
        <v>2550.6838865678142</v>
      </c>
      <c r="AO3167" s="10">
        <f>100000000/($AM3167-$AL3167)</f>
        <v>2551.4493380392264</v>
      </c>
      <c r="AP3167" s="12">
        <v>967000000</v>
      </c>
      <c r="AQ3167" s="3">
        <v>0.55700000000000005</v>
      </c>
      <c r="AR3167" s="3">
        <f>LN(AU3167*100000000/($AM3167-$AL3167)/AP3167)</f>
        <v>-10.08635141323305</v>
      </c>
      <c r="AS3167" s="13">
        <f>EXP(AR$4341*$AM3167+AR$4342)*$AP3167/(100000000/($AM3167-$AL3167))</f>
        <v>14.351422429045313</v>
      </c>
      <c r="AT3167" s="3">
        <f>LN(AS3167/$C3167)</f>
        <v>1.0544111488343562</v>
      </c>
      <c r="AU3167" s="13" cm="1">
        <f t="array" ref="AU3167">$C3167*EXP(poly_from_str(100000000/$E3167,AU$4343))</f>
        <v>15.783116545520608</v>
      </c>
      <c r="AV3167" s="13">
        <f>LN(AS3167/AU3167)</f>
        <v>-9.5091734364904965E-2</v>
      </c>
      <c r="AW3167" s="13"/>
      <c r="AX3167" s="13"/>
      <c r="AY3167" s="13"/>
    </row>
    <row r="3168" spans="1:51" x14ac:dyDescent="0.25">
      <c r="A3168" t="s">
        <v>3744</v>
      </c>
      <c r="B3168" s="2" t="str">
        <f t="shared" si="2545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2546"/>
        <v>2550.4699999999998</v>
      </c>
      <c r="AB3168" s="3">
        <f t="shared" si="2547"/>
        <v>39196.699999999997</v>
      </c>
      <c r="AC3168" s="3" cm="1">
        <f t="array" ref="AC3168">100000000/LvacE(AA3168)</f>
        <v>39196.696608272403</v>
      </c>
      <c r="AD3168" s="10">
        <f t="shared" si="2548"/>
        <v>1.2684210480474658E-2</v>
      </c>
      <c r="AE3168" s="10" t="b">
        <f t="shared" si="2549"/>
        <v>1</v>
      </c>
      <c r="AP3168"/>
      <c r="AQ3168"/>
      <c r="AU3168" s="13" cm="1">
        <f t="array" ref="AU3168">$C3168*EXP(poly_from_str(100000000/$E3168,AU$4343))</f>
        <v>9.4750037823403304</v>
      </c>
    </row>
    <row r="3169" spans="1:51" x14ac:dyDescent="0.25">
      <c r="A3169" t="s">
        <v>3745</v>
      </c>
      <c r="B3169" s="2" t="str">
        <f t="shared" si="2545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2546"/>
        <v>2550.3339999999998</v>
      </c>
      <c r="AB3169" s="3">
        <f t="shared" si="2547"/>
        <v>39198.79</v>
      </c>
      <c r="AC3169" s="3" cm="1">
        <f t="array" ref="AC3169">100000000/LvacE(AA3169)</f>
        <v>39198.786688877066</v>
      </c>
      <c r="AD3169" s="10">
        <f t="shared" si="2548"/>
        <v>1.2685030017416752E-2</v>
      </c>
      <c r="AE3169" s="10" t="b">
        <f t="shared" si="2549"/>
        <v>1</v>
      </c>
      <c r="AP3169"/>
      <c r="AQ3169"/>
      <c r="AU3169" s="13" cm="1">
        <f t="array" ref="AU3169">$C3169*EXP(poly_from_str(100000000/$E3169,AU$4343))</f>
        <v>9.478300059260711</v>
      </c>
    </row>
    <row r="3170" spans="1:51" x14ac:dyDescent="0.25">
      <c r="A3170" t="s">
        <v>3746</v>
      </c>
      <c r="B3170" s="2" t="str">
        <f t="shared" si="2545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2586">$G3170&amp;""</f>
        <v>e</v>
      </c>
      <c r="N3170" t="str">
        <f t="shared" ref="N3170:N3171" si="2587">$H3170&amp;""</f>
        <v>9/2</v>
      </c>
      <c r="O3170">
        <v>64235.61</v>
      </c>
      <c r="P3170" t="str">
        <f t="shared" ref="P3170:P3171" si="2588">$J3170&amp;""</f>
        <v>o</v>
      </c>
      <c r="Q3170" t="str">
        <f t="shared" ref="Q3170:Q3171" si="2589">$K3170&amp;""</f>
        <v>9/2</v>
      </c>
      <c r="R3170">
        <v>30</v>
      </c>
      <c r="AA3170" s="10">
        <f t="shared" si="2546"/>
        <v>2550.1419999999998</v>
      </c>
      <c r="AB3170" s="3">
        <f t="shared" si="2547"/>
        <v>39201.74</v>
      </c>
      <c r="AC3170" s="3" cm="1">
        <f t="array" ref="AC3170">100000000/LvacE(AA3170)</f>
        <v>39201.737770380147</v>
      </c>
      <c r="AD3170" s="10">
        <f t="shared" si="2548"/>
        <v>1.2686187233961903E-2</v>
      </c>
      <c r="AE3170" s="10" t="b">
        <f t="shared" si="2549"/>
        <v>1</v>
      </c>
      <c r="AJ3170" t="s">
        <v>4746</v>
      </c>
      <c r="AK3170" t="s">
        <v>4842</v>
      </c>
      <c r="AL3170">
        <v>25033.91</v>
      </c>
      <c r="AM3170">
        <v>64235.61</v>
      </c>
      <c r="AN3170" s="10" cm="1">
        <f t="array" ref="AN3170">Lair(100000000/($AM3170-$AL3170))</f>
        <v>2550.1444572621685</v>
      </c>
      <c r="AO3170" s="10">
        <f t="shared" ref="AO3170:AO3171" si="2590">100000000/($AM3170-$AL3170)</f>
        <v>2550.9097819737412</v>
      </c>
      <c r="AP3170" s="12">
        <v>54700000</v>
      </c>
      <c r="AQ3170" s="3">
        <v>0.13300000000000001</v>
      </c>
      <c r="AR3170" s="3">
        <f t="shared" ref="AR3170:AR3171" si="2591">LN(AU3170*100000000/($AM3170-$AL3170)/AP3170)</f>
        <v>-7.435991836904444</v>
      </c>
      <c r="AS3170" s="13">
        <f t="shared" ref="AS3170:AS3171" si="2592">EXP(AR$4341*$AM3170+AR$4342)*$AP3170/(100000000/($AM3170-$AL3170))</f>
        <v>15.282524532157627</v>
      </c>
      <c r="AT3170" s="3">
        <f t="shared" ref="AT3170:AT3171" si="2593">LN(AS3170/$C3170)</f>
        <v>1.3404156270446241</v>
      </c>
      <c r="AU3170" s="13" cm="1">
        <f t="array" ref="AU3170">$C3170*EXP(poly_from_str(100000000/$E3170,AU$4343))</f>
        <v>12.643927731745222</v>
      </c>
      <c r="AV3170" s="13">
        <f t="shared" ref="AV3170:AV3171" si="2594">LN(AS3170/AU3170)</f>
        <v>0.18953290944395806</v>
      </c>
      <c r="AW3170" s="13"/>
      <c r="AX3170" s="13"/>
      <c r="AY3170" s="13"/>
    </row>
    <row r="3171" spans="1:51" x14ac:dyDescent="0.25">
      <c r="A3171" t="s">
        <v>3747</v>
      </c>
      <c r="B3171" s="2" t="str">
        <f t="shared" si="2545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2586"/>
        <v>o</v>
      </c>
      <c r="N3171" t="str">
        <f t="shared" si="2587"/>
        <v>9/2</v>
      </c>
      <c r="O3171">
        <v>107081.94</v>
      </c>
      <c r="P3171" t="str">
        <f t="shared" si="2588"/>
        <v>e</v>
      </c>
      <c r="Q3171" t="str">
        <f t="shared" si="2589"/>
        <v>9/2</v>
      </c>
      <c r="R3171">
        <v>30</v>
      </c>
      <c r="AA3171" s="10">
        <f t="shared" si="2546"/>
        <v>2549.5309999999999</v>
      </c>
      <c r="AB3171" s="3">
        <f t="shared" si="2547"/>
        <v>39211.129999999997</v>
      </c>
      <c r="AC3171" s="3" cm="1">
        <f t="array" ref="AC3171">100000000/LvacE(AA3171)</f>
        <v>39211.131929938994</v>
      </c>
      <c r="AD3171" s="10">
        <f t="shared" si="2548"/>
        <v>1.2689871574407017E-2</v>
      </c>
      <c r="AE3171" s="10" t="b">
        <f t="shared" si="2549"/>
        <v>1</v>
      </c>
      <c r="AJ3171" t="s">
        <v>4755</v>
      </c>
      <c r="AK3171" t="s">
        <v>4956</v>
      </c>
      <c r="AL3171">
        <v>67870.759999999995</v>
      </c>
      <c r="AM3171">
        <v>107081.94</v>
      </c>
      <c r="AN3171" s="10" cm="1">
        <f t="array" ref="AN3171">Lair(100000000/($AM3171-$AL3171))</f>
        <v>2549.5278743368076</v>
      </c>
      <c r="AO3171" s="10">
        <f t="shared" si="2590"/>
        <v>2550.2930541748547</v>
      </c>
      <c r="AP3171" s="12">
        <v>114000000</v>
      </c>
      <c r="AQ3171" s="3">
        <v>8.5000000000000006E-2</v>
      </c>
      <c r="AR3171" s="3">
        <f t="shared" si="2591"/>
        <v>-9.555310205154365</v>
      </c>
      <c r="AS3171" s="13">
        <f t="shared" si="2592"/>
        <v>1.2786544124681007</v>
      </c>
      <c r="AT3171" s="3">
        <f t="shared" si="2593"/>
        <v>0.24580828473163854</v>
      </c>
      <c r="AU3171" s="13" cm="1">
        <f t="array" ref="AU3171">$C3171*EXP(poly_from_str(100000000/$E3171,AU$4343))</f>
        <v>3.1658932600791494</v>
      </c>
      <c r="AV3171" s="13">
        <f t="shared" si="2594"/>
        <v>-0.90662696171763368</v>
      </c>
      <c r="AW3171" s="13"/>
      <c r="AX3171" s="13"/>
      <c r="AY3171" s="13"/>
    </row>
    <row r="3172" spans="1:51" x14ac:dyDescent="0.25">
      <c r="A3172" t="s">
        <v>3748</v>
      </c>
      <c r="B3172" s="2" t="str">
        <f t="shared" si="2545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2546"/>
        <v>2548.652</v>
      </c>
      <c r="AB3172" s="3">
        <f t="shared" si="2547"/>
        <v>39224.65</v>
      </c>
      <c r="AC3172" s="3" cm="1">
        <f t="array" ref="AC3172">100000000/LvacE(AA3172)</f>
        <v>39224.654504658974</v>
      </c>
      <c r="AD3172" s="10">
        <f t="shared" si="2548"/>
        <v>1.2695176607998852E-2</v>
      </c>
      <c r="AE3172" s="10" t="b">
        <f t="shared" si="2549"/>
        <v>1</v>
      </c>
      <c r="AP3172"/>
      <c r="AQ3172"/>
      <c r="AU3172" s="13" cm="1">
        <f t="array" ref="AU3172">$C3172*EXP(poly_from_str(100000000/$E3172,AU$4343))</f>
        <v>3.1729171475720186</v>
      </c>
    </row>
    <row r="3173" spans="1:51" x14ac:dyDescent="0.25">
      <c r="A3173" t="s">
        <v>3749</v>
      </c>
      <c r="B3173" s="2" t="str">
        <f t="shared" si="2545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2546"/>
        <v>2548.6</v>
      </c>
      <c r="AB3173" s="3">
        <f t="shared" si="2547"/>
        <v>39225.449999999997</v>
      </c>
      <c r="AC3173" s="3" cm="1">
        <f t="array" ref="AC3173">100000000/LvacE(AA3173)</f>
        <v>39225.454767141193</v>
      </c>
      <c r="AD3173" s="10">
        <f t="shared" si="2548"/>
        <v>1.2695490615855998E-2</v>
      </c>
      <c r="AE3173" s="10" t="b">
        <f t="shared" si="2549"/>
        <v>1</v>
      </c>
      <c r="AJ3173" t="s">
        <v>4791</v>
      </c>
      <c r="AK3173" t="s">
        <v>4730</v>
      </c>
      <c r="AL3173">
        <v>21294.89</v>
      </c>
      <c r="AM3173">
        <v>60520.32</v>
      </c>
      <c r="AN3173" s="10" cm="1">
        <f t="array" ref="AN3173">Lair(100000000/($AM3173-$AL3173))</f>
        <v>2548.6016094005163</v>
      </c>
      <c r="AO3173" s="10">
        <f>100000000/($AM3173-$AL3173)</f>
        <v>2549.3665716347787</v>
      </c>
      <c r="AP3173" s="12">
        <v>6280000</v>
      </c>
      <c r="AQ3173" s="3">
        <v>1.7999999999999999E-2</v>
      </c>
      <c r="AR3173" s="3"/>
      <c r="AS3173" s="13">
        <f>EXP(AR$4341*$AM3173+AR$4342)*$AP3173/(100000000/($AM3173-$AL3173))</f>
        <v>2.320173305413987</v>
      </c>
      <c r="AT3173" s="3"/>
      <c r="AU3173" s="13" cm="1">
        <f t="array" ref="AU3173">$C3173*EXP(poly_from_str(100000000/$E3173,AU$4343))</f>
        <v>6.3466620189246479</v>
      </c>
      <c r="AV3173" s="13"/>
      <c r="AW3173" s="13"/>
      <c r="AX3173" s="13"/>
      <c r="AY3173" s="13"/>
    </row>
    <row r="3174" spans="1:51" x14ac:dyDescent="0.25">
      <c r="A3174" t="s">
        <v>3750</v>
      </c>
      <c r="B3174" s="2" t="str">
        <f t="shared" si="2545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2546"/>
        <v>2548.319</v>
      </c>
      <c r="AB3174" s="3">
        <f t="shared" si="2547"/>
        <v>39229.78</v>
      </c>
      <c r="AC3174" s="3" cm="1">
        <f t="array" ref="AC3174">100000000/LvacE(AA3174)</f>
        <v>39229.779827508079</v>
      </c>
      <c r="AD3174" s="10">
        <f t="shared" si="2548"/>
        <v>1.2697187798605292E-2</v>
      </c>
      <c r="AE3174" s="10" t="b">
        <f t="shared" si="2549"/>
        <v>1</v>
      </c>
      <c r="AP3174"/>
      <c r="AQ3174"/>
      <c r="AU3174" s="13" cm="1">
        <f t="array" ref="AU3174">$C3174*EXP(poly_from_str(100000000/$E3174,AU$4343))</f>
        <v>3.1755676495825162</v>
      </c>
    </row>
    <row r="3175" spans="1:51" x14ac:dyDescent="0.25">
      <c r="A3175" t="s">
        <v>3751</v>
      </c>
      <c r="B3175" s="2" t="str">
        <f t="shared" si="2545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2546"/>
        <v>2547.884</v>
      </c>
      <c r="AB3175" s="3">
        <f t="shared" si="2547"/>
        <v>39236.480000000003</v>
      </c>
      <c r="AC3175" s="3" cm="1">
        <f t="array" ref="AC3175">100000000/LvacE(AA3175)</f>
        <v>39236.477086939914</v>
      </c>
      <c r="AD3175" s="10">
        <f t="shared" si="2548"/>
        <v>1.2699816217484767E-2</v>
      </c>
      <c r="AE3175" s="10" t="b">
        <f t="shared" si="2549"/>
        <v>1</v>
      </c>
      <c r="AJ3175" t="s">
        <v>4782</v>
      </c>
      <c r="AK3175" t="s">
        <v>4888</v>
      </c>
      <c r="AL3175">
        <v>23442.25</v>
      </c>
      <c r="AM3175">
        <v>62678.7</v>
      </c>
      <c r="AN3175" s="10" cm="1">
        <f t="array" ref="AN3175">Lair(100000000/($AM3175-$AL3175))</f>
        <v>2547.885759158567</v>
      </c>
      <c r="AO3175" s="10">
        <f>100000000/($AM3175-$AL3175)</f>
        <v>2548.6505532483188</v>
      </c>
      <c r="AP3175" s="12">
        <v>120000000</v>
      </c>
      <c r="AQ3175" s="3">
        <v>0.47699999999999998</v>
      </c>
      <c r="AR3175" s="3">
        <f>LN(AU3175*100000000/($AM3175-$AL3175)/AP3175)</f>
        <v>-7.4058863101849246</v>
      </c>
      <c r="AS3175" s="13">
        <f>EXP(AR$4341*$AM3175+AR$4342)*$AP3175/(100000000/($AM3175-$AL3175))</f>
        <v>37.715272591277092</v>
      </c>
      <c r="AT3175" s="3">
        <f>LN(AS3175/$C3175)</f>
        <v>1.4328405436053817</v>
      </c>
      <c r="AU3175" s="13" cm="1">
        <f t="array" ref="AU3175">$C3175*EXP(poly_from_str(100000000/$E3175,AU$4343))</f>
        <v>28.611155301547765</v>
      </c>
      <c r="AV3175" s="13">
        <f>LN(AS3175/AU3175)</f>
        <v>0.27626843365510634</v>
      </c>
      <c r="AW3175" s="13"/>
      <c r="AX3175" s="13"/>
      <c r="AY3175" s="13"/>
    </row>
    <row r="3176" spans="1:51" x14ac:dyDescent="0.25">
      <c r="A3176" t="s">
        <v>3752</v>
      </c>
      <c r="B3176" s="2" t="str">
        <f t="shared" si="2545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2546"/>
        <v>2546.7600000000002</v>
      </c>
      <c r="AB3176" s="3">
        <f t="shared" si="2547"/>
        <v>39253.79</v>
      </c>
      <c r="AC3176" s="3" cm="1">
        <f t="array" ref="AC3176">100000000/LvacE(AA3176)</f>
        <v>39253.79278147377</v>
      </c>
      <c r="AD3176" s="10">
        <f t="shared" si="2548"/>
        <v>1.2706614047156735E-2</v>
      </c>
      <c r="AE3176" s="10" t="b">
        <f t="shared" si="2549"/>
        <v>1</v>
      </c>
      <c r="AP3176"/>
      <c r="AQ3176"/>
      <c r="AU3176" s="13" cm="1">
        <f t="array" ref="AU3176">$C3176*EXP(poly_from_str(100000000/$E3176,AU$4343))</f>
        <v>9.5636000237534091</v>
      </c>
    </row>
    <row r="3177" spans="1:51" x14ac:dyDescent="0.25">
      <c r="A3177" t="s">
        <v>3753</v>
      </c>
      <c r="B3177" s="2" t="str">
        <f t="shared" si="2545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2546"/>
        <v>2546.1889999999999</v>
      </c>
      <c r="AB3177" s="3">
        <f t="shared" si="2547"/>
        <v>39262.589999999997</v>
      </c>
      <c r="AC3177" s="3" cm="1">
        <f t="array" ref="AC3177">100000000/LvacE(AA3177)</f>
        <v>39262.595132642913</v>
      </c>
      <c r="AD3177" s="10">
        <f t="shared" si="2548"/>
        <v>1.2710070841685931E-2</v>
      </c>
      <c r="AE3177" s="10" t="b">
        <f t="shared" si="2549"/>
        <v>1</v>
      </c>
      <c r="AJ3177" t="s">
        <v>4699</v>
      </c>
      <c r="AK3177" t="s">
        <v>4869</v>
      </c>
      <c r="AL3177">
        <v>29263.08</v>
      </c>
      <c r="AM3177">
        <v>68525.62</v>
      </c>
      <c r="AN3177" s="10" cm="1">
        <f t="array" ref="AN3177">Lair(100000000/($AM3177-$AL3177))</f>
        <v>2546.1925757415161</v>
      </c>
      <c r="AO3177" s="10">
        <f>100000000/($AM3177-$AL3177)</f>
        <v>2546.9569722183032</v>
      </c>
      <c r="AP3177" s="12">
        <v>133000000</v>
      </c>
      <c r="AQ3177" s="3">
        <v>9.2999999999999999E-2</v>
      </c>
      <c r="AR3177" s="3">
        <f>LN(AU3177*100000000/($AM3177-$AL3177)/AP3177)</f>
        <v>-7.62301221219104</v>
      </c>
      <c r="AS3177" s="13">
        <f>EXP(AR$4341*$AM3177+AR$4342)*$AP3177/(100000000/($AM3177-$AL3177))</f>
        <v>26.971879601630306</v>
      </c>
      <c r="AT3177" s="3">
        <f>LN(AS3177/$C3177)</f>
        <v>1.2153532853545042</v>
      </c>
      <c r="AU3177" s="13" cm="1">
        <f t="array" ref="AU3177">$C3177*EXP(poly_from_str(100000000/$E3177,AU$4343))</f>
        <v>25.538647490241296</v>
      </c>
      <c r="AV3177" s="13">
        <f>LN(AS3177/AU3177)</f>
        <v>5.4601934361508335E-2</v>
      </c>
      <c r="AW3177" s="13"/>
      <c r="AX3177" s="13"/>
      <c r="AY3177" s="13"/>
    </row>
    <row r="3178" spans="1:51" x14ac:dyDescent="0.25">
      <c r="A3178" t="s">
        <v>3754</v>
      </c>
      <c r="B3178" s="2" t="str">
        <f t="shared" si="2545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2546"/>
        <v>2545.893</v>
      </c>
      <c r="AB3178" s="3">
        <f t="shared" si="2547"/>
        <v>39267.160000000003</v>
      </c>
      <c r="AC3178" s="3" cm="1">
        <f t="array" ref="AC3178">100000000/LvacE(AA3178)</f>
        <v>39267.159726570753</v>
      </c>
      <c r="AD3178" s="10">
        <f t="shared" si="2548"/>
        <v>1.271186372062195E-2</v>
      </c>
      <c r="AE3178" s="10" t="b">
        <f t="shared" si="2549"/>
        <v>1</v>
      </c>
      <c r="AP3178"/>
      <c r="AQ3178"/>
      <c r="AU3178" s="13" cm="1">
        <f t="array" ref="AU3178">$C3178*EXP(poly_from_str(100000000/$E3178,AU$4343))</f>
        <v>15.973200832688315</v>
      </c>
    </row>
    <row r="3179" spans="1:51" x14ac:dyDescent="0.25">
      <c r="A3179" t="s">
        <v>3755</v>
      </c>
      <c r="B3179" s="2" t="str">
        <f t="shared" si="2545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2546"/>
        <v>2545.79</v>
      </c>
      <c r="AB3179" s="3">
        <f t="shared" si="2547"/>
        <v>39268.75</v>
      </c>
      <c r="AC3179" s="3" cm="1">
        <f t="array" ref="AC3179">100000000/LvacE(AA3179)</f>
        <v>39268.748330800991</v>
      </c>
      <c r="AD3179" s="10">
        <f t="shared" si="2548"/>
        <v>1.271248774070151E-2</v>
      </c>
      <c r="AE3179" s="10" t="b">
        <f t="shared" si="2549"/>
        <v>1</v>
      </c>
      <c r="AJ3179" t="s">
        <v>4823</v>
      </c>
      <c r="AK3179" t="s">
        <v>4961</v>
      </c>
      <c r="AL3179">
        <v>64215.45</v>
      </c>
      <c r="AM3179">
        <v>103484.19</v>
      </c>
      <c r="AN3179" s="10" cm="1">
        <f t="array" ref="AN3179">Lair(100000000/($AM3179-$AL3179))</f>
        <v>2545.7905402645733</v>
      </c>
      <c r="AO3179" s="10">
        <f>100000000/($AM3179-$AL3179)</f>
        <v>2546.5548423504292</v>
      </c>
      <c r="AP3179" s="12">
        <v>9910000000</v>
      </c>
      <c r="AQ3179" s="3">
        <v>0.93200000000000005</v>
      </c>
      <c r="AR3179" s="3">
        <f>LN(AU3179*100000000/($AM3179-$AL3179)/AP3179)</f>
        <v>-11.815363463683859</v>
      </c>
      <c r="AS3179" s="13">
        <f>EXP(AR$4341*$AM3179+AR$4342)*$AP3179/(100000000/($AM3179-$AL3179))</f>
        <v>145.82041295602357</v>
      </c>
      <c r="AT3179" s="3">
        <f>LN(AS3179/$C3179)</f>
        <v>2.7851512389954243</v>
      </c>
      <c r="AU3179" s="13" cm="1">
        <f t="array" ref="AU3179">$C3179*EXP(poly_from_str(100000000/$E3179,AU$4343))</f>
        <v>28.758979219161215</v>
      </c>
      <c r="AV3179" s="13">
        <f>LN(AS3179/AU3179)</f>
        <v>1.6234257771837537</v>
      </c>
      <c r="AW3179" s="13"/>
      <c r="AX3179" s="13"/>
      <c r="AY3179" s="13"/>
    </row>
    <row r="3180" spans="1:51" x14ac:dyDescent="0.25">
      <c r="A3180" t="s">
        <v>3756</v>
      </c>
      <c r="B3180" s="2" t="str">
        <f t="shared" si="2545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2546"/>
        <v>2545.5810000000001</v>
      </c>
      <c r="AB3180" s="3">
        <f t="shared" si="2547"/>
        <v>39271.97</v>
      </c>
      <c r="AC3180" s="3" cm="1">
        <f t="array" ref="AC3180">100000000/LvacE(AA3180)</f>
        <v>39271.972204324869</v>
      </c>
      <c r="AD3180" s="10">
        <f t="shared" si="2548"/>
        <v>1.2713754188989639E-2</v>
      </c>
      <c r="AE3180" s="10" t="b">
        <f t="shared" si="2549"/>
        <v>1</v>
      </c>
      <c r="AP3180"/>
      <c r="AQ3180"/>
      <c r="AU3180" s="13" cm="1">
        <f t="array" ref="AU3180">$C3180*EXP(poly_from_str(100000000/$E3180,AU$4343))</f>
        <v>15.985319709884266</v>
      </c>
    </row>
    <row r="3181" spans="1:51" x14ac:dyDescent="0.25">
      <c r="A3181" t="s">
        <v>3757</v>
      </c>
      <c r="B3181" s="2" t="str">
        <f t="shared" si="2545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2546"/>
        <v>2544.9209999999998</v>
      </c>
      <c r="AB3181" s="3">
        <f t="shared" si="2547"/>
        <v>39282.160000000003</v>
      </c>
      <c r="AC3181" s="3" cm="1">
        <f t="array" ref="AC3181">100000000/LvacE(AA3181)</f>
        <v>39282.156333453895</v>
      </c>
      <c r="AD3181" s="10">
        <f t="shared" si="2548"/>
        <v>1.2717755547903824E-2</v>
      </c>
      <c r="AE3181" s="10" t="b">
        <f t="shared" si="2549"/>
        <v>1</v>
      </c>
      <c r="AP3181"/>
      <c r="AQ3181"/>
      <c r="AU3181" s="13" cm="1">
        <f t="array" ref="AU3181">$C3181*EXP(poly_from_str(100000000/$E3181,AU$4343))</f>
        <v>9.6065280380858518</v>
      </c>
    </row>
    <row r="3182" spans="1:51" x14ac:dyDescent="0.25">
      <c r="A3182" t="s">
        <v>3758</v>
      </c>
      <c r="B3182" s="2" t="str">
        <f t="shared" si="2545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2546"/>
        <v>2544.8919999999998</v>
      </c>
      <c r="AB3182" s="3">
        <f t="shared" si="2547"/>
        <v>39282.6</v>
      </c>
      <c r="AC3182" s="3" cm="1">
        <f t="array" ref="AC3182">100000000/LvacE(AA3182)</f>
        <v>39282.603939051682</v>
      </c>
      <c r="AD3182" s="10">
        <f t="shared" si="2548"/>
        <v>1.2717931436589783E-2</v>
      </c>
      <c r="AE3182" s="10" t="b">
        <f t="shared" si="2549"/>
        <v>1</v>
      </c>
      <c r="AP3182"/>
      <c r="AQ3182"/>
      <c r="AU3182" s="13" cm="1">
        <f t="array" ref="AU3182">$C3182*EXP(poly_from_str(100000000/$E3182,AU$4343))</f>
        <v>9.6071881713218978</v>
      </c>
    </row>
    <row r="3183" spans="1:51" x14ac:dyDescent="0.25">
      <c r="A3183" t="s">
        <v>3759</v>
      </c>
      <c r="B3183" s="2" t="str">
        <f t="shared" si="2545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2546"/>
        <v>2544.5450000000001</v>
      </c>
      <c r="AB3183" s="3">
        <f t="shared" si="2547"/>
        <v>39287.96</v>
      </c>
      <c r="AC3183" s="3" cm="1">
        <f t="array" ref="AC3183">100000000/LvacE(AA3183)</f>
        <v>39287.960562865912</v>
      </c>
      <c r="AD3183" s="10">
        <f t="shared" si="2548"/>
        <v>1.2720036502177387E-2</v>
      </c>
      <c r="AE3183" s="10" t="b">
        <f t="shared" si="2549"/>
        <v>1</v>
      </c>
      <c r="AP3183"/>
      <c r="AQ3183"/>
      <c r="AU3183" s="13" cm="1">
        <f t="array" ref="AU3183">$C3183*EXP(poly_from_str(100000000/$E3183,AU$4343))</f>
        <v>3.2050720083644855</v>
      </c>
    </row>
    <row r="3184" spans="1:51" x14ac:dyDescent="0.25">
      <c r="A3184" t="s">
        <v>3760</v>
      </c>
      <c r="B3184" s="2" t="str">
        <f t="shared" si="2545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2546"/>
        <v>2544.4540000000002</v>
      </c>
      <c r="AB3184" s="3">
        <f t="shared" si="2547"/>
        <v>39289.360000000001</v>
      </c>
      <c r="AC3184" s="3" cm="1">
        <f t="array" ref="AC3184">100000000/LvacE(AA3184)</f>
        <v>39289.365567667795</v>
      </c>
      <c r="AD3184" s="10">
        <f t="shared" si="2548"/>
        <v>1.2720588693619101E-2</v>
      </c>
      <c r="AE3184" s="10" t="b">
        <f t="shared" si="2549"/>
        <v>1</v>
      </c>
      <c r="AP3184"/>
      <c r="AQ3184"/>
      <c r="AU3184" s="13" cm="1">
        <f t="array" ref="AU3184">$C3184*EXP(poly_from_str(100000000/$E3184,AU$4343))</f>
        <v>6.4115391112028464</v>
      </c>
    </row>
    <row r="3185" spans="1:51" x14ac:dyDescent="0.25">
      <c r="A3185" t="s">
        <v>3761</v>
      </c>
      <c r="B3185" s="2" t="str">
        <f t="shared" si="2545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2546"/>
        <v>2543.6439999999998</v>
      </c>
      <c r="AB3185" s="3">
        <f t="shared" si="2547"/>
        <v>39301.879999999997</v>
      </c>
      <c r="AC3185" s="3" cm="1">
        <f t="array" ref="AC3185">100000000/LvacE(AA3185)</f>
        <v>39301.876083669267</v>
      </c>
      <c r="AD3185" s="10">
        <f t="shared" si="2548"/>
        <v>1.2725506415927164E-2</v>
      </c>
      <c r="AE3185" s="10" t="b">
        <f t="shared" si="2549"/>
        <v>1</v>
      </c>
      <c r="AP3185"/>
      <c r="AQ3185"/>
      <c r="AU3185" s="13" cm="1">
        <f t="array" ref="AU3185">$C3185*EXP(poly_from_str(100000000/$E3185,AU$4343))</f>
        <v>3.2119820257190126</v>
      </c>
    </row>
    <row r="3186" spans="1:51" x14ac:dyDescent="0.25">
      <c r="A3186" t="s">
        <v>3762</v>
      </c>
      <c r="B3186" s="2" t="str">
        <f t="shared" si="2545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2546"/>
        <v>2543.5569999999998</v>
      </c>
      <c r="AB3186" s="3">
        <f t="shared" si="2547"/>
        <v>39303.22</v>
      </c>
      <c r="AC3186" s="3" cm="1">
        <f t="array" ref="AC3186">100000000/LvacE(AA3186)</f>
        <v>39303.220279570174</v>
      </c>
      <c r="AD3186" s="10">
        <f t="shared" si="2548"/>
        <v>1.272603489514294E-2</v>
      </c>
      <c r="AE3186" s="10" t="b">
        <f t="shared" si="2549"/>
        <v>1</v>
      </c>
      <c r="AJ3186" t="s">
        <v>4697</v>
      </c>
      <c r="AK3186" t="s">
        <v>4879</v>
      </c>
      <c r="AL3186">
        <v>29835.09</v>
      </c>
      <c r="AM3186">
        <v>69138.28</v>
      </c>
      <c r="AN3186" s="10" cm="1">
        <f t="array" ref="AN3186">Lair(100000000/($AM3186-$AL3186))</f>
        <v>2543.558959892267</v>
      </c>
      <c r="AO3186" s="10">
        <f>100000000/($AM3186-$AL3186)</f>
        <v>2544.322738179776</v>
      </c>
      <c r="AP3186" s="12">
        <v>142000000</v>
      </c>
      <c r="AQ3186" s="3">
        <v>0.19500000000000001</v>
      </c>
      <c r="AR3186" s="3">
        <f>LN(AU3186*100000000/($AM3186-$AL3186)/AP3186)</f>
        <v>-7.9708640250248557</v>
      </c>
      <c r="AS3186" s="13">
        <f>EXP(AR$4341*$AM3186+AR$4342)*$AP3186/(100000000/($AM3186-$AL3186))</f>
        <v>27.531461655101719</v>
      </c>
      <c r="AT3186" s="3">
        <f>LN(AS3186/$C3186)</f>
        <v>1.5235699416918491</v>
      </c>
      <c r="AU3186" s="13" cm="1">
        <f t="array" ref="AU3186">$C3186*EXP(poly_from_str(100000000/$E3186,AU$4343))</f>
        <v>19.275865316300038</v>
      </c>
      <c r="AV3186" s="13">
        <f>LN(AS3186/AU3186)</f>
        <v>0.35647559928492267</v>
      </c>
      <c r="AW3186" s="13"/>
      <c r="AX3186" s="13"/>
      <c r="AY3186" s="13"/>
    </row>
    <row r="3187" spans="1:51" x14ac:dyDescent="0.25">
      <c r="A3187" t="s">
        <v>3763</v>
      </c>
      <c r="B3187" s="2" t="str">
        <f t="shared" si="2545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2546"/>
        <v>2543.2939999999999</v>
      </c>
      <c r="AB3187" s="3">
        <f t="shared" si="2547"/>
        <v>39307.279999999999</v>
      </c>
      <c r="AC3187" s="3" cm="1">
        <f t="array" ref="AC3187">100000000/LvacE(AA3187)</f>
        <v>39307.28432746225</v>
      </c>
      <c r="AD3187" s="10">
        <f t="shared" si="2548"/>
        <v>1.2727632811515746E-2</v>
      </c>
      <c r="AE3187" s="10" t="b">
        <f t="shared" si="2549"/>
        <v>1</v>
      </c>
      <c r="AP3187"/>
      <c r="AQ3187"/>
      <c r="AU3187" s="13" cm="1">
        <f t="array" ref="AU3187">$C3187*EXP(poly_from_str(100000000/$E3187,AU$4343))</f>
        <v>3.2146473689784685</v>
      </c>
    </row>
    <row r="3188" spans="1:51" x14ac:dyDescent="0.25">
      <c r="A3188" t="s">
        <v>3764</v>
      </c>
      <c r="B3188" s="2" t="str">
        <f t="shared" si="2545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2546"/>
        <v>2542.752</v>
      </c>
      <c r="AB3188" s="3">
        <f t="shared" si="2547"/>
        <v>39315.660000000003</v>
      </c>
      <c r="AC3188" s="3" cm="1">
        <f t="array" ref="AC3188">100000000/LvacE(AA3188)</f>
        <v>39315.66231688657</v>
      </c>
      <c r="AD3188" s="10">
        <f t="shared" si="2548"/>
        <v>1.2730927419757525E-2</v>
      </c>
      <c r="AE3188" s="10" t="b">
        <f t="shared" si="2549"/>
        <v>1</v>
      </c>
      <c r="AP3188"/>
      <c r="AQ3188"/>
      <c r="AU3188" s="13" cm="1">
        <f t="array" ref="AU3188">$C3188*EXP(poly_from_str(100000000/$E3188,AU$4343))</f>
        <v>3.2187667834126032</v>
      </c>
    </row>
    <row r="3189" spans="1:51" x14ac:dyDescent="0.25">
      <c r="A3189" t="s">
        <v>3765</v>
      </c>
      <c r="B3189" s="2" t="str">
        <f t="shared" si="2545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2546"/>
        <v>2542.308</v>
      </c>
      <c r="AB3189" s="3">
        <f t="shared" si="2547"/>
        <v>39322.53</v>
      </c>
      <c r="AC3189" s="3" cm="1">
        <f t="array" ref="AC3189">100000000/LvacE(AA3189)</f>
        <v>39322.528128340702</v>
      </c>
      <c r="AD3189" s="10">
        <f t="shared" si="2548"/>
        <v>1.2733627894090863E-2</v>
      </c>
      <c r="AE3189" s="10" t="b">
        <f t="shared" si="2549"/>
        <v>1</v>
      </c>
      <c r="AP3189"/>
      <c r="AQ3189"/>
      <c r="AU3189" s="13" cm="1">
        <f t="array" ref="AU3189">$C3189*EXP(poly_from_str(100000000/$E3189,AU$4343))</f>
        <v>3.2221287363430884</v>
      </c>
    </row>
    <row r="3190" spans="1:51" x14ac:dyDescent="0.25">
      <c r="A3190" t="s">
        <v>3766</v>
      </c>
      <c r="B3190" s="2" t="str">
        <f t="shared" si="2545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2546"/>
        <v>2541.3519999999999</v>
      </c>
      <c r="AB3190" s="3">
        <f t="shared" si="2547"/>
        <v>39337.32</v>
      </c>
      <c r="AC3190" s="3" cm="1">
        <f t="array" ref="AC3190">100000000/LvacE(AA3190)</f>
        <v>39337.319414752186</v>
      </c>
      <c r="AD3190" s="10">
        <f t="shared" si="2548"/>
        <v>1.2739447234139976E-2</v>
      </c>
      <c r="AE3190" s="10" t="b">
        <f t="shared" si="2549"/>
        <v>1</v>
      </c>
      <c r="AP3190"/>
      <c r="AQ3190"/>
      <c r="AU3190" s="13" cm="1">
        <f t="array" ref="AU3190">$C3190*EXP(poly_from_str(100000000/$E3190,AU$4343))</f>
        <v>3.2293203508935209</v>
      </c>
    </row>
    <row r="3191" spans="1:51" x14ac:dyDescent="0.25">
      <c r="A3191" t="s">
        <v>3767</v>
      </c>
      <c r="B3191" s="2" t="str">
        <f t="shared" si="2545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2546"/>
        <v>2541.2339999999999</v>
      </c>
      <c r="AB3191" s="3">
        <f t="shared" si="2547"/>
        <v>39339.15</v>
      </c>
      <c r="AC3191" s="3" cm="1">
        <f t="array" ref="AC3191">100000000/LvacE(AA3191)</f>
        <v>39339.145888966625</v>
      </c>
      <c r="AD3191" s="10">
        <f t="shared" si="2548"/>
        <v>1.274016597624749E-2</v>
      </c>
      <c r="AE3191" s="10" t="b">
        <f t="shared" si="2549"/>
        <v>1</v>
      </c>
      <c r="AP3191"/>
      <c r="AQ3191"/>
      <c r="AU3191" s="13" cm="1">
        <f t="array" ref="AU3191">$C3191*EXP(poly_from_str(100000000/$E3191,AU$4343))</f>
        <v>3.2302058279560684</v>
      </c>
    </row>
    <row r="3192" spans="1:51" x14ac:dyDescent="0.25">
      <c r="A3192" t="s">
        <v>3768</v>
      </c>
      <c r="B3192" s="2" t="str">
        <f t="shared" si="2545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2546"/>
        <v>2541.08</v>
      </c>
      <c r="AB3192" s="3">
        <f t="shared" si="2547"/>
        <v>39341.53</v>
      </c>
      <c r="AC3192" s="3" cm="1">
        <f t="array" ref="AC3192">100000000/LvacE(AA3192)</f>
        <v>39341.529847724552</v>
      </c>
      <c r="AD3192" s="10">
        <f t="shared" si="2548"/>
        <v>1.2741104146214318E-2</v>
      </c>
      <c r="AE3192" s="10" t="b">
        <f t="shared" si="2549"/>
        <v>1</v>
      </c>
      <c r="AJ3192" t="s">
        <v>4822</v>
      </c>
      <c r="AK3192" t="s">
        <v>4955</v>
      </c>
      <c r="AL3192">
        <v>61605.66</v>
      </c>
      <c r="AM3192">
        <v>100947.18</v>
      </c>
      <c r="AN3192" s="10" cm="1">
        <f t="array" ref="AN3192">Lair(100000000/($AM3192-$AL3192))</f>
        <v>2541.0806363336178</v>
      </c>
      <c r="AO3192" s="10">
        <f>100000000/($AM3192-$AL3192)</f>
        <v>2541.8438331818402</v>
      </c>
      <c r="AP3192" s="12">
        <v>2740000000</v>
      </c>
      <c r="AQ3192" s="3">
        <v>0.88800000000000001</v>
      </c>
      <c r="AR3192" s="3">
        <f>LN(AU3192*100000000/($AM3192-$AL3192)/AP3192)</f>
        <v>-10.638235336348398</v>
      </c>
      <c r="AS3192" s="13">
        <f>EXP(AR$4341*$AM3192+AR$4342)*$AP3192/(100000000/($AM3192-$AL3192))</f>
        <v>48.863731584245869</v>
      </c>
      <c r="AT3192" s="3">
        <f>LN(AS3192/$C3192)</f>
        <v>1.8095938942225585</v>
      </c>
      <c r="AU3192" s="13" cm="1">
        <f t="array" ref="AU3192">$C3192*EXP(poly_from_str(100000000/$E3192,AU$4343))</f>
        <v>25.850848018167657</v>
      </c>
      <c r="AV3192" s="13">
        <f>LN(AS3192/AU3192)</f>
        <v>0.63669203014106268</v>
      </c>
      <c r="AW3192" s="13"/>
      <c r="AX3192" s="13"/>
      <c r="AY3192" s="13"/>
    </row>
    <row r="3193" spans="1:51" x14ac:dyDescent="0.25">
      <c r="A3193" t="s">
        <v>3769</v>
      </c>
      <c r="B3193" s="2" t="str">
        <f t="shared" si="2545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2546"/>
        <v>2540.7289999999998</v>
      </c>
      <c r="AB3193" s="3">
        <f t="shared" si="2547"/>
        <v>39346.959999999999</v>
      </c>
      <c r="AC3193" s="3" cm="1">
        <f t="array" ref="AC3193">100000000/LvacE(AA3193)</f>
        <v>39346.964495912478</v>
      </c>
      <c r="AD3193" s="10">
        <f t="shared" si="2548"/>
        <v>1.2743243080216836E-2</v>
      </c>
      <c r="AE3193" s="10" t="b">
        <f t="shared" si="2549"/>
        <v>1</v>
      </c>
      <c r="AP3193"/>
      <c r="AQ3193"/>
      <c r="AU3193" s="13" cm="1">
        <f t="array" ref="AU3193">$C3193*EXP(poly_from_str(100000000/$E3193,AU$4343))</f>
        <v>6.4679482015805894</v>
      </c>
    </row>
    <row r="3194" spans="1:51" x14ac:dyDescent="0.25">
      <c r="A3194" t="s">
        <v>3770</v>
      </c>
      <c r="B3194" s="2" t="str">
        <f t="shared" si="2545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2546"/>
        <v>2540.62</v>
      </c>
      <c r="AB3194" s="3">
        <f t="shared" si="2547"/>
        <v>39348.65</v>
      </c>
      <c r="AC3194" s="3" cm="1">
        <f t="array" ref="AC3194">100000000/LvacE(AA3194)</f>
        <v>39348.652484213337</v>
      </c>
      <c r="AD3194" s="10">
        <f t="shared" si="2548"/>
        <v>1.2743907487978001E-2</v>
      </c>
      <c r="AE3194" s="10" t="b">
        <f t="shared" si="2549"/>
        <v>1</v>
      </c>
      <c r="AP3194"/>
      <c r="AQ3194"/>
      <c r="AU3194" s="13" cm="1">
        <f t="array" ref="AU3194">$C3194*EXP(poly_from_str(100000000/$E3194,AU$4343))</f>
        <v>12.939148927615149</v>
      </c>
    </row>
    <row r="3195" spans="1:51" x14ac:dyDescent="0.25">
      <c r="A3195" t="s">
        <v>3771</v>
      </c>
      <c r="B3195" s="2" t="str">
        <f t="shared" si="2545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2546"/>
        <v>2540.3110000000001</v>
      </c>
      <c r="AB3195" s="3">
        <f t="shared" si="2547"/>
        <v>39353.440000000002</v>
      </c>
      <c r="AC3195" s="3" cm="1">
        <f t="array" ref="AC3195">100000000/LvacE(AA3195)</f>
        <v>39353.438486046703</v>
      </c>
      <c r="AD3195" s="10">
        <f t="shared" si="2548"/>
        <v>1.2745791457433106E-2</v>
      </c>
      <c r="AE3195" s="10" t="b">
        <f t="shared" si="2549"/>
        <v>1</v>
      </c>
      <c r="AJ3195" t="s">
        <v>4880</v>
      </c>
      <c r="AK3195" t="s">
        <v>4889</v>
      </c>
      <c r="AL3195">
        <v>61717.98</v>
      </c>
      <c r="AM3195">
        <v>101071.43</v>
      </c>
      <c r="AN3195" s="10" cm="1">
        <f t="array" ref="AN3195">Lair(100000000/($AM3195-$AL3195))</f>
        <v>2540.3102569496382</v>
      </c>
      <c r="AO3195" s="10">
        <f>100000000/($AM3195-$AL3195)</f>
        <v>2541.0732731183675</v>
      </c>
      <c r="AP3195" s="12">
        <v>1250000000</v>
      </c>
      <c r="AQ3195" s="3">
        <v>0.69399999999999995</v>
      </c>
      <c r="AR3195" s="3">
        <f>LN(AU3195*100000000/($AM3195-$AL3195)/AP3195)</f>
        <v>-9.9854834123073726</v>
      </c>
      <c r="AS3195" s="13">
        <f>EXP(AR$4341*$AM3195+AR$4342)*$AP3195/(100000000/($AM3195-$AL3195))</f>
        <v>22.091649863637151</v>
      </c>
      <c r="AT3195" s="3">
        <f>LN(AS3195/$C3195)</f>
        <v>1.1492895538464951</v>
      </c>
      <c r="AU3195" s="13" cm="1">
        <f t="array" ref="AU3195">$C3195*EXP(poly_from_str(100000000/$E3195,AU$4343))</f>
        <v>22.659612542634491</v>
      </c>
      <c r="AV3195" s="13">
        <f>LN(AS3195/AU3195)</f>
        <v>-2.5384453815524767E-2</v>
      </c>
      <c r="AW3195" s="13"/>
      <c r="AX3195" s="13"/>
      <c r="AY3195" s="13"/>
    </row>
    <row r="3196" spans="1:51" x14ac:dyDescent="0.25">
      <c r="A3196" t="s">
        <v>3772</v>
      </c>
      <c r="B3196" s="2" t="str">
        <f t="shared" si="2545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2546"/>
        <v>2539.9699999999998</v>
      </c>
      <c r="AB3196" s="3">
        <f t="shared" si="2547"/>
        <v>39358.720000000001</v>
      </c>
      <c r="AC3196" s="3" cm="1">
        <f t="array" ref="AC3196">100000000/LvacE(AA3196)</f>
        <v>39358.721477056584</v>
      </c>
      <c r="AD3196" s="10">
        <f t="shared" si="2548"/>
        <v>1.2747871328609509E-2</v>
      </c>
      <c r="AE3196" s="10" t="b">
        <f t="shared" si="2549"/>
        <v>1</v>
      </c>
      <c r="AP3196"/>
      <c r="AQ3196"/>
      <c r="AU3196" s="13" cm="1">
        <f t="array" ref="AU3196">$C3196*EXP(poly_from_str(100000000/$E3196,AU$4343))</f>
        <v>9.7188467216099887</v>
      </c>
    </row>
    <row r="3197" spans="1:51" x14ac:dyDescent="0.25">
      <c r="A3197" t="s">
        <v>3773</v>
      </c>
      <c r="B3197" s="2" t="str">
        <f t="shared" si="2545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2595">$G3197&amp;""</f>
        <v>e</v>
      </c>
      <c r="N3197" t="str">
        <f t="shared" ref="N3197:N3198" si="2596">$H3197&amp;""</f>
        <v>5/2</v>
      </c>
      <c r="O3197">
        <v>65295.9</v>
      </c>
      <c r="P3197" t="str">
        <f t="shared" ref="P3197:P3198" si="2597">$J3197&amp;""</f>
        <v>o</v>
      </c>
      <c r="Q3197" t="str">
        <f t="shared" ref="Q3197:Q3198" si="2598">$K3197&amp;""</f>
        <v>7/2</v>
      </c>
      <c r="R3197">
        <v>30</v>
      </c>
      <c r="AA3197" s="10">
        <f t="shared" si="2546"/>
        <v>2539.826</v>
      </c>
      <c r="AB3197" s="3">
        <f t="shared" si="2547"/>
        <v>39360.949999999997</v>
      </c>
      <c r="AC3197" s="3" cm="1">
        <f t="array" ref="AC3197">100000000/LvacE(AA3197)</f>
        <v>39360.952843503816</v>
      </c>
      <c r="AD3197" s="10">
        <f t="shared" si="2548"/>
        <v>1.2748749883555767E-2</v>
      </c>
      <c r="AE3197" s="10" t="b">
        <f t="shared" si="2549"/>
        <v>1</v>
      </c>
      <c r="AJ3197" t="s">
        <v>4713</v>
      </c>
      <c r="AK3197" t="s">
        <v>4825</v>
      </c>
      <c r="AL3197">
        <v>25934.98</v>
      </c>
      <c r="AM3197">
        <v>65295.9</v>
      </c>
      <c r="AN3197" s="10" cm="1">
        <f t="array" ref="AN3197">Lair(100000000/($AM3197-$AL3197))</f>
        <v>2539.8281196649391</v>
      </c>
      <c r="AO3197" s="10">
        <f t="shared" ref="AO3197:AO3198" si="2599">100000000/($AM3197-$AL3197)</f>
        <v>2540.5910227708091</v>
      </c>
      <c r="AP3197" s="12">
        <v>131000000</v>
      </c>
      <c r="AQ3197" s="3">
        <v>0.29199999999999998</v>
      </c>
      <c r="AR3197" s="3">
        <f t="shared" ref="AR3197:AR3198" si="2600">LN(AU3197*100000000/($AM3197-$AL3197)/AP3197)</f>
        <v>-7.5953308465056972</v>
      </c>
      <c r="AS3197" s="13">
        <f t="shared" ref="AS3197:AS3198" si="2601">EXP(AR$4341*$AM3197+AR$4342)*$AP3197/(100000000/($AM3197-$AL3197))</f>
        <v>33.937669955963983</v>
      </c>
      <c r="AT3197" s="3">
        <f t="shared" ref="AT3197:AT3198" si="2602">LN(AS3197/$C3197)</f>
        <v>1.4450840639123197</v>
      </c>
      <c r="AU3197" s="13" cm="1">
        <f t="array" ref="AU3197">$C3197*EXP(poly_from_str(100000000/$E3197,AU$4343))</f>
        <v>25.925447507434054</v>
      </c>
      <c r="AV3197" s="13">
        <f t="shared" ref="AV3197:AV3198" si="2603">LN(AS3197/AU3197)</f>
        <v>0.26930059000803042</v>
      </c>
      <c r="AW3197" s="13"/>
      <c r="AX3197" s="13"/>
      <c r="AY3197" s="13"/>
    </row>
    <row r="3198" spans="1:51" x14ac:dyDescent="0.25">
      <c r="A3198" t="s">
        <v>3774</v>
      </c>
      <c r="B3198" s="2" t="str">
        <f t="shared" si="2545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2595"/>
        <v>o</v>
      </c>
      <c r="N3198" t="str">
        <f t="shared" si="2596"/>
        <v>7/2</v>
      </c>
      <c r="O3198">
        <v>107854.46</v>
      </c>
      <c r="P3198" t="str">
        <f t="shared" si="2597"/>
        <v>e</v>
      </c>
      <c r="Q3198" t="str">
        <f t="shared" si="2598"/>
        <v>9/2</v>
      </c>
      <c r="R3198">
        <v>30</v>
      </c>
      <c r="AA3198" s="10">
        <f t="shared" si="2546"/>
        <v>2539.759</v>
      </c>
      <c r="AB3198" s="3">
        <f t="shared" si="2547"/>
        <v>39361.99</v>
      </c>
      <c r="AC3198" s="3" cm="1">
        <f t="array" ref="AC3198">100000000/LvacE(AA3198)</f>
        <v>39361.991134967691</v>
      </c>
      <c r="AD3198" s="10">
        <f t="shared" si="2548"/>
        <v>1.2749158706587455E-2</v>
      </c>
      <c r="AE3198" s="10" t="b">
        <f t="shared" si="2549"/>
        <v>1</v>
      </c>
      <c r="AJ3198" t="s">
        <v>4831</v>
      </c>
      <c r="AK3198" t="s">
        <v>4898</v>
      </c>
      <c r="AL3198">
        <v>68492.429999999993</v>
      </c>
      <c r="AM3198">
        <v>107854.46</v>
      </c>
      <c r="AN3198" s="10" cm="1">
        <f t="array" ref="AN3198">Lair(100000000/($AM3198-$AL3198))</f>
        <v>2539.7564923907748</v>
      </c>
      <c r="AO3198" s="10">
        <f t="shared" si="2599"/>
        <v>2540.519378700742</v>
      </c>
      <c r="AP3198" s="12">
        <v>638000000</v>
      </c>
      <c r="AQ3198" s="3">
        <v>0.24199999999999999</v>
      </c>
      <c r="AR3198" s="3">
        <f t="shared" si="2600"/>
        <v>-9.6483504784044385</v>
      </c>
      <c r="AS3198" s="13">
        <f t="shared" si="2601"/>
        <v>6.7788856672309858</v>
      </c>
      <c r="AT3198" s="3">
        <f t="shared" si="2602"/>
        <v>0.30437482014466216</v>
      </c>
      <c r="AU3198" s="13" cm="1">
        <f t="array" ref="AU3198">$C3198*EXP(poly_from_str(100000000/$E3198,AU$4343))</f>
        <v>16.205886557638838</v>
      </c>
      <c r="AV3198" s="13">
        <f t="shared" si="2603"/>
        <v>-0.87156181141298505</v>
      </c>
      <c r="AW3198" s="13"/>
      <c r="AX3198" s="13"/>
      <c r="AY3198" s="13"/>
    </row>
    <row r="3199" spans="1:51" x14ac:dyDescent="0.25">
      <c r="A3199" t="s">
        <v>3775</v>
      </c>
      <c r="B3199" s="2" t="str">
        <f t="shared" si="2545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2546"/>
        <v>2539.3539999999998</v>
      </c>
      <c r="AB3199" s="3">
        <f t="shared" si="2547"/>
        <v>39368.269999999997</v>
      </c>
      <c r="AC3199" s="3" cm="1">
        <f t="array" ref="AC3199">100000000/LvacE(AA3199)</f>
        <v>39368.268540856319</v>
      </c>
      <c r="AD3199" s="10">
        <f t="shared" si="2548"/>
        <v>1.2751630639299665E-2</v>
      </c>
      <c r="AE3199" s="10" t="b">
        <f t="shared" si="2549"/>
        <v>1</v>
      </c>
      <c r="AP3199"/>
      <c r="AQ3199"/>
      <c r="AU3199" s="13" cm="1">
        <f t="array" ref="AU3199">$C3199*EXP(poly_from_str(100000000/$E3199,AU$4343))</f>
        <v>6.4883363734435688</v>
      </c>
    </row>
    <row r="3200" spans="1:51" x14ac:dyDescent="0.25">
      <c r="A3200" t="s">
        <v>3776</v>
      </c>
      <c r="B3200" s="2" t="str">
        <f t="shared" si="2545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2546"/>
        <v>2538.5500000000002</v>
      </c>
      <c r="AB3200" s="3">
        <f t="shared" si="2547"/>
        <v>39380.74</v>
      </c>
      <c r="AC3200" s="3" cm="1">
        <f t="array" ref="AC3200">100000000/LvacE(AA3200)</f>
        <v>39380.736288293112</v>
      </c>
      <c r="AD3200" s="10">
        <f t="shared" si="2548"/>
        <v>1.2756541389433558E-2</v>
      </c>
      <c r="AE3200" s="10" t="b">
        <f t="shared" si="2549"/>
        <v>1</v>
      </c>
      <c r="AP3200"/>
      <c r="AQ3200"/>
      <c r="AU3200" s="13" cm="1">
        <f t="array" ref="AU3200">$C3200*EXP(poly_from_str(100000000/$E3200,AU$4343))</f>
        <v>19.500446342750724</v>
      </c>
    </row>
    <row r="3201" spans="1:51" x14ac:dyDescent="0.25">
      <c r="A3201" t="s">
        <v>3777</v>
      </c>
      <c r="B3201" s="2">
        <f t="shared" si="2545"/>
        <v>1</v>
      </c>
      <c r="C3201">
        <v>9</v>
      </c>
      <c r="D3201" t="s">
        <v>3264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2604">$G3201&amp;""</f>
        <v>e</v>
      </c>
      <c r="N3201" t="str">
        <f t="shared" ref="N3201:N3202" si="2605">$H3201&amp;""</f>
        <v>13/2</v>
      </c>
      <c r="O3201">
        <v>62558.67</v>
      </c>
      <c r="P3201" t="str">
        <f t="shared" ref="P3201:P3202" si="2606">$J3201&amp;""</f>
        <v>o</v>
      </c>
      <c r="Q3201" t="str">
        <f t="shared" ref="Q3201:Q3202" si="2607">$K3201&amp;""</f>
        <v>11/2</v>
      </c>
      <c r="R3201">
        <v>30</v>
      </c>
      <c r="AA3201" s="10">
        <f t="shared" si="2546"/>
        <v>2538.3620000000001</v>
      </c>
      <c r="AB3201" s="3">
        <f t="shared" si="2547"/>
        <v>39383.65</v>
      </c>
      <c r="AC3201" s="3" cm="1">
        <f t="array" ref="AC3201">100000000/LvacE(AA3201)</f>
        <v>39383.652771402885</v>
      </c>
      <c r="AD3201" s="10">
        <f t="shared" si="2548"/>
        <v>1.2757690347437222E-2</v>
      </c>
      <c r="AE3201" s="10" t="b">
        <f t="shared" si="2549"/>
        <v>1</v>
      </c>
      <c r="AJ3201" t="s">
        <v>4969</v>
      </c>
      <c r="AK3201" t="s">
        <v>4821</v>
      </c>
      <c r="AL3201">
        <v>23175.09</v>
      </c>
      <c r="AM3201">
        <v>62558.67</v>
      </c>
      <c r="AN3201" s="10" cm="1">
        <f t="array" ref="AN3201">Lair(100000000/($AM3201-$AL3201))</f>
        <v>2538.3666908643822</v>
      </c>
      <c r="AO3201" s="10">
        <f t="shared" ref="AO3201:AO3202" si="2608">100000000/($AM3201-$AL3201)</f>
        <v>2539.1292513275835</v>
      </c>
      <c r="AP3201" s="12">
        <v>382000000</v>
      </c>
      <c r="AQ3201" s="3">
        <v>0.52200000000000002</v>
      </c>
      <c r="AR3201" s="3">
        <f t="shared" ref="AR3201:AR3202" si="2609">LN(AU3201*100000000/($AM3201-$AL3201)/AP3201)</f>
        <v>-8.5450301475356341</v>
      </c>
      <c r="AS3201" s="13">
        <f t="shared" ref="AS3201:AS3202" si="2610">EXP(AR$4341*$AM3201+AR$4342)*$AP3201/(100000000/($AM3201-$AL3201))</f>
        <v>121.6009358733767</v>
      </c>
      <c r="AT3201" s="3">
        <f t="shared" ref="AT3201:AT3202" si="2611">LN(AS3201/$C3201)</f>
        <v>2.6035200884933416</v>
      </c>
      <c r="AU3201" s="13" cm="1">
        <f t="array" ref="AU3201">$C3201*EXP(poly_from_str(100000000/$E3201,AU$4343))</f>
        <v>29.263017933798825</v>
      </c>
      <c r="AV3201" s="13">
        <f t="shared" ref="AV3201:AV3202" si="2612">LN(AS3201/AU3201)</f>
        <v>1.4244201335946669</v>
      </c>
      <c r="AW3201" s="13"/>
      <c r="AX3201" s="13"/>
      <c r="AY3201" s="13"/>
    </row>
    <row r="3202" spans="1:51" x14ac:dyDescent="0.25">
      <c r="A3202" t="s">
        <v>3777</v>
      </c>
      <c r="B3202" s="2">
        <f t="shared" ref="B3202:B3265" si="2613">IF(OR(A3202=A3201,A3202=A3203),IF(B3201="",1,B3201+1),"")</f>
        <v>2</v>
      </c>
      <c r="C3202">
        <v>9</v>
      </c>
      <c r="D3202" t="s">
        <v>3264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2604"/>
        <v>o</v>
      </c>
      <c r="N3202" t="str">
        <f t="shared" si="2605"/>
        <v>9/2</v>
      </c>
      <c r="O3202">
        <v>101446.27</v>
      </c>
      <c r="P3202" t="str">
        <f t="shared" si="2606"/>
        <v>e</v>
      </c>
      <c r="Q3202" t="str">
        <f t="shared" si="2607"/>
        <v>7/2</v>
      </c>
      <c r="R3202">
        <v>30</v>
      </c>
      <c r="AA3202" s="10">
        <f t="shared" si="2546"/>
        <v>2538.3620000000001</v>
      </c>
      <c r="AB3202" s="3">
        <f t="shared" si="2547"/>
        <v>39383.65</v>
      </c>
      <c r="AC3202" s="3" cm="1">
        <f t="array" ref="AC3202">100000000/LvacE(AA3202)</f>
        <v>39383.652771402885</v>
      </c>
      <c r="AD3202" s="10">
        <f t="shared" si="2548"/>
        <v>1.2757690347437222E-2</v>
      </c>
      <c r="AE3202" s="10" t="b">
        <f t="shared" si="2549"/>
        <v>1</v>
      </c>
      <c r="AJ3202" t="s">
        <v>4848</v>
      </c>
      <c r="AK3202" t="s">
        <v>4908</v>
      </c>
      <c r="AL3202">
        <v>62062.63</v>
      </c>
      <c r="AM3202">
        <v>101446.27</v>
      </c>
      <c r="AN3202" s="10" cm="1">
        <f t="array" ref="AN3202">Lair(100000000/($AM3202-$AL3202))</f>
        <v>2538.3628234704665</v>
      </c>
      <c r="AO3202" s="10">
        <f t="shared" si="2608"/>
        <v>2539.1253830270634</v>
      </c>
      <c r="AP3202" s="12">
        <v>324000000</v>
      </c>
      <c r="AQ3202" s="3">
        <v>0.438</v>
      </c>
      <c r="AR3202" s="3">
        <f t="shared" si="2609"/>
        <v>-8.3803545781977782</v>
      </c>
      <c r="AS3202" s="13">
        <f t="shared" si="2610"/>
        <v>5.5715913696160966</v>
      </c>
      <c r="AT3202" s="3">
        <f t="shared" si="2611"/>
        <v>-0.47954386050128317</v>
      </c>
      <c r="AU3202" s="13" cm="1">
        <f t="array" ref="AU3202">$C3202*EXP(poly_from_str(100000000/$E3202,AU$4343))</f>
        <v>29.263017933798825</v>
      </c>
      <c r="AV3202" s="13">
        <f t="shared" si="2612"/>
        <v>-1.6586438153999579</v>
      </c>
      <c r="AW3202" s="13"/>
      <c r="AX3202" s="13"/>
      <c r="AY3202" s="13"/>
    </row>
    <row r="3203" spans="1:51" x14ac:dyDescent="0.25">
      <c r="A3203" t="s">
        <v>3778</v>
      </c>
      <c r="B3203" s="2" t="str">
        <f t="shared" si="2613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2614">ROUND($A3203,3)+0</f>
        <v>2537.614</v>
      </c>
      <c r="AB3203" s="3">
        <f t="shared" ref="AB3203:AB3266" si="2615">ROUND($E3203,2)+0</f>
        <v>39395.26</v>
      </c>
      <c r="AC3203" s="3" cm="1">
        <f t="array" ref="AC3203">100000000/LvacE(AA3203)</f>
        <v>39395.260930564371</v>
      </c>
      <c r="AD3203" s="10">
        <f t="shared" ref="AD3203:AD3266" si="2616">0.0005/$AA3203*AC3203+0.005</f>
        <v>1.2762264262918705E-2</v>
      </c>
      <c r="AE3203" s="10" t="b">
        <f t="shared" ref="AE3203:AE3266" si="2617">ABS(AB3203-AC3203)&lt;AD3203</f>
        <v>1</v>
      </c>
      <c r="AP3203"/>
      <c r="AQ3203"/>
      <c r="AU3203" s="13" cm="1">
        <f t="array" ref="AU3203">$C3203*EXP(poly_from_str(100000000/$E3203,AU$4343))</f>
        <v>9.7706915268174424</v>
      </c>
    </row>
    <row r="3204" spans="1:51" x14ac:dyDescent="0.25">
      <c r="A3204" t="s">
        <v>3779</v>
      </c>
      <c r="B3204" s="2" t="str">
        <f t="shared" si="2613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2614"/>
        <v>2537.0990000000002</v>
      </c>
      <c r="AB3204" s="3">
        <f t="shared" si="2615"/>
        <v>39403.26</v>
      </c>
      <c r="AC3204" s="3" cm="1">
        <f t="array" ref="AC3204">100000000/LvacE(AA3204)</f>
        <v>39403.257157323853</v>
      </c>
      <c r="AD3204" s="10">
        <f t="shared" si="2616"/>
        <v>1.276541576763931E-2</v>
      </c>
      <c r="AE3204" s="10" t="b">
        <f t="shared" si="2617"/>
        <v>1</v>
      </c>
      <c r="AJ3204" t="s">
        <v>4725</v>
      </c>
      <c r="AK3204" t="s">
        <v>4865</v>
      </c>
      <c r="AL3204">
        <v>39732.99</v>
      </c>
      <c r="AM3204">
        <v>79136.23</v>
      </c>
      <c r="AN3204" s="10" cm="1">
        <f t="array" ref="AN3204">Lair(100000000/($AM3204-$AL3204))</f>
        <v>2537.1001050931868</v>
      </c>
      <c r="AO3204" s="10">
        <f>100000000/($AM3204-$AL3204)</f>
        <v>2537.8623686783117</v>
      </c>
      <c r="AP3204" s="12">
        <v>41300000</v>
      </c>
      <c r="AQ3204" s="3">
        <v>0.104</v>
      </c>
      <c r="AR3204" s="3">
        <f>LN(AU3204*100000000/($AM3204-$AL3204)/AP3204)</f>
        <v>-7.8222275719420971</v>
      </c>
      <c r="AS3204" s="13">
        <f>EXP(AR$4341*$AM3204+AR$4342)*$AP3204/(100000000/($AM3204-$AL3204))</f>
        <v>3.7908621015933774</v>
      </c>
      <c r="AT3204" s="3">
        <f>LN(AS3204/$C3204)</f>
        <v>0.63944628010648019</v>
      </c>
      <c r="AU3204" s="13" cm="1">
        <f t="array" ref="AU3204">$C3204*EXP(poly_from_str(100000000/$E3204,AU$4343))</f>
        <v>6.5212629909292454</v>
      </c>
      <c r="AV3204" s="13">
        <f>LN(AS3204/AU3204)</f>
        <v>-0.5424746067779469</v>
      </c>
      <c r="AW3204" s="13"/>
      <c r="AX3204" s="13"/>
      <c r="AY3204" s="13"/>
    </row>
    <row r="3205" spans="1:51" x14ac:dyDescent="0.25">
      <c r="A3205" t="s">
        <v>3780</v>
      </c>
      <c r="B3205" s="2" t="str">
        <f t="shared" si="2613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2614"/>
        <v>2536.7460000000001</v>
      </c>
      <c r="AB3205" s="3">
        <f t="shared" si="2615"/>
        <v>39408.74</v>
      </c>
      <c r="AC3205" s="3" cm="1">
        <f t="array" ref="AC3205">100000000/LvacE(AA3205)</f>
        <v>39408.739941319771</v>
      </c>
      <c r="AD3205" s="10">
        <f t="shared" si="2616"/>
        <v>1.2767577033987591E-2</v>
      </c>
      <c r="AE3205" s="10" t="b">
        <f t="shared" si="2617"/>
        <v>1</v>
      </c>
      <c r="AP3205"/>
      <c r="AQ3205"/>
      <c r="AU3205" s="13" cm="1">
        <f t="array" ref="AU3205">$C3205*EXP(poly_from_str(100000000/$E3205,AU$4343))</f>
        <v>26.105435255085833</v>
      </c>
    </row>
    <row r="3206" spans="1:51" x14ac:dyDescent="0.25">
      <c r="A3206" t="s">
        <v>3781</v>
      </c>
      <c r="B3206" s="2" t="str">
        <f t="shared" si="2613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2614"/>
        <v>2536.6480000000001</v>
      </c>
      <c r="AB3206" s="3">
        <f t="shared" si="2615"/>
        <v>39410.26</v>
      </c>
      <c r="AC3206" s="3" cm="1">
        <f t="array" ref="AC3206">100000000/LvacE(AA3206)</f>
        <v>39410.262344578485</v>
      </c>
      <c r="AD3206" s="10">
        <f t="shared" si="2616"/>
        <v>1.2768177205623028E-2</v>
      </c>
      <c r="AE3206" s="10" t="b">
        <f t="shared" si="2617"/>
        <v>1</v>
      </c>
      <c r="AJ3206" t="s">
        <v>4745</v>
      </c>
      <c r="AK3206" t="s">
        <v>4865</v>
      </c>
      <c r="AL3206">
        <v>39725.99</v>
      </c>
      <c r="AM3206">
        <v>79136.23</v>
      </c>
      <c r="AN3206" s="10" cm="1">
        <f t="array" ref="AN3206">Lair(100000000/($AM3206-$AL3206))</f>
        <v>2536.6494386091913</v>
      </c>
      <c r="AO3206" s="10">
        <f>100000000/($AM3206-$AL3206)</f>
        <v>2537.4115965799751</v>
      </c>
      <c r="AP3206" s="12">
        <v>271000000</v>
      </c>
      <c r="AQ3206" s="3">
        <v>0.28199999999999997</v>
      </c>
      <c r="AR3206" s="3">
        <f>LN(AU3206*100000000/($AM3206-$AL3206)/AP3206)</f>
        <v>-8.4499013409665533</v>
      </c>
      <c r="AS3206" s="13">
        <f>EXP(AR$4341*$AM3206+AR$4342)*$AP3206/(100000000/($AM3206-$AL3206))</f>
        <v>24.879083146498651</v>
      </c>
      <c r="AT3206" s="3">
        <f>LN(AS3206/$C3206)</f>
        <v>1.2681172671116758</v>
      </c>
      <c r="AU3206" s="13" cm="1">
        <f t="array" ref="AU3206">$C3206*EXP(poly_from_str(100000000/$E3206,AU$4343))</f>
        <v>22.847192743317184</v>
      </c>
      <c r="AV3206" s="13">
        <f>LN(AS3206/AU3206)</f>
        <v>8.5199162246509655E-2</v>
      </c>
      <c r="AW3206" s="13"/>
      <c r="AX3206" s="13"/>
      <c r="AY3206" s="13"/>
    </row>
    <row r="3207" spans="1:51" x14ac:dyDescent="0.25">
      <c r="A3207" t="s">
        <v>3782</v>
      </c>
      <c r="B3207" s="2" t="str">
        <f t="shared" si="2613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2614"/>
        <v>2536.0309999999999</v>
      </c>
      <c r="AB3207" s="3">
        <f t="shared" si="2615"/>
        <v>39419.85</v>
      </c>
      <c r="AC3207" s="3" cm="1">
        <f t="array" ref="AC3207">100000000/LvacE(AA3207)</f>
        <v>39419.849973216682</v>
      </c>
      <c r="AD3207" s="10">
        <f t="shared" si="2616"/>
        <v>1.277195743530278E-2</v>
      </c>
      <c r="AE3207" s="10" t="b">
        <f t="shared" si="2617"/>
        <v>1</v>
      </c>
      <c r="AP3207"/>
      <c r="AQ3207"/>
      <c r="AU3207" s="13" cm="1">
        <f t="array" ref="AU3207">$C3207*EXP(poly_from_str(100000000/$E3207,AU$4343))</f>
        <v>13.073279700406042</v>
      </c>
    </row>
    <row r="3208" spans="1:51" x14ac:dyDescent="0.25">
      <c r="A3208" t="s">
        <v>3783</v>
      </c>
      <c r="B3208" s="2" t="str">
        <f t="shared" si="2613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2614"/>
        <v>2535.9450000000002</v>
      </c>
      <c r="AB3208" s="3">
        <f t="shared" si="2615"/>
        <v>39421.19</v>
      </c>
      <c r="AC3208" s="3" cm="1">
        <f t="array" ref="AC3208">100000000/LvacE(AA3208)</f>
        <v>39421.18670677748</v>
      </c>
      <c r="AD3208" s="10">
        <f t="shared" si="2616"/>
        <v>1.2772484558375177E-2</v>
      </c>
      <c r="AE3208" s="10" t="b">
        <f t="shared" si="2617"/>
        <v>1</v>
      </c>
      <c r="AJ3208" t="s">
        <v>4879</v>
      </c>
      <c r="AK3208" t="s">
        <v>4914</v>
      </c>
      <c r="AL3208">
        <v>69138.28</v>
      </c>
      <c r="AM3208">
        <v>108559.4</v>
      </c>
      <c r="AN3208" s="10" cm="1">
        <f t="array" ref="AN3208">Lair(100000000/($AM3208-$AL3208))</f>
        <v>2535.949291817421</v>
      </c>
      <c r="AO3208" s="10">
        <f>100000000/($AM3208-$AL3208)</f>
        <v>2536.7112857270422</v>
      </c>
      <c r="AP3208" s="12">
        <v>3560000000</v>
      </c>
      <c r="AQ3208" s="3">
        <v>0.80500000000000005</v>
      </c>
      <c r="AR3208" s="3">
        <f>LN(AU3208*100000000/($AM3208-$AL3208)/AP3208)</f>
        <v>-11.024027418567384</v>
      </c>
      <c r="AS3208" s="13">
        <f>EXP(AR$4341*$AM3208+AR$4342)*$AP3208/(100000000/($AM3208-$AL3208))</f>
        <v>35.930512950379388</v>
      </c>
      <c r="AT3208" s="3">
        <f>LN(AS3208/$C3208)</f>
        <v>1.6356767283494873</v>
      </c>
      <c r="AU3208" s="13" cm="1">
        <f t="array" ref="AU3208">$C3208*EXP(poly_from_str(100000000/$E3208,AU$4343))</f>
        <v>22.88256373449908</v>
      </c>
      <c r="AV3208" s="13">
        <f>LN(AS3208/AU3208)</f>
        <v>0.45121166583748357</v>
      </c>
      <c r="AW3208" s="13"/>
      <c r="AX3208" s="13"/>
      <c r="AY3208" s="13"/>
    </row>
    <row r="3209" spans="1:51" x14ac:dyDescent="0.25">
      <c r="A3209" t="s">
        <v>3784</v>
      </c>
      <c r="B3209" s="2" t="str">
        <f t="shared" si="2613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2614"/>
        <v>2535.0030000000002</v>
      </c>
      <c r="AB3209" s="3">
        <f t="shared" si="2615"/>
        <v>39435.83</v>
      </c>
      <c r="AC3209" s="3" cm="1">
        <f t="array" ref="AC3209">100000000/LvacE(AA3209)</f>
        <v>39435.834539152289</v>
      </c>
      <c r="AD3209" s="10">
        <f t="shared" si="2616"/>
        <v>1.2778261907215156E-2</v>
      </c>
      <c r="AE3209" s="10" t="b">
        <f t="shared" si="2617"/>
        <v>1</v>
      </c>
      <c r="AP3209"/>
      <c r="AQ3209"/>
      <c r="AU3209" s="13" cm="1">
        <f t="array" ref="AU3209">$C3209*EXP(poly_from_str(100000000/$E3209,AU$4343))</f>
        <v>13.102621581708012</v>
      </c>
    </row>
    <row r="3210" spans="1:51" x14ac:dyDescent="0.25">
      <c r="A3210" t="s">
        <v>3785</v>
      </c>
      <c r="B3210" s="2" t="str">
        <f t="shared" si="2613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2614"/>
        <v>2534.759</v>
      </c>
      <c r="AB3210" s="3">
        <f t="shared" si="2615"/>
        <v>39439.629999999997</v>
      </c>
      <c r="AC3210" s="3" cm="1">
        <f t="array" ref="AC3210">100000000/LvacE(AA3210)</f>
        <v>39439.630444858834</v>
      </c>
      <c r="AD3210" s="10">
        <f t="shared" si="2616"/>
        <v>1.2779759425818951E-2</v>
      </c>
      <c r="AE3210" s="10" t="b">
        <f t="shared" si="2617"/>
        <v>1</v>
      </c>
      <c r="AJ3210" t="s">
        <v>4892</v>
      </c>
      <c r="AK3210" t="s">
        <v>4942</v>
      </c>
      <c r="AL3210">
        <v>62240.83</v>
      </c>
      <c r="AM3210">
        <v>101680.38</v>
      </c>
      <c r="AN3210" s="10" cm="1">
        <f t="array" ref="AN3210">Lair(100000000/($AM3210-$AL3210))</f>
        <v>2534.7641708245742</v>
      </c>
      <c r="AO3210" s="10">
        <f>100000000/($AM3210-$AL3210)</f>
        <v>2535.5258870854254</v>
      </c>
      <c r="AP3210" s="12">
        <v>4790000000</v>
      </c>
      <c r="AQ3210" s="3">
        <v>0.86</v>
      </c>
      <c r="AR3210" s="3">
        <f>LN(AU3210*100000000/($AM3210-$AL3210)/AP3210)</f>
        <v>-11.067368045530841</v>
      </c>
      <c r="AS3210" s="13">
        <f>EXP(AR$4341*$AM3210+AR$4342)*$AP3210/(100000000/($AM3210-$AL3210))</f>
        <v>81.050491537014679</v>
      </c>
      <c r="AT3210" s="3">
        <f>LN(AS3210/$C3210)</f>
        <v>2.1978477354416928</v>
      </c>
      <c r="AU3210" s="13" cm="1">
        <f t="array" ref="AU3210">$C3210*EXP(poly_from_str(100000000/$E3210,AU$4343))</f>
        <v>29.49650724322003</v>
      </c>
      <c r="AV3210" s="13">
        <f>LN(AS3210/AU3210)</f>
        <v>1.010800454976712</v>
      </c>
      <c r="AW3210" s="13"/>
      <c r="AX3210" s="13"/>
      <c r="AY3210" s="13"/>
    </row>
    <row r="3211" spans="1:51" x14ac:dyDescent="0.25">
      <c r="A3211" t="s">
        <v>3786</v>
      </c>
      <c r="B3211" s="2" t="str">
        <f t="shared" si="2613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2614"/>
        <v>2534.62</v>
      </c>
      <c r="AB3211" s="3">
        <f t="shared" si="2615"/>
        <v>39441.79</v>
      </c>
      <c r="AC3211" s="3" cm="1">
        <f t="array" ref="AC3211">100000000/LvacE(AA3211)</f>
        <v>39441.793193268852</v>
      </c>
      <c r="AD3211" s="10">
        <f t="shared" si="2616"/>
        <v>1.2780612713793164E-2</v>
      </c>
      <c r="AE3211" s="10" t="b">
        <f t="shared" si="2617"/>
        <v>1</v>
      </c>
      <c r="AP3211"/>
      <c r="AQ3211"/>
      <c r="AU3211" s="13" cm="1">
        <f t="array" ref="AU3211">$C3211*EXP(poly_from_str(100000000/$E3211,AU$4343))</f>
        <v>16.39186896190018</v>
      </c>
    </row>
    <row r="3212" spans="1:51" x14ac:dyDescent="0.25">
      <c r="A3212" t="s">
        <v>3787</v>
      </c>
      <c r="B3212" s="2" t="str">
        <f t="shared" si="2613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2614"/>
        <v>2534.2550000000001</v>
      </c>
      <c r="AB3212" s="3">
        <f t="shared" si="2615"/>
        <v>39447.47</v>
      </c>
      <c r="AC3212" s="3" cm="1">
        <f t="array" ref="AC3212">100000000/LvacE(AA3212)</f>
        <v>39447.473482062131</v>
      </c>
      <c r="AD3212" s="10">
        <f t="shared" si="2616"/>
        <v>1.2782854030486698E-2</v>
      </c>
      <c r="AE3212" s="10" t="b">
        <f t="shared" si="2617"/>
        <v>1</v>
      </c>
      <c r="AP3212"/>
      <c r="AQ3212"/>
      <c r="AU3212" s="13" cm="1">
        <f t="array" ref="AU3212">$C3212*EXP(poly_from_str(100000000/$E3212,AU$4343))</f>
        <v>19.68573419732013</v>
      </c>
    </row>
    <row r="3213" spans="1:51" x14ac:dyDescent="0.25">
      <c r="A3213" t="s">
        <v>3788</v>
      </c>
      <c r="B3213" s="2" t="str">
        <f t="shared" si="2613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2614"/>
        <v>2533.904</v>
      </c>
      <c r="AB3213" s="3">
        <f t="shared" si="2615"/>
        <v>39452.94</v>
      </c>
      <c r="AC3213" s="3" cm="1">
        <f t="array" ref="AC3213">100000000/LvacE(AA3213)</f>
        <v>39452.937440071611</v>
      </c>
      <c r="AD3213" s="10">
        <f t="shared" si="2616"/>
        <v>1.278501029243247E-2</v>
      </c>
      <c r="AE3213" s="10" t="b">
        <f t="shared" si="2617"/>
        <v>1</v>
      </c>
      <c r="AP3213"/>
      <c r="AQ3213"/>
      <c r="AU3213" s="13" cm="1">
        <f t="array" ref="AU3213">$C3213*EXP(poly_from_str(100000000/$E3213,AU$4343))</f>
        <v>29.550906762347982</v>
      </c>
    </row>
    <row r="3214" spans="1:51" x14ac:dyDescent="0.25">
      <c r="A3214" t="s">
        <v>3789</v>
      </c>
      <c r="B3214" s="2" t="str">
        <f t="shared" si="2613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2614"/>
        <v>2533.6529999999998</v>
      </c>
      <c r="AB3214" s="3">
        <f t="shared" si="2615"/>
        <v>39456.839999999997</v>
      </c>
      <c r="AC3214" s="3" cm="1">
        <f t="array" ref="AC3214">100000000/LvacE(AA3214)</f>
        <v>39456.84564314413</v>
      </c>
      <c r="AD3214" s="10">
        <f t="shared" si="2616"/>
        <v>1.2786552784288956E-2</v>
      </c>
      <c r="AE3214" s="10" t="b">
        <f t="shared" si="2617"/>
        <v>1</v>
      </c>
      <c r="AP3214"/>
      <c r="AQ3214"/>
      <c r="AU3214" s="13" cm="1">
        <f t="array" ref="AU3214">$C3214*EXP(poly_from_str(100000000/$E3214,AU$4343))</f>
        <v>29.566766793031018</v>
      </c>
    </row>
    <row r="3215" spans="1:51" x14ac:dyDescent="0.25">
      <c r="A3215" t="s">
        <v>3790</v>
      </c>
      <c r="B3215" s="2" t="str">
        <f t="shared" si="2613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2614"/>
        <v>2532.6559999999999</v>
      </c>
      <c r="AB3215" s="3">
        <f t="shared" si="2615"/>
        <v>39472.379999999997</v>
      </c>
      <c r="AC3215" s="3" cm="1">
        <f t="array" ref="AC3215">100000000/LvacE(AA3215)</f>
        <v>39472.377110317379</v>
      </c>
      <c r="AD3215" s="10">
        <f t="shared" si="2616"/>
        <v>1.2792684263144576E-2</v>
      </c>
      <c r="AE3215" s="10" t="b">
        <f t="shared" si="2617"/>
        <v>1</v>
      </c>
      <c r="AJ3215" t="s">
        <v>4706</v>
      </c>
      <c r="AK3215" t="s">
        <v>4941</v>
      </c>
      <c r="AL3215">
        <v>30505.72</v>
      </c>
      <c r="AM3215">
        <v>69978.080000000002</v>
      </c>
      <c r="AN3215" s="10" cm="1">
        <f t="array" ref="AN3215">Lair(100000000/($AM3215-$AL3215))</f>
        <v>2532.6570982884718</v>
      </c>
      <c r="AO3215" s="10">
        <f>100000000/($AM3215-$AL3215)</f>
        <v>2533.4183210732776</v>
      </c>
      <c r="AP3215" s="12">
        <v>44300000</v>
      </c>
      <c r="AQ3215" s="3">
        <v>9.4E-2</v>
      </c>
      <c r="AR3215" s="3">
        <f>LN(AU3215*100000000/($AM3215-$AL3215)/AP3215)</f>
        <v>-7.4790086372522149</v>
      </c>
      <c r="AS3215" s="13">
        <f>EXP(AR$4341*$AM3215+AR$4342)*$AP3215/(100000000/($AM3215-$AL3215))</f>
        <v>8.099138965636163</v>
      </c>
      <c r="AT3215" s="3">
        <f>LN(AS3215/$C3215)</f>
        <v>0.99314546682123539</v>
      </c>
      <c r="AU3215" s="13" cm="1">
        <f t="array" ref="AU3215">$C3215*EXP(poly_from_str(100000000/$E3215,AU$4343))</f>
        <v>9.8765357030347438</v>
      </c>
      <c r="AV3215" s="13">
        <f>LN(AS3215/AU3215)</f>
        <v>-0.19840405743812248</v>
      </c>
      <c r="AW3215" s="13"/>
      <c r="AX3215" s="13"/>
      <c r="AY3215" s="13"/>
    </row>
    <row r="3216" spans="1:51" x14ac:dyDescent="0.25">
      <c r="A3216" t="s">
        <v>3791</v>
      </c>
      <c r="B3216" s="2" t="str">
        <f t="shared" si="2613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2614"/>
        <v>2532.1179999999999</v>
      </c>
      <c r="AB3216" s="3">
        <f t="shared" si="2615"/>
        <v>39480.76</v>
      </c>
      <c r="AC3216" s="3" cm="1">
        <f t="array" ref="AC3216">100000000/LvacE(AA3216)</f>
        <v>39480.763262932422</v>
      </c>
      <c r="AD3216" s="10">
        <f t="shared" si="2616"/>
        <v>1.2795995933627978E-2</v>
      </c>
      <c r="AE3216" s="10" t="b">
        <f t="shared" si="2617"/>
        <v>1</v>
      </c>
      <c r="AP3216"/>
      <c r="AQ3216"/>
      <c r="AU3216" s="13" cm="1">
        <f t="array" ref="AU3216">$C3216*EXP(poly_from_str(100000000/$E3216,AU$4343))</f>
        <v>9.8877532004501791</v>
      </c>
    </row>
    <row r="3217" spans="1:51" x14ac:dyDescent="0.25">
      <c r="A3217" t="s">
        <v>3792</v>
      </c>
      <c r="B3217" s="2" t="str">
        <f t="shared" si="2613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2618">$G3217&amp;""</f>
        <v>o</v>
      </c>
      <c r="N3217" t="str">
        <f t="shared" ref="N3217:N3219" si="2619">$H3217&amp;""</f>
        <v>13/2</v>
      </c>
      <c r="O3217">
        <v>105632.16</v>
      </c>
      <c r="P3217" t="str">
        <f t="shared" ref="P3217:P3219" si="2620">$J3217&amp;""</f>
        <v>e</v>
      </c>
      <c r="Q3217" t="str">
        <f t="shared" ref="Q3217:Q3219" si="2621">$K3217&amp;""</f>
        <v>13/2</v>
      </c>
      <c r="R3217">
        <v>30</v>
      </c>
      <c r="AA3217" s="10">
        <f t="shared" si="2614"/>
        <v>2531.9250000000002</v>
      </c>
      <c r="AB3217" s="3">
        <f t="shared" si="2615"/>
        <v>39483.769999999997</v>
      </c>
      <c r="AC3217" s="3" cm="1">
        <f t="array" ref="AC3217">100000000/LvacE(AA3217)</f>
        <v>39483.77254673397</v>
      </c>
      <c r="AD3217" s="10">
        <f t="shared" si="2616"/>
        <v>1.2797184463744773E-2</v>
      </c>
      <c r="AE3217" s="10" t="b">
        <f t="shared" si="2617"/>
        <v>1</v>
      </c>
      <c r="AJ3217" t="s">
        <v>4694</v>
      </c>
      <c r="AK3217" t="s">
        <v>4887</v>
      </c>
      <c r="AL3217">
        <v>66148.399999999994</v>
      </c>
      <c r="AM3217">
        <v>105632.16</v>
      </c>
      <c r="AN3217" s="10" cm="1">
        <f t="array" ref="AN3217">Lair(100000000/($AM3217-$AL3217))</f>
        <v>2531.9258050049148</v>
      </c>
      <c r="AO3217" s="10">
        <f t="shared" ref="AO3217:AO3219" si="2622">100000000/($AM3217-$AL3217)</f>
        <v>2532.6868565709033</v>
      </c>
      <c r="AP3217" s="12">
        <v>2760000000</v>
      </c>
      <c r="AQ3217" s="3">
        <v>0.77600000000000002</v>
      </c>
      <c r="AR3217" s="3">
        <f>LN(AU3217*100000000/($AM3217-$AL3217)/AP3217)</f>
        <v>-10.762459629081325</v>
      </c>
      <c r="AS3217" s="13">
        <f t="shared" ref="AS3217:AS3219" si="2623">EXP(AR$4341*$AM3217+AR$4342)*$AP3217/(100000000/($AM3217-$AL3217))</f>
        <v>34.755040939703107</v>
      </c>
      <c r="AT3217" s="3">
        <f t="shared" ref="AT3217:AT3219" si="2624">LN(AS3217/$C3217)</f>
        <v>1.6024144754479055</v>
      </c>
      <c r="AU3217" s="13" cm="1">
        <f t="array" ref="AU3217">$C3217*EXP(poly_from_str(100000000/$E3217,AU$4343))</f>
        <v>23.080794637530573</v>
      </c>
      <c r="AV3217" s="13">
        <f>LN(AS3217/AU3217)</f>
        <v>0.40932375375364399</v>
      </c>
      <c r="AW3217" s="13"/>
      <c r="AX3217" s="13"/>
      <c r="AY3217" s="13"/>
    </row>
    <row r="3218" spans="1:51" x14ac:dyDescent="0.25">
      <c r="A3218" t="s">
        <v>3793</v>
      </c>
      <c r="B3218" s="2" t="str">
        <f t="shared" si="2613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2618"/>
        <v>e</v>
      </c>
      <c r="N3218" t="str">
        <f t="shared" si="2619"/>
        <v>7/2</v>
      </c>
      <c r="O3218">
        <v>65935.25</v>
      </c>
      <c r="P3218" t="str">
        <f t="shared" si="2620"/>
        <v>o</v>
      </c>
      <c r="Q3218" t="str">
        <f t="shared" si="2621"/>
        <v>7/2</v>
      </c>
      <c r="R3218">
        <v>30</v>
      </c>
      <c r="AA3218" s="10">
        <f t="shared" si="2614"/>
        <v>2531.6329999999998</v>
      </c>
      <c r="AB3218" s="3">
        <f t="shared" si="2615"/>
        <v>39488.33</v>
      </c>
      <c r="AC3218" s="3" cm="1">
        <f t="array" ref="AC3218">100000000/LvacE(AA3218)</f>
        <v>39488.326324912457</v>
      </c>
      <c r="AD3218" s="10">
        <f t="shared" si="2616"/>
        <v>1.2798983171121655E-2</v>
      </c>
      <c r="AE3218" s="10" t="b">
        <f t="shared" si="2617"/>
        <v>1</v>
      </c>
      <c r="AJ3218" t="s">
        <v>4736</v>
      </c>
      <c r="AK3218" t="s">
        <v>4858</v>
      </c>
      <c r="AL3218">
        <v>26446.97</v>
      </c>
      <c r="AM3218">
        <v>65935.25</v>
      </c>
      <c r="AN3218" s="10" cm="1">
        <f t="array" ref="AN3218">Lair(100000000/($AM3218-$AL3218))</f>
        <v>2531.6359705218006</v>
      </c>
      <c r="AO3218" s="10">
        <f t="shared" si="2622"/>
        <v>2532.3969542355353</v>
      </c>
      <c r="AP3218" s="12">
        <v>30700000</v>
      </c>
      <c r="AQ3218" s="3">
        <v>4.3999999999999997E-2</v>
      </c>
      <c r="AR3218" s="3"/>
      <c r="AS3218" s="13">
        <f t="shared" si="2623"/>
        <v>7.6052611485184531</v>
      </c>
      <c r="AT3218" s="3"/>
      <c r="AU3218" s="13" cm="1">
        <f t="array" ref="AU3218">$C3218*EXP(poly_from_str(100000000/$E3218,AU$4343))</f>
        <v>19.795679526969636</v>
      </c>
      <c r="AV3218" s="13"/>
      <c r="AW3218" s="13"/>
      <c r="AX3218" s="13"/>
      <c r="AY3218" s="13"/>
    </row>
    <row r="3219" spans="1:51" x14ac:dyDescent="0.25">
      <c r="A3219" t="s">
        <v>3794</v>
      </c>
      <c r="B3219" s="2" t="str">
        <f t="shared" si="2613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2618"/>
        <v>e</v>
      </c>
      <c r="N3219" t="str">
        <f t="shared" si="2619"/>
        <v>9/2</v>
      </c>
      <c r="O3219">
        <v>62240.83</v>
      </c>
      <c r="P3219" t="str">
        <f t="shared" si="2620"/>
        <v>o</v>
      </c>
      <c r="Q3219" t="str">
        <f t="shared" si="2621"/>
        <v>11/2</v>
      </c>
      <c r="R3219">
        <v>30</v>
      </c>
      <c r="AA3219" s="10">
        <f t="shared" si="2614"/>
        <v>2531.3249999999998</v>
      </c>
      <c r="AB3219" s="3">
        <f t="shared" si="2615"/>
        <v>39493.129999999997</v>
      </c>
      <c r="AC3219" s="3" cm="1">
        <f t="array" ref="AC3219">100000000/LvacE(AA3219)</f>
        <v>39493.13076356391</v>
      </c>
      <c r="AD3219" s="10">
        <f t="shared" si="2616"/>
        <v>1.2800881112374728E-2</v>
      </c>
      <c r="AE3219" s="10" t="b">
        <f t="shared" si="2617"/>
        <v>1</v>
      </c>
      <c r="AJ3219" t="s">
        <v>4797</v>
      </c>
      <c r="AK3219" t="s">
        <v>4892</v>
      </c>
      <c r="AL3219">
        <v>22747.69</v>
      </c>
      <c r="AM3219">
        <v>62240.83</v>
      </c>
      <c r="AN3219" s="10" cm="1">
        <f t="array" ref="AN3219">Lair(100000000/($AM3219-$AL3219))</f>
        <v>2531.3244083418444</v>
      </c>
      <c r="AO3219" s="10">
        <f t="shared" si="2622"/>
        <v>2532.085319121245</v>
      </c>
      <c r="AP3219" s="12">
        <v>248000000</v>
      </c>
      <c r="AQ3219" s="3">
        <v>0.64100000000000001</v>
      </c>
      <c r="AR3219" s="3">
        <f>LN(AU3219*100000000/($AM3219-$AL3219)/AP3219)</f>
        <v>-8.1005683495705743</v>
      </c>
      <c r="AS3219" s="13">
        <f t="shared" si="2623"/>
        <v>81.075731390976486</v>
      </c>
      <c r="AT3219" s="3">
        <f t="shared" si="2624"/>
        <v>2.1981590959817692</v>
      </c>
      <c r="AU3219" s="13" cm="1">
        <f t="array" ref="AU3219">$C3219*EXP(poly_from_str(100000000/$E3219,AU$4343))</f>
        <v>29.712637950721753</v>
      </c>
      <c r="AV3219" s="13">
        <f>LN(AS3219/AU3219)</f>
        <v>1.0038111977910702</v>
      </c>
      <c r="AW3219" s="13"/>
      <c r="AX3219" s="13"/>
      <c r="AY3219" s="13"/>
    </row>
    <row r="3220" spans="1:51" x14ac:dyDescent="0.25">
      <c r="A3220" t="s">
        <v>3795</v>
      </c>
      <c r="B3220" s="2" t="str">
        <f t="shared" si="2613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2614"/>
        <v>2531.1379999999999</v>
      </c>
      <c r="AB3220" s="3">
        <f t="shared" si="2615"/>
        <v>39496.050000000003</v>
      </c>
      <c r="AC3220" s="3" cm="1">
        <f t="array" ref="AC3220">100000000/LvacE(AA3220)</f>
        <v>39496.048314557884</v>
      </c>
      <c r="AD3220" s="10">
        <f t="shared" si="2616"/>
        <v>1.2802033771876106E-2</v>
      </c>
      <c r="AE3220" s="10" t="b">
        <f t="shared" si="2617"/>
        <v>1</v>
      </c>
      <c r="AP3220"/>
      <c r="AQ3220"/>
      <c r="AU3220" s="13" cm="1">
        <f t="array" ref="AU3220">$C3220*EXP(poly_from_str(100000000/$E3220,AU$4343))</f>
        <v>3.3026936205903166</v>
      </c>
    </row>
    <row r="3221" spans="1:51" x14ac:dyDescent="0.25">
      <c r="A3221" t="s">
        <v>3796</v>
      </c>
      <c r="B3221" s="2" t="str">
        <f t="shared" si="2613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2614"/>
        <v>2530.9679999999998</v>
      </c>
      <c r="AB3221" s="3">
        <f t="shared" si="2615"/>
        <v>39498.699999999997</v>
      </c>
      <c r="AC3221" s="3" cm="1">
        <f t="array" ref="AC3221">100000000/LvacE(AA3221)</f>
        <v>39498.701007712429</v>
      </c>
      <c r="AD3221" s="10">
        <f t="shared" si="2616"/>
        <v>1.2803081865853782E-2</v>
      </c>
      <c r="AE3221" s="10" t="b">
        <f t="shared" si="2617"/>
        <v>1</v>
      </c>
      <c r="AP3221"/>
      <c r="AQ3221"/>
      <c r="AU3221" s="13" cm="1">
        <f t="array" ref="AU3221">$C3221*EXP(poly_from_str(100000000/$E3221,AU$4343))</f>
        <v>3.3038619209222206</v>
      </c>
    </row>
    <row r="3222" spans="1:51" x14ac:dyDescent="0.25">
      <c r="A3222" t="s">
        <v>3797</v>
      </c>
      <c r="B3222" s="2" t="str">
        <f t="shared" si="2613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2625">$G3222&amp;""</f>
        <v>e</v>
      </c>
      <c r="N3222" t="str">
        <f t="shared" ref="N3222:N3227" si="2626">$H3222&amp;""</f>
        <v>13/2</v>
      </c>
      <c r="O3222">
        <v>62678.7</v>
      </c>
      <c r="P3222" t="str">
        <f t="shared" ref="P3222:P3227" si="2627">$J3222&amp;""</f>
        <v>o</v>
      </c>
      <c r="Q3222" t="str">
        <f t="shared" ref="Q3222:Q3227" si="2628">$K3222&amp;""</f>
        <v>13/2</v>
      </c>
      <c r="R3222">
        <v>30</v>
      </c>
      <c r="AA3222" s="10">
        <f t="shared" si="2614"/>
        <v>2530.6550000000002</v>
      </c>
      <c r="AB3222" s="3">
        <f t="shared" si="2615"/>
        <v>39503.589999999997</v>
      </c>
      <c r="AC3222" s="3" cm="1">
        <f t="array" ref="AC3222">100000000/LvacE(AA3222)</f>
        <v>39503.586015986388</v>
      </c>
      <c r="AD3222" s="10">
        <f t="shared" si="2616"/>
        <v>1.2805012144284067E-2</v>
      </c>
      <c r="AE3222" s="10" t="b">
        <f t="shared" si="2617"/>
        <v>1</v>
      </c>
      <c r="AJ3222" t="s">
        <v>4969</v>
      </c>
      <c r="AK3222" t="s">
        <v>4888</v>
      </c>
      <c r="AL3222">
        <v>23175.09</v>
      </c>
      <c r="AM3222">
        <v>62678.7</v>
      </c>
      <c r="AN3222" s="10" cm="1">
        <f t="array" ref="AN3222">Lair(100000000/($AM3222-$AL3222))</f>
        <v>2530.6534638543635</v>
      </c>
      <c r="AO3222" s="10">
        <f t="shared" ref="AO3222:AO3227" si="2629">100000000/($AM3222-$AL3222)</f>
        <v>2531.4142175866964</v>
      </c>
      <c r="AP3222" s="12">
        <v>33200000</v>
      </c>
      <c r="AQ3222" s="3">
        <v>0.113</v>
      </c>
      <c r="AR3222" s="3">
        <f t="shared" ref="AR3222:AR3223" si="2630">LN(AU3222*100000000/($AM3222-$AL3222)/AP3222)</f>
        <v>-6.8994897095181074</v>
      </c>
      <c r="AS3222" s="13">
        <f t="shared" ref="AS3222:AS3226" si="2631">EXP(AR$4341*$AM3222+AR$4342)*$AP3222/(100000000/($AM3222-$AL3222))</f>
        <v>10.505607398021352</v>
      </c>
      <c r="AT3222" s="3">
        <f t="shared" ref="AT3222:AT3226" si="2632">LN(AS3222/$C3222)</f>
        <v>0.96561479140288786</v>
      </c>
      <c r="AU3222" s="13" cm="1">
        <f t="array" ref="AU3222">$C3222*EXP(poly_from_str(100000000/$E3222,AU$4343))</f>
        <v>13.224052354128125</v>
      </c>
      <c r="AV3222" s="13">
        <f t="shared" ref="AV3222:AV3223" si="2633">LN(AS3222/AU3222)</f>
        <v>-0.23012816701171063</v>
      </c>
      <c r="AW3222" s="13"/>
      <c r="AX3222" s="13"/>
      <c r="AY3222" s="13"/>
    </row>
    <row r="3223" spans="1:51" x14ac:dyDescent="0.25">
      <c r="A3223" t="s">
        <v>3798</v>
      </c>
      <c r="B3223" s="2" t="str">
        <f t="shared" si="2613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2625"/>
        <v>e</v>
      </c>
      <c r="N3223" t="str">
        <f t="shared" si="2626"/>
        <v>5/2</v>
      </c>
      <c r="O3223">
        <v>84409.93</v>
      </c>
      <c r="P3223" t="str">
        <f t="shared" si="2627"/>
        <v>o</v>
      </c>
      <c r="Q3223" t="str">
        <f t="shared" si="2628"/>
        <v>3/2</v>
      </c>
      <c r="R3223">
        <v>30</v>
      </c>
      <c r="AA3223" s="10">
        <f t="shared" si="2614"/>
        <v>2530.4639999999999</v>
      </c>
      <c r="AB3223" s="3">
        <f t="shared" si="2615"/>
        <v>39506.57</v>
      </c>
      <c r="AC3223" s="3" cm="1">
        <f t="array" ref="AC3223">100000000/LvacE(AA3223)</f>
        <v>39506.567557175629</v>
      </c>
      <c r="AD3223" s="10">
        <f t="shared" si="2616"/>
        <v>1.2806190397724612E-2</v>
      </c>
      <c r="AE3223" s="10" t="b">
        <f t="shared" si="2617"/>
        <v>1</v>
      </c>
      <c r="AJ3223" t="s">
        <v>4765</v>
      </c>
      <c r="AK3223" t="s">
        <v>4930</v>
      </c>
      <c r="AL3223">
        <v>44903.42</v>
      </c>
      <c r="AM3223">
        <v>84409.93</v>
      </c>
      <c r="AN3223" s="10" cm="1">
        <f t="array" ref="AN3223">Lair(100000000/($AM3223-$AL3223))</f>
        <v>2530.4676872959303</v>
      </c>
      <c r="AO3223" s="10">
        <f t="shared" si="2629"/>
        <v>2531.2283975476448</v>
      </c>
      <c r="AP3223" s="12">
        <v>505000000</v>
      </c>
      <c r="AQ3223" s="3">
        <v>0.84199999999999997</v>
      </c>
      <c r="AR3223" s="3">
        <f t="shared" si="2630"/>
        <v>-8.810245899540357</v>
      </c>
      <c r="AS3223" s="13">
        <f t="shared" si="2631"/>
        <v>31.284811194151423</v>
      </c>
      <c r="AT3223" s="3">
        <f t="shared" si="2632"/>
        <v>1.2459081370679734</v>
      </c>
      <c r="AU3223" s="13" cm="1">
        <f t="array" ref="AU3223">$C3223*EXP(poly_from_str(100000000/$E3223,AU$4343))</f>
        <v>29.765889527745454</v>
      </c>
      <c r="AV3223" s="13">
        <f t="shared" si="2633"/>
        <v>4.9769623221183105E-2</v>
      </c>
      <c r="AW3223" s="13"/>
      <c r="AX3223" s="13"/>
      <c r="AY3223" s="13"/>
    </row>
    <row r="3224" spans="1:51" x14ac:dyDescent="0.25">
      <c r="A3224" t="s">
        <v>3799</v>
      </c>
      <c r="B3224" s="2" t="str">
        <f t="shared" si="2613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2625"/>
        <v>e</v>
      </c>
      <c r="N3224" t="str">
        <f t="shared" si="2626"/>
        <v>9/2</v>
      </c>
      <c r="O3224">
        <v>68238.12</v>
      </c>
      <c r="P3224" t="str">
        <f t="shared" si="2627"/>
        <v>o</v>
      </c>
      <c r="Q3224" t="str">
        <f t="shared" si="2628"/>
        <v>11/2</v>
      </c>
      <c r="R3224">
        <v>30</v>
      </c>
      <c r="S3224" t="s">
        <v>159</v>
      </c>
      <c r="AA3224" s="10">
        <f t="shared" si="2614"/>
        <v>2529.768</v>
      </c>
      <c r="AB3224" s="3">
        <f t="shared" si="2615"/>
        <v>39517.440000000002</v>
      </c>
      <c r="AC3224" s="3" cm="1">
        <f t="array" ref="AC3224">100000000/LvacE(AA3224)</f>
        <v>39517.436039767927</v>
      </c>
      <c r="AD3224" s="10">
        <f t="shared" si="2616"/>
        <v>1.2810486186829766E-2</v>
      </c>
      <c r="AE3224" s="10" t="b">
        <f t="shared" si="2617"/>
        <v>1</v>
      </c>
      <c r="AJ3224" t="s">
        <v>4708</v>
      </c>
      <c r="AK3224" t="s">
        <v>4934</v>
      </c>
      <c r="AL3224">
        <v>28720.71</v>
      </c>
      <c r="AM3224">
        <v>68238.12</v>
      </c>
      <c r="AN3224" s="10" cm="1">
        <f t="array" ref="AN3224">Lair(100000000/($AM3224-$AL3224))</f>
        <v>2529.7696675076695</v>
      </c>
      <c r="AO3224" s="10">
        <f t="shared" si="2629"/>
        <v>2530.5302144042339</v>
      </c>
      <c r="AP3224" s="12">
        <v>12000000</v>
      </c>
      <c r="AQ3224" s="3">
        <v>4.3999999999999997E-2</v>
      </c>
      <c r="AR3224" s="3"/>
      <c r="AS3224" s="13">
        <f t="shared" si="2631"/>
        <v>2.5027715622763753</v>
      </c>
      <c r="AT3224" s="3"/>
      <c r="AU3224" s="13" cm="1">
        <f t="array" ref="AU3224">$C3224*EXP(poly_from_str(100000000/$E3224,AU$4343))</f>
        <v>16.560365670426386</v>
      </c>
      <c r="AV3224" s="13"/>
      <c r="AW3224" s="13"/>
      <c r="AX3224" s="13"/>
      <c r="AY3224" s="13"/>
    </row>
    <row r="3225" spans="1:51" x14ac:dyDescent="0.25">
      <c r="A3225" t="s">
        <v>3800</v>
      </c>
      <c r="B3225" s="2" t="str">
        <f t="shared" si="2613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2625"/>
        <v>o</v>
      </c>
      <c r="N3225" t="str">
        <f t="shared" si="2626"/>
        <v>11/2</v>
      </c>
      <c r="O3225">
        <v>103335.06</v>
      </c>
      <c r="P3225" t="str">
        <f t="shared" si="2627"/>
        <v>e</v>
      </c>
      <c r="Q3225" t="str">
        <f t="shared" si="2628"/>
        <v>9/2</v>
      </c>
      <c r="R3225">
        <v>30</v>
      </c>
      <c r="AA3225" s="10">
        <f t="shared" si="2614"/>
        <v>2529.7260000000001</v>
      </c>
      <c r="AB3225" s="3">
        <f t="shared" si="2615"/>
        <v>39518.089999999997</v>
      </c>
      <c r="AC3225" s="3" cm="1">
        <f t="array" ref="AC3225">100000000/LvacE(AA3225)</f>
        <v>39518.092087785473</v>
      </c>
      <c r="AD3225" s="10">
        <f t="shared" si="2616"/>
        <v>1.2810745528920024E-2</v>
      </c>
      <c r="AE3225" s="10" t="b">
        <f t="shared" si="2617"/>
        <v>1</v>
      </c>
      <c r="AJ3225" t="s">
        <v>4928</v>
      </c>
      <c r="AK3225" t="s">
        <v>4890</v>
      </c>
      <c r="AL3225">
        <v>63816.91</v>
      </c>
      <c r="AM3225">
        <v>103335.06</v>
      </c>
      <c r="AN3225" s="10" cm="1">
        <f t="array" ref="AN3225">Lair(100000000/($AM3225-$AL3225))</f>
        <v>2529.722292965625</v>
      </c>
      <c r="AO3225" s="10">
        <f t="shared" si="2629"/>
        <v>2530.4828287761452</v>
      </c>
      <c r="AP3225" s="12">
        <v>486000000</v>
      </c>
      <c r="AQ3225" s="3">
        <v>0.39800000000000002</v>
      </c>
      <c r="AR3225" s="3">
        <f t="shared" ref="AR3225:AR3226" si="2634">LN(AU3225*100000000/($AM3225-$AL3225)/AP3225)</f>
        <v>-9.5815995889240799</v>
      </c>
      <c r="AS3225" s="13">
        <f t="shared" si="2631"/>
        <v>7.2776485869718188</v>
      </c>
      <c r="AT3225" s="3">
        <f t="shared" si="2632"/>
        <v>0.59851345261908573</v>
      </c>
      <c r="AU3225" s="13" cm="1">
        <f t="array" ref="AU3225">$C3225*EXP(poly_from_str(100000000/$E3225,AU$4343))</f>
        <v>13.249425433910188</v>
      </c>
      <c r="AV3225" s="13">
        <f t="shared" ref="AV3225:AV3226" si="2635">LN(AS3225/AU3225)</f>
        <v>-0.59914637427455564</v>
      </c>
      <c r="AW3225" s="13"/>
      <c r="AX3225" s="13"/>
      <c r="AY3225" s="13"/>
    </row>
    <row r="3226" spans="1:51" x14ac:dyDescent="0.25">
      <c r="A3226" t="s">
        <v>3801</v>
      </c>
      <c r="B3226" s="2" t="str">
        <f t="shared" si="2613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2625"/>
        <v>o</v>
      </c>
      <c r="N3226" t="str">
        <f t="shared" si="2626"/>
        <v>7/2</v>
      </c>
      <c r="O3226">
        <v>107854.46</v>
      </c>
      <c r="P3226" t="str">
        <f t="shared" si="2627"/>
        <v>e</v>
      </c>
      <c r="Q3226" t="str">
        <f t="shared" si="2628"/>
        <v>9/2</v>
      </c>
      <c r="R3226">
        <v>30</v>
      </c>
      <c r="AA3226" s="10">
        <f t="shared" si="2614"/>
        <v>2529.4299999999998</v>
      </c>
      <c r="AB3226" s="3">
        <f t="shared" si="2615"/>
        <v>39522.720000000001</v>
      </c>
      <c r="AC3226" s="3" cm="1">
        <f t="array" ref="AC3226">100000000/LvacE(AA3226)</f>
        <v>39522.716282045367</v>
      </c>
      <c r="AD3226" s="10">
        <f t="shared" si="2616"/>
        <v>1.281257363952459E-2</v>
      </c>
      <c r="AE3226" s="10" t="b">
        <f t="shared" si="2617"/>
        <v>1</v>
      </c>
      <c r="AJ3226" t="s">
        <v>4923</v>
      </c>
      <c r="AK3226" t="s">
        <v>4898</v>
      </c>
      <c r="AL3226">
        <v>68331.75</v>
      </c>
      <c r="AM3226">
        <v>107854.46</v>
      </c>
      <c r="AN3226" s="10" cm="1">
        <f t="array" ref="AN3226">Lair(100000000/($AM3226-$AL3226))</f>
        <v>2529.4304025005817</v>
      </c>
      <c r="AO3226" s="10">
        <f t="shared" si="2629"/>
        <v>2530.1908700086606</v>
      </c>
      <c r="AP3226" s="12">
        <v>890000000</v>
      </c>
      <c r="AQ3226" s="3">
        <v>0.28999999999999998</v>
      </c>
      <c r="AR3226" s="3">
        <f t="shared" si="2634"/>
        <v>-10.879267035545809</v>
      </c>
      <c r="AS3226" s="13">
        <f t="shared" si="2631"/>
        <v>9.4950414461614727</v>
      </c>
      <c r="AT3226" s="3">
        <f t="shared" si="2632"/>
        <v>1.5576225287460117</v>
      </c>
      <c r="AU3226" s="13" cm="1">
        <f t="array" ref="AU3226">$C3226*EXP(poly_from_str(100000000/$E3226,AU$4343))</f>
        <v>6.6287414761513368</v>
      </c>
      <c r="AV3226" s="13">
        <f t="shared" si="2635"/>
        <v>0.35935474572838449</v>
      </c>
      <c r="AW3226" s="13"/>
      <c r="AX3226" s="13"/>
      <c r="AY3226" s="13"/>
    </row>
    <row r="3227" spans="1:51" x14ac:dyDescent="0.25">
      <c r="A3227" t="s">
        <v>3802</v>
      </c>
      <c r="B3227" s="2" t="str">
        <f t="shared" si="2613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2625"/>
        <v>o</v>
      </c>
      <c r="N3227" t="str">
        <f t="shared" si="2626"/>
        <v>11/2</v>
      </c>
      <c r="O3227">
        <v>105450.18</v>
      </c>
      <c r="P3227" t="str">
        <f t="shared" si="2627"/>
        <v>e</v>
      </c>
      <c r="Q3227" t="str">
        <f t="shared" si="2628"/>
        <v>11/2</v>
      </c>
      <c r="R3227">
        <v>30</v>
      </c>
      <c r="AA3227" s="10">
        <f t="shared" si="2614"/>
        <v>2529.11</v>
      </c>
      <c r="AB3227" s="3">
        <f t="shared" si="2615"/>
        <v>39527.72</v>
      </c>
      <c r="AC3227" s="3" cm="1">
        <f t="array" ref="AC3227">100000000/LvacE(AA3227)</f>
        <v>39527.716628426613</v>
      </c>
      <c r="AD3227" s="10">
        <f t="shared" si="2616"/>
        <v>1.2814550697365201E-2</v>
      </c>
      <c r="AE3227" s="10" t="b">
        <f t="shared" si="2617"/>
        <v>1</v>
      </c>
      <c r="AJ3227" t="s">
        <v>4833</v>
      </c>
      <c r="AK3227" t="s">
        <v>4883</v>
      </c>
      <c r="AL3227">
        <v>65922.42</v>
      </c>
      <c r="AM3227">
        <v>105450.18</v>
      </c>
      <c r="AN3227" s="10" cm="1">
        <f t="array" ref="AN3227">Lair(100000000/($AM3227-$AL3227))</f>
        <v>2529.1072251980027</v>
      </c>
      <c r="AO3227" s="10">
        <f t="shared" si="2629"/>
        <v>2529.8676170873332</v>
      </c>
      <c r="AU3227" s="13" cm="1">
        <f t="array" ref="AU3227">$C3227*EXP(poly_from_str(100000000/$E3227,AU$4343))</f>
        <v>29.848860946750534</v>
      </c>
    </row>
    <row r="3228" spans="1:51" x14ac:dyDescent="0.25">
      <c r="A3228" t="s">
        <v>3803</v>
      </c>
      <c r="B3228" s="2" t="str">
        <f t="shared" si="2613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2614"/>
        <v>2528.7539999999999</v>
      </c>
      <c r="AB3228" s="3">
        <f t="shared" si="2615"/>
        <v>39533.279999999999</v>
      </c>
      <c r="AC3228" s="3" cm="1">
        <f t="array" ref="AC3228">100000000/LvacE(AA3228)</f>
        <v>39533.28100068542</v>
      </c>
      <c r="AD3228" s="10">
        <f t="shared" si="2616"/>
        <v>1.2816751056189218E-2</v>
      </c>
      <c r="AE3228" s="10" t="b">
        <f t="shared" si="2617"/>
        <v>1</v>
      </c>
      <c r="AP3228"/>
      <c r="AQ3228"/>
      <c r="AU3228" s="13" cm="1">
        <f t="array" ref="AU3228">$C3228*EXP(poly_from_str(100000000/$E3228,AU$4343))</f>
        <v>13.275780681853931</v>
      </c>
    </row>
    <row r="3229" spans="1:51" x14ac:dyDescent="0.25">
      <c r="A3229" t="s">
        <v>3804</v>
      </c>
      <c r="B3229" s="2" t="str">
        <f t="shared" si="2613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2636">$G3229&amp;""</f>
        <v>e</v>
      </c>
      <c r="N3229" t="str">
        <f t="shared" ref="N3229:N3232" si="2637">$H3229&amp;""</f>
        <v>5/2</v>
      </c>
      <c r="O3229">
        <v>68801.67</v>
      </c>
      <c r="P3229" t="str">
        <f t="shared" ref="P3229:P3232" si="2638">$J3229&amp;""</f>
        <v>o</v>
      </c>
      <c r="Q3229" t="str">
        <f t="shared" ref="Q3229:Q3232" si="2639">$K3229&amp;""</f>
        <v>7/2</v>
      </c>
      <c r="R3229">
        <v>30</v>
      </c>
      <c r="AA3229" s="10">
        <f t="shared" si="2614"/>
        <v>2528.7249999999999</v>
      </c>
      <c r="AB3229" s="3">
        <f t="shared" si="2615"/>
        <v>39533.730000000003</v>
      </c>
      <c r="AC3229" s="3" cm="1">
        <f t="array" ref="AC3229">100000000/LvacE(AA3229)</f>
        <v>39533.734347203826</v>
      </c>
      <c r="AD3229" s="10">
        <f t="shared" si="2616"/>
        <v>1.2816930339836049E-2</v>
      </c>
      <c r="AE3229" s="10" t="b">
        <f t="shared" si="2617"/>
        <v>1</v>
      </c>
      <c r="AJ3229" t="s">
        <v>4700</v>
      </c>
      <c r="AK3229" t="s">
        <v>4857</v>
      </c>
      <c r="AL3229">
        <v>29267.86</v>
      </c>
      <c r="AM3229">
        <v>68801.67</v>
      </c>
      <c r="AN3229" s="10" cm="1">
        <f t="array" ref="AN3229">Lair(100000000/($AM3229-$AL3229))</f>
        <v>2528.7201610907023</v>
      </c>
      <c r="AO3229" s="10">
        <f t="shared" ref="AO3229:AO3232" si="2640">100000000/($AM3229-$AL3229)</f>
        <v>2529.4804624193825</v>
      </c>
      <c r="AP3229" s="12">
        <v>46700000</v>
      </c>
      <c r="AQ3229" s="3">
        <v>0.115</v>
      </c>
      <c r="AR3229" s="3">
        <f t="shared" ref="AR3229:AR3232" si="2641">LN(AU3229*100000000/($AM3229-$AL3229)/AP3229)</f>
        <v>-6.6778698038460185</v>
      </c>
      <c r="AS3229" s="13">
        <f t="shared" ref="AS3229:AS3232" si="2642">EXP(AR$4341*$AM3229+AR$4342)*$AP3229/(100000000/($AM3229-$AL3229))</f>
        <v>9.3404887254009932</v>
      </c>
      <c r="AT3229" s="3">
        <f t="shared" ref="AT3229:AT3232" si="2643">LN(AS3229/$C3229)</f>
        <v>0.28844842787654096</v>
      </c>
      <c r="AU3229" s="13" cm="1">
        <f t="array" ref="AU3229">$C3229*EXP(poly_from_str(100000000/$E3229,AU$4343))</f>
        <v>23.233976438180303</v>
      </c>
      <c r="AV3229" s="13">
        <f t="shared" ref="AV3229:AV3232" si="2644">LN(AS3229/AU3229)</f>
        <v>-0.91125713204943304</v>
      </c>
      <c r="AW3229" s="13"/>
      <c r="AX3229" s="13"/>
      <c r="AY3229" s="13"/>
    </row>
    <row r="3230" spans="1:51" x14ac:dyDescent="0.25">
      <c r="A3230" t="s">
        <v>3805</v>
      </c>
      <c r="B3230" s="2" t="str">
        <f t="shared" si="2613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2636"/>
        <v>o</v>
      </c>
      <c r="N3230" t="str">
        <f t="shared" si="2637"/>
        <v>7/2</v>
      </c>
      <c r="O3230">
        <v>103308.53</v>
      </c>
      <c r="P3230" t="str">
        <f t="shared" si="2638"/>
        <v>e</v>
      </c>
      <c r="Q3230" t="str">
        <f t="shared" si="2639"/>
        <v>7/2</v>
      </c>
      <c r="R3230">
        <v>30</v>
      </c>
      <c r="AA3230" s="10">
        <f t="shared" si="2614"/>
        <v>2528.33</v>
      </c>
      <c r="AB3230" s="3">
        <f t="shared" si="2615"/>
        <v>39539.910000000003</v>
      </c>
      <c r="AC3230" s="3" cm="1">
        <f t="array" ref="AC3230">100000000/LvacE(AA3230)</f>
        <v>39539.910274831775</v>
      </c>
      <c r="AD3230" s="10">
        <f t="shared" si="2616"/>
        <v>1.2819372921025297E-2</v>
      </c>
      <c r="AE3230" s="10" t="b">
        <f t="shared" si="2617"/>
        <v>1</v>
      </c>
      <c r="AJ3230" t="s">
        <v>4850</v>
      </c>
      <c r="AK3230" t="s">
        <v>4906</v>
      </c>
      <c r="AL3230">
        <v>63768.66</v>
      </c>
      <c r="AM3230">
        <v>103308.53</v>
      </c>
      <c r="AN3230" s="10" cm="1">
        <f t="array" ref="AN3230">Lair(100000000/($AM3230-$AL3230))</f>
        <v>2528.3325759440108</v>
      </c>
      <c r="AO3230" s="10">
        <f t="shared" si="2640"/>
        <v>2529.0927865974272</v>
      </c>
      <c r="AP3230" s="12">
        <v>591000000</v>
      </c>
      <c r="AQ3230" s="3">
        <v>0.33</v>
      </c>
      <c r="AR3230" s="3">
        <f t="shared" si="2641"/>
        <v>-10.468055715209371</v>
      </c>
      <c r="AS3230" s="13">
        <f t="shared" si="2642"/>
        <v>8.8724916787520076</v>
      </c>
      <c r="AT3230" s="3">
        <f t="shared" si="2643"/>
        <v>1.4898084871085331</v>
      </c>
      <c r="AU3230" s="13" cm="1">
        <f t="array" ref="AU3230">$C3230*EXP(poly_from_str(100000000/$E3230,AU$4343))</f>
        <v>6.6436062441586072</v>
      </c>
      <c r="AV3230" s="13">
        <f t="shared" si="2644"/>
        <v>0.28930074255045229</v>
      </c>
      <c r="AW3230" s="13"/>
      <c r="AX3230" s="13"/>
      <c r="AY3230" s="13"/>
    </row>
    <row r="3231" spans="1:51" x14ac:dyDescent="0.25">
      <c r="A3231" t="s">
        <v>3806</v>
      </c>
      <c r="B3231" s="2" t="str">
        <f t="shared" si="2613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2636"/>
        <v>e</v>
      </c>
      <c r="N3231" t="str">
        <f t="shared" si="2637"/>
        <v>7/2</v>
      </c>
      <c r="O3231">
        <v>66681.14</v>
      </c>
      <c r="P3231" t="str">
        <f t="shared" si="2638"/>
        <v>o</v>
      </c>
      <c r="Q3231" t="str">
        <f t="shared" si="2639"/>
        <v>5/2</v>
      </c>
      <c r="R3231">
        <v>30</v>
      </c>
      <c r="AA3231" s="10">
        <f t="shared" si="2614"/>
        <v>2528.1590000000001</v>
      </c>
      <c r="AB3231" s="3">
        <f t="shared" si="2615"/>
        <v>39542.58</v>
      </c>
      <c r="AC3231" s="3" cm="1">
        <f t="array" ref="AC3231">100000000/LvacE(AA3231)</f>
        <v>39542.584502751495</v>
      </c>
      <c r="AD3231" s="10">
        <f t="shared" si="2616"/>
        <v>1.2820430697347653E-2</v>
      </c>
      <c r="AE3231" s="10" t="b">
        <f t="shared" si="2617"/>
        <v>1</v>
      </c>
      <c r="AJ3231" t="s">
        <v>4723</v>
      </c>
      <c r="AK3231" t="s">
        <v>4851</v>
      </c>
      <c r="AL3231">
        <v>27138.55</v>
      </c>
      <c r="AM3231">
        <v>66681.14</v>
      </c>
      <c r="AN3231" s="10" cm="1">
        <f t="array" ref="AN3231">Lair(100000000/($AM3231-$AL3231))</f>
        <v>2528.1586489584042</v>
      </c>
      <c r="AO3231" s="10">
        <f t="shared" si="2640"/>
        <v>2528.9188189241022</v>
      </c>
      <c r="AP3231" s="12">
        <v>27600000</v>
      </c>
      <c r="AQ3231" s="3">
        <v>9.2999999999999999E-2</v>
      </c>
      <c r="AR3231" s="3">
        <f t="shared" si="2641"/>
        <v>-6.9983136477765742</v>
      </c>
      <c r="AS3231" s="13">
        <f t="shared" si="2642"/>
        <v>6.4739805711605465</v>
      </c>
      <c r="AT3231" s="3">
        <f t="shared" si="2643"/>
        <v>0.76917886577499028</v>
      </c>
      <c r="AU3231" s="13" cm="1">
        <f t="array" ref="AU3231">$C3231*EXP(poly_from_str(100000000/$E3231,AU$4343))</f>
        <v>9.9688530459112386</v>
      </c>
      <c r="AV3231" s="13">
        <f t="shared" si="2644"/>
        <v>-0.4316743823825101</v>
      </c>
      <c r="AW3231" s="13"/>
      <c r="AX3231" s="13"/>
      <c r="AY3231" s="13"/>
    </row>
    <row r="3232" spans="1:51" x14ac:dyDescent="0.25">
      <c r="A3232" t="s">
        <v>3807</v>
      </c>
      <c r="B3232" s="2" t="str">
        <f t="shared" si="2613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2636"/>
        <v>e</v>
      </c>
      <c r="N3232" t="str">
        <f t="shared" si="2637"/>
        <v>3/2</v>
      </c>
      <c r="O3232">
        <v>75409.58</v>
      </c>
      <c r="P3232" t="str">
        <f t="shared" si="2638"/>
        <v>o</v>
      </c>
      <c r="Q3232" t="str">
        <f t="shared" si="2639"/>
        <v>3/2</v>
      </c>
      <c r="R3232">
        <v>30</v>
      </c>
      <c r="AA3232" s="10">
        <f t="shared" si="2614"/>
        <v>2527.9499999999998</v>
      </c>
      <c r="AB3232" s="3">
        <f t="shared" si="2615"/>
        <v>39545.85</v>
      </c>
      <c r="AC3232" s="3" cm="1">
        <f t="array" ref="AC3232">100000000/LvacE(AA3232)</f>
        <v>39545.853494798423</v>
      </c>
      <c r="AD3232" s="10">
        <f t="shared" si="2616"/>
        <v>1.2821723826578538E-2</v>
      </c>
      <c r="AE3232" s="10" t="b">
        <f t="shared" si="2617"/>
        <v>1</v>
      </c>
      <c r="AJ3232" t="s">
        <v>4811</v>
      </c>
      <c r="AK3232" t="s">
        <v>4905</v>
      </c>
      <c r="AL3232">
        <v>35863.74</v>
      </c>
      <c r="AM3232">
        <v>75409.58</v>
      </c>
      <c r="AN3232" s="10" cm="1">
        <f t="array" ref="AN3232">Lair(100000000/($AM3232-$AL3232))</f>
        <v>2527.9508631590934</v>
      </c>
      <c r="AO3232" s="10">
        <f t="shared" si="2640"/>
        <v>2528.7109845182194</v>
      </c>
      <c r="AP3232" s="12">
        <v>29400000</v>
      </c>
      <c r="AQ3232" s="3">
        <v>0.23300000000000001</v>
      </c>
      <c r="AR3232" s="3">
        <f t="shared" si="2641"/>
        <v>-7.0611524678240318</v>
      </c>
      <c r="AS3232" s="13">
        <f t="shared" si="2642"/>
        <v>3.5823216711302535</v>
      </c>
      <c r="AT3232" s="3">
        <f t="shared" si="2643"/>
        <v>0.17739881304069124</v>
      </c>
      <c r="AU3232" s="13" cm="1">
        <f t="array" ref="AU3232">$C3232*EXP(poly_from_str(100000000/$E3232,AU$4343))</f>
        <v>9.9730634630300514</v>
      </c>
      <c r="AV3232" s="13">
        <f t="shared" si="2644"/>
        <v>-1.0238767031750962</v>
      </c>
      <c r="AW3232" s="13"/>
      <c r="AX3232" s="13"/>
      <c r="AY3232" s="13"/>
    </row>
    <row r="3233" spans="1:51" x14ac:dyDescent="0.25">
      <c r="A3233" t="s">
        <v>3808</v>
      </c>
      <c r="B3233" s="2" t="str">
        <f t="shared" si="2613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2614"/>
        <v>2527.569</v>
      </c>
      <c r="AB3233" s="3">
        <f t="shared" si="2615"/>
        <v>39551.81</v>
      </c>
      <c r="AC3233" s="3" cm="1">
        <f t="array" ref="AC3233">100000000/LvacE(AA3233)</f>
        <v>39551.814148679863</v>
      </c>
      <c r="AD3233" s="10">
        <f t="shared" si="2616"/>
        <v>1.2824081983257404E-2</v>
      </c>
      <c r="AE3233" s="10" t="b">
        <f t="shared" si="2617"/>
        <v>1</v>
      </c>
      <c r="AP3233"/>
      <c r="AQ3233"/>
      <c r="AU3233" s="13" cm="1">
        <f t="array" ref="AU3233">$C3233*EXP(poly_from_str(100000000/$E3233,AU$4343))</f>
        <v>3.3269057974894123</v>
      </c>
    </row>
    <row r="3234" spans="1:51" x14ac:dyDescent="0.25">
      <c r="A3234" t="s">
        <v>3809</v>
      </c>
      <c r="B3234" s="2" t="str">
        <f t="shared" si="2613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2645">$G3234&amp;""</f>
        <v>o</v>
      </c>
      <c r="N3234" t="str">
        <f t="shared" ref="N3234:N3237" si="2646">$H3234&amp;""</f>
        <v>7/2</v>
      </c>
      <c r="O3234">
        <v>103335.06</v>
      </c>
      <c r="P3234" t="str">
        <f t="shared" ref="P3234:P3237" si="2647">$J3234&amp;""</f>
        <v>e</v>
      </c>
      <c r="Q3234" t="str">
        <f t="shared" ref="Q3234:Q3237" si="2648">$K3234&amp;""</f>
        <v>9/2</v>
      </c>
      <c r="R3234">
        <v>31</v>
      </c>
      <c r="S3234" t="s">
        <v>3810</v>
      </c>
      <c r="AA3234" s="10">
        <f t="shared" si="2614"/>
        <v>2526.636</v>
      </c>
      <c r="AB3234" s="3">
        <f t="shared" si="2615"/>
        <v>39566.42</v>
      </c>
      <c r="AC3234" s="3" cm="1">
        <f t="array" ref="AC3234">100000000/LvacE(AA3234)</f>
        <v>39566.418300646612</v>
      </c>
      <c r="AD3234" s="10">
        <f t="shared" si="2616"/>
        <v>1.2829861187097513E-2</v>
      </c>
      <c r="AE3234" s="10" t="b">
        <f t="shared" si="2617"/>
        <v>1</v>
      </c>
      <c r="AJ3234" t="s">
        <v>4850</v>
      </c>
      <c r="AK3234" t="s">
        <v>4890</v>
      </c>
      <c r="AL3234">
        <v>63768.66</v>
      </c>
      <c r="AM3234">
        <v>103335.06</v>
      </c>
      <c r="AN3234" s="10" cm="1">
        <f t="array" ref="AN3234">Lair(100000000/($AM3234-$AL3234))</f>
        <v>2526.637169198787</v>
      </c>
      <c r="AO3234" s="10">
        <f t="shared" ref="AO3234:AO3237" si="2649">100000000/($AM3234-$AL3234)</f>
        <v>2527.396983298961</v>
      </c>
      <c r="AP3234" s="12">
        <v>107000000</v>
      </c>
      <c r="AQ3234" s="3">
        <v>0.20399999999999999</v>
      </c>
      <c r="AR3234" s="3">
        <f t="shared" ref="AR3234:AR3237" si="2650">LN(AU3234*100000000/($AM3234-$AL3234)/AP3234)</f>
        <v>-9.4494843237360158</v>
      </c>
      <c r="AS3234" s="13">
        <f t="shared" ref="AS3234:AS3237" si="2651">EXP(AR$4341*$AM3234+AR$4342)*$AP3234/(100000000/($AM3234-$AL3234))</f>
        <v>1.6042369733082906</v>
      </c>
      <c r="AT3234" s="3">
        <f t="shared" ref="AT3234:AT3237" si="2652">LN(AS3234/$C3234)</f>
        <v>0.47264823750225188</v>
      </c>
      <c r="AU3234" s="13" cm="1">
        <f t="array" ref="AU3234">$C3234*EXP(poly_from_str(100000000/$E3234,AU$4343))</f>
        <v>3.3331235820627354</v>
      </c>
      <c r="AV3234" s="13">
        <f t="shared" ref="AV3234:AV3237" si="2653">LN(AS3234/AU3234)</f>
        <v>-0.73126163946261991</v>
      </c>
      <c r="AW3234" s="13"/>
      <c r="AX3234" s="13"/>
      <c r="AY3234" s="13"/>
    </row>
    <row r="3235" spans="1:51" x14ac:dyDescent="0.25">
      <c r="A3235" t="s">
        <v>3811</v>
      </c>
      <c r="B3235" s="2" t="str">
        <f t="shared" si="2613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2645"/>
        <v>o</v>
      </c>
      <c r="N3235" t="str">
        <f t="shared" si="2646"/>
        <v>9/2</v>
      </c>
      <c r="O3235">
        <v>100947.18</v>
      </c>
      <c r="P3235" t="str">
        <f t="shared" si="2647"/>
        <v>e</v>
      </c>
      <c r="Q3235" t="str">
        <f t="shared" si="2648"/>
        <v>9/2</v>
      </c>
      <c r="R3235">
        <v>31</v>
      </c>
      <c r="AA3235" s="10">
        <f t="shared" si="2614"/>
        <v>2525.123</v>
      </c>
      <c r="AB3235" s="3">
        <f t="shared" si="2615"/>
        <v>39590.120000000003</v>
      </c>
      <c r="AC3235" s="3" cm="1">
        <f t="array" ref="AC3235">100000000/LvacE(AA3235)</f>
        <v>39590.124070087841</v>
      </c>
      <c r="AD3235" s="10">
        <f t="shared" si="2616"/>
        <v>1.2839246656516898E-2</v>
      </c>
      <c r="AE3235" s="10" t="b">
        <f t="shared" si="2617"/>
        <v>1</v>
      </c>
      <c r="AJ3235" t="s">
        <v>4903</v>
      </c>
      <c r="AK3235" t="s">
        <v>4955</v>
      </c>
      <c r="AL3235">
        <v>61357.04</v>
      </c>
      <c r="AM3235">
        <v>100947.18</v>
      </c>
      <c r="AN3235" s="10" cm="1">
        <f t="array" ref="AN3235">Lair(100000000/($AM3235-$AL3235))</f>
        <v>2525.1219843989124</v>
      </c>
      <c r="AO3235" s="10">
        <f t="shared" si="2649"/>
        <v>2525.881444218182</v>
      </c>
      <c r="AP3235" s="12">
        <v>1780000000</v>
      </c>
      <c r="AQ3235" s="3">
        <v>0.498</v>
      </c>
      <c r="AR3235" s="3">
        <f t="shared" si="2650"/>
        <v>-10.17919330135144</v>
      </c>
      <c r="AS3235" s="13">
        <f t="shared" si="2651"/>
        <v>31.944196701223596</v>
      </c>
      <c r="AT3235" s="3">
        <f t="shared" si="2652"/>
        <v>1.3845489857513193</v>
      </c>
      <c r="AU3235" s="13" cm="1">
        <f t="array" ref="AU3235">$C3235*EXP(poly_from_str(100000000/$E3235,AU$4343))</f>
        <v>26.74481257982282</v>
      </c>
      <c r="AV3235" s="13">
        <f t="shared" si="2653"/>
        <v>0.17764999514410443</v>
      </c>
      <c r="AW3235" s="13"/>
      <c r="AX3235" s="13"/>
      <c r="AY3235" s="13"/>
    </row>
    <row r="3236" spans="1:51" x14ac:dyDescent="0.25">
      <c r="A3236" t="s">
        <v>3812</v>
      </c>
      <c r="B3236" s="2" t="str">
        <f t="shared" si="2613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2645"/>
        <v>e</v>
      </c>
      <c r="N3236" t="str">
        <f t="shared" si="2646"/>
        <v>9/2</v>
      </c>
      <c r="O3236">
        <v>69431</v>
      </c>
      <c r="P3236" t="str">
        <f t="shared" si="2647"/>
        <v>o</v>
      </c>
      <c r="Q3236" t="str">
        <f t="shared" si="2648"/>
        <v>7/2</v>
      </c>
      <c r="R3236">
        <v>31</v>
      </c>
      <c r="AA3236" s="10">
        <f t="shared" si="2614"/>
        <v>2524.7530000000002</v>
      </c>
      <c r="AB3236" s="3">
        <f t="shared" si="2615"/>
        <v>39595.93</v>
      </c>
      <c r="AC3236" s="3" cm="1">
        <f t="array" ref="AC3236">100000000/LvacE(AA3236)</f>
        <v>39595.925574052992</v>
      </c>
      <c r="AD3236" s="10">
        <f t="shared" si="2616"/>
        <v>1.2841544415246361E-2</v>
      </c>
      <c r="AE3236" s="10" t="b">
        <f t="shared" si="2617"/>
        <v>1</v>
      </c>
      <c r="AJ3236" t="s">
        <v>4697</v>
      </c>
      <c r="AK3236" t="s">
        <v>4864</v>
      </c>
      <c r="AL3236">
        <v>29835.09</v>
      </c>
      <c r="AM3236">
        <v>69431</v>
      </c>
      <c r="AN3236" s="10" cm="1">
        <f t="array" ref="AN3236">Lair(100000000/($AM3236-$AL3236))</f>
        <v>2524.7539936234575</v>
      </c>
      <c r="AO3236" s="10">
        <f t="shared" si="2649"/>
        <v>2525.5133674159779</v>
      </c>
      <c r="AP3236" s="12">
        <v>81000000</v>
      </c>
      <c r="AQ3236" s="3">
        <v>0.114</v>
      </c>
      <c r="AR3236" s="3">
        <f t="shared" si="2650"/>
        <v>-7.5586977951833108</v>
      </c>
      <c r="AS3236" s="13">
        <f t="shared" si="2651"/>
        <v>15.477757053386819</v>
      </c>
      <c r="AT3236" s="3">
        <f t="shared" si="2652"/>
        <v>1.129966052037382</v>
      </c>
      <c r="AU3236" s="13" cm="1">
        <f t="array" ref="AU3236">$C3236*EXP(poly_from_str(100000000/$E3236,AU$4343))</f>
        <v>16.727637348501556</v>
      </c>
      <c r="AV3236" s="13">
        <f t="shared" si="2653"/>
        <v>-7.7658318109804739E-2</v>
      </c>
      <c r="AW3236" s="13"/>
      <c r="AX3236" s="13"/>
      <c r="AY3236" s="13"/>
    </row>
    <row r="3237" spans="1:51" x14ac:dyDescent="0.25">
      <c r="A3237" t="s">
        <v>3813</v>
      </c>
      <c r="B3237" s="2" t="str">
        <f t="shared" si="2613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2645"/>
        <v>e</v>
      </c>
      <c r="N3237" t="str">
        <f t="shared" si="2646"/>
        <v>11/2</v>
      </c>
      <c r="O3237">
        <v>61357.04</v>
      </c>
      <c r="P3237" t="str">
        <f t="shared" si="2647"/>
        <v>o</v>
      </c>
      <c r="Q3237" t="str">
        <f t="shared" si="2648"/>
        <v>9/2</v>
      </c>
      <c r="R3237">
        <v>31</v>
      </c>
      <c r="AA3237" s="10">
        <f t="shared" si="2614"/>
        <v>2524.4160000000002</v>
      </c>
      <c r="AB3237" s="3">
        <f t="shared" si="2615"/>
        <v>39601.21</v>
      </c>
      <c r="AC3237" s="3" cm="1">
        <f t="array" ref="AC3237">100000000/LvacE(AA3237)</f>
        <v>39601.211126275259</v>
      </c>
      <c r="AD3237" s="10">
        <f t="shared" si="2616"/>
        <v>1.2843638117940002E-2</v>
      </c>
      <c r="AE3237" s="10" t="b">
        <f t="shared" si="2617"/>
        <v>1</v>
      </c>
      <c r="AJ3237" t="s">
        <v>4965</v>
      </c>
      <c r="AK3237" t="s">
        <v>4903</v>
      </c>
      <c r="AL3237">
        <v>21755.84</v>
      </c>
      <c r="AM3237">
        <v>61357.04</v>
      </c>
      <c r="AN3237" s="10" cm="1">
        <f t="array" ref="AN3237">Lair(100000000/($AM3237-$AL3237))</f>
        <v>2524.4167098174366</v>
      </c>
      <c r="AO3237" s="10">
        <f t="shared" si="2649"/>
        <v>2525.1760047675325</v>
      </c>
      <c r="AP3237" s="12">
        <v>36700000</v>
      </c>
      <c r="AQ3237" s="3">
        <v>0.23100000000000001</v>
      </c>
      <c r="AR3237" s="3">
        <f t="shared" si="2650"/>
        <v>-6.5841807132680099</v>
      </c>
      <c r="AS3237" s="13">
        <f t="shared" si="2651"/>
        <v>12.855730857175525</v>
      </c>
      <c r="AT3237" s="3">
        <f t="shared" si="2652"/>
        <v>0.7620302237963138</v>
      </c>
      <c r="AU3237" s="13" cm="1">
        <f t="array" ref="AU3237">$C3237*EXP(poly_from_str(100000000/$E3237,AU$4343))</f>
        <v>20.086351521072032</v>
      </c>
      <c r="AV3237" s="13">
        <f t="shared" si="2653"/>
        <v>-0.44625086259380214</v>
      </c>
      <c r="AW3237" s="13"/>
      <c r="AX3237" s="13"/>
      <c r="AY3237" s="13"/>
    </row>
    <row r="3238" spans="1:51" x14ac:dyDescent="0.25">
      <c r="A3238" t="s">
        <v>3814</v>
      </c>
      <c r="B3238" s="2" t="str">
        <f t="shared" si="2613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2614"/>
        <v>2523.7849999999999</v>
      </c>
      <c r="AB3238" s="3">
        <f t="shared" si="2615"/>
        <v>39611.11</v>
      </c>
      <c r="AC3238" s="3" cm="1">
        <f t="array" ref="AC3238">100000000/LvacE(AA3238)</f>
        <v>39611.111608470659</v>
      </c>
      <c r="AD3238" s="10">
        <f t="shared" si="2616"/>
        <v>1.2847560629861629E-2</v>
      </c>
      <c r="AE3238" s="10" t="b">
        <f t="shared" si="2617"/>
        <v>1</v>
      </c>
      <c r="AP3238"/>
      <c r="AQ3238"/>
      <c r="AU3238" s="13" cm="1">
        <f t="array" ref="AU3238">$C3238*EXP(poly_from_str(100000000/$E3238,AU$4343))</f>
        <v>20.110972298653273</v>
      </c>
    </row>
    <row r="3239" spans="1:51" x14ac:dyDescent="0.25">
      <c r="A3239" t="s">
        <v>3815</v>
      </c>
      <c r="B3239" s="2" t="str">
        <f t="shared" si="2613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2614"/>
        <v>2523.634</v>
      </c>
      <c r="AB3239" s="3">
        <f t="shared" si="2615"/>
        <v>39613.480000000003</v>
      </c>
      <c r="AC3239" s="3" cm="1">
        <f t="array" ref="AC3239">100000000/LvacE(AA3239)</f>
        <v>39613.481554587706</v>
      </c>
      <c r="AD3239" s="10">
        <f t="shared" si="2616"/>
        <v>1.2848499733833771E-2</v>
      </c>
      <c r="AE3239" s="10" t="b">
        <f t="shared" si="2617"/>
        <v>1</v>
      </c>
      <c r="AP3239"/>
      <c r="AQ3239"/>
      <c r="AU3239" s="13" cm="1">
        <f t="array" ref="AU3239">$C3239*EXP(poly_from_str(100000000/$E3239,AU$4343))</f>
        <v>10.058423148586282</v>
      </c>
    </row>
    <row r="3240" spans="1:51" x14ac:dyDescent="0.25">
      <c r="A3240" t="s">
        <v>3816</v>
      </c>
      <c r="B3240" s="2" t="str">
        <f t="shared" si="2613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2614"/>
        <v>2523.0830000000001</v>
      </c>
      <c r="AB3240" s="3">
        <f t="shared" si="2615"/>
        <v>39622.129999999997</v>
      </c>
      <c r="AC3240" s="3" cm="1">
        <f t="array" ref="AC3240">100000000/LvacE(AA3240)</f>
        <v>39622.131909480951</v>
      </c>
      <c r="AD3240" s="10">
        <f t="shared" si="2616"/>
        <v>1.2851927960649916E-2</v>
      </c>
      <c r="AE3240" s="10" t="b">
        <f t="shared" si="2617"/>
        <v>1</v>
      </c>
      <c r="AP3240"/>
      <c r="AQ3240"/>
      <c r="AU3240" s="13" cm="1">
        <f t="array" ref="AU3240">$C3240*EXP(poly_from_str(100000000/$E3240,AU$4343))</f>
        <v>16.781849851825406</v>
      </c>
    </row>
    <row r="3241" spans="1:51" x14ac:dyDescent="0.25">
      <c r="A3241" t="s">
        <v>3817</v>
      </c>
      <c r="B3241" s="2" t="str">
        <f t="shared" si="2613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2614"/>
        <v>2522.9090000000001</v>
      </c>
      <c r="AB3241" s="3">
        <f t="shared" si="2615"/>
        <v>39624.86</v>
      </c>
      <c r="AC3241" s="3" cm="1">
        <f t="array" ref="AC3241">100000000/LvacE(AA3241)</f>
        <v>39624.864385395456</v>
      </c>
      <c r="AD3241" s="10">
        <f t="shared" si="2616"/>
        <v>1.2853011025248127E-2</v>
      </c>
      <c r="AE3241" s="10" t="b">
        <f t="shared" si="2617"/>
        <v>1</v>
      </c>
      <c r="AP3241"/>
      <c r="AQ3241"/>
      <c r="AU3241" s="13" cm="1">
        <f t="array" ref="AU3241">$C3241*EXP(poly_from_str(100000000/$E3241,AU$4343))</f>
        <v>3.3574907097810205</v>
      </c>
    </row>
    <row r="3242" spans="1:51" x14ac:dyDescent="0.25">
      <c r="A3242" t="s">
        <v>3818</v>
      </c>
      <c r="B3242" s="2" t="str">
        <f t="shared" si="2613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2614"/>
        <v>2522.0430000000001</v>
      </c>
      <c r="AB3242" s="3">
        <f t="shared" si="2615"/>
        <v>39638.47</v>
      </c>
      <c r="AC3242" s="3" cm="1">
        <f t="array" ref="AC3242">100000000/LvacE(AA3242)</f>
        <v>39638.46955667669</v>
      </c>
      <c r="AD3242" s="10">
        <f t="shared" si="2616"/>
        <v>1.2858404784667963E-2</v>
      </c>
      <c r="AE3242" s="10" t="b">
        <f t="shared" si="2617"/>
        <v>1</v>
      </c>
      <c r="AP3242"/>
      <c r="AQ3242"/>
      <c r="AU3242" s="13" cm="1">
        <f t="array" ref="AU3242">$C3242*EXP(poly_from_str(100000000/$E3242,AU$4343))</f>
        <v>6.7261058133874014</v>
      </c>
    </row>
    <row r="3243" spans="1:51" x14ac:dyDescent="0.25">
      <c r="A3243" t="s">
        <v>3819</v>
      </c>
      <c r="B3243" s="2" t="str">
        <f t="shared" si="2613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2654">$G3243&amp;""</f>
        <v>o</v>
      </c>
      <c r="N3243" t="str">
        <f t="shared" ref="N3243:N3244" si="2655">$H3243&amp;""</f>
        <v>11/2</v>
      </c>
      <c r="O3243">
        <v>105566.62</v>
      </c>
      <c r="P3243" t="str">
        <f t="shared" ref="P3243:P3244" si="2656">$J3243&amp;""</f>
        <v>e</v>
      </c>
      <c r="Q3243" t="str">
        <f t="shared" ref="Q3243:Q3244" si="2657">$K3243&amp;""</f>
        <v>9/2</v>
      </c>
      <c r="R3243">
        <v>31</v>
      </c>
      <c r="AA3243" s="10">
        <f t="shared" si="2614"/>
        <v>2521.6770000000001</v>
      </c>
      <c r="AB3243" s="3">
        <f t="shared" si="2615"/>
        <v>39644.22</v>
      </c>
      <c r="AC3243" s="3" cm="1">
        <f t="array" ref="AC3243">100000000/LvacE(AA3243)</f>
        <v>39644.222357108396</v>
      </c>
      <c r="AD3243" s="10">
        <f t="shared" si="2616"/>
        <v>1.2860686034949838E-2</v>
      </c>
      <c r="AE3243" s="10" t="b">
        <f t="shared" si="2617"/>
        <v>1</v>
      </c>
      <c r="AJ3243" t="s">
        <v>4833</v>
      </c>
      <c r="AK3243" t="s">
        <v>4878</v>
      </c>
      <c r="AL3243">
        <v>65922.42</v>
      </c>
      <c r="AM3243">
        <v>105566.62</v>
      </c>
      <c r="AN3243" s="10" cm="1">
        <f t="array" ref="AN3243">Lair(100000000/($AM3243-$AL3243))</f>
        <v>2521.6784227437379</v>
      </c>
      <c r="AO3243" s="10">
        <f t="shared" ref="AO3243:AO3244" si="2658">100000000/($AM3243-$AL3243)</f>
        <v>2522.4370778070943</v>
      </c>
      <c r="AP3243" s="12">
        <v>591000000</v>
      </c>
      <c r="AQ3243" s="3">
        <v>0.114</v>
      </c>
      <c r="AR3243" s="3">
        <f t="shared" ref="AR3243:AR3244" si="2659">LN(AU3243*100000000/($AM3243-$AL3243)/AP3243)</f>
        <v>-11.150801799007759</v>
      </c>
      <c r="AS3243" s="13">
        <f t="shared" ref="AS3243:AS3244" si="2660">EXP(AR$4341*$AM3243+AR$4342)*$AP3243/(100000000/($AM3243-$AL3243))</f>
        <v>7.5091964081891902</v>
      </c>
      <c r="AT3243" s="3">
        <f t="shared" ref="AT3243:AT3244" si="2661">LN(AS3243/$C3243)</f>
        <v>2.0161284571465887</v>
      </c>
      <c r="AU3243" s="13" cm="1">
        <f t="array" ref="AU3243">$C3243*EXP(poly_from_str(100000000/$E3243,AU$4343))</f>
        <v>3.3653903819143114</v>
      </c>
      <c r="AV3243" s="13">
        <f t="shared" ref="AV3243:AV3244" si="2662">LN(AS3243/AU3243)</f>
        <v>0.80258448832286011</v>
      </c>
      <c r="AW3243" s="13"/>
      <c r="AX3243" s="13"/>
      <c r="AY3243" s="13"/>
    </row>
    <row r="3244" spans="1:51" x14ac:dyDescent="0.25">
      <c r="A3244" t="s">
        <v>3820</v>
      </c>
      <c r="B3244" s="2" t="str">
        <f t="shared" si="2613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2654"/>
        <v>o</v>
      </c>
      <c r="N3244" t="str">
        <f t="shared" si="2655"/>
        <v>11/2</v>
      </c>
      <c r="O3244">
        <v>103805.38</v>
      </c>
      <c r="P3244" t="str">
        <f t="shared" si="2656"/>
        <v>e</v>
      </c>
      <c r="Q3244" t="str">
        <f t="shared" si="2657"/>
        <v>13/2</v>
      </c>
      <c r="R3244">
        <v>31</v>
      </c>
      <c r="AA3244" s="10">
        <f t="shared" si="2614"/>
        <v>2521.0210000000002</v>
      </c>
      <c r="AB3244" s="3">
        <f t="shared" si="2615"/>
        <v>39654.54</v>
      </c>
      <c r="AC3244" s="3" cm="1">
        <f t="array" ref="AC3244">100000000/LvacE(AA3244)</f>
        <v>39654.537566851119</v>
      </c>
      <c r="AD3244" s="10">
        <f t="shared" si="2616"/>
        <v>1.2864777319754796E-2</v>
      </c>
      <c r="AE3244" s="10" t="b">
        <f t="shared" si="2617"/>
        <v>1</v>
      </c>
      <c r="AJ3244" t="s">
        <v>4931</v>
      </c>
      <c r="AK3244" t="s">
        <v>4910</v>
      </c>
      <c r="AL3244">
        <v>64150.94</v>
      </c>
      <c r="AM3244">
        <v>103805.38</v>
      </c>
      <c r="AN3244" s="10" cm="1">
        <f t="array" ref="AN3244">Lair(100000000/($AM3244-$AL3244))</f>
        <v>2521.0272037804043</v>
      </c>
      <c r="AO3244" s="10">
        <f t="shared" si="2658"/>
        <v>2521.7857067203572</v>
      </c>
      <c r="AP3244" s="12">
        <v>2090000000</v>
      </c>
      <c r="AQ3244" s="3">
        <v>0.76400000000000001</v>
      </c>
      <c r="AR3244" s="3">
        <f t="shared" si="2659"/>
        <v>-10.46701288272731</v>
      </c>
      <c r="AS3244" s="13">
        <f t="shared" si="2660"/>
        <v>30.315690121465778</v>
      </c>
      <c r="AT3244" s="3">
        <f t="shared" si="2661"/>
        <v>1.4657552552254509</v>
      </c>
      <c r="AU3244" s="13" cm="1">
        <f t="array" ref="AU3244">$C3244*EXP(poly_from_str(100000000/$E3244,AU$4343))</f>
        <v>23.58697084787514</v>
      </c>
      <c r="AV3244" s="13">
        <f t="shared" si="2662"/>
        <v>0.25097092742013227</v>
      </c>
      <c r="AW3244" s="13"/>
      <c r="AX3244" s="13"/>
      <c r="AY3244" s="13"/>
    </row>
    <row r="3245" spans="1:51" x14ac:dyDescent="0.25">
      <c r="A3245" t="s">
        <v>3821</v>
      </c>
      <c r="B3245" s="2" t="str">
        <f t="shared" si="2613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2614"/>
        <v>2520.7869999999998</v>
      </c>
      <c r="AB3245" s="3">
        <f t="shared" si="2615"/>
        <v>39658.22</v>
      </c>
      <c r="AC3245" s="3" cm="1">
        <f t="array" ref="AC3245">100000000/LvacE(AA3245)</f>
        <v>39658.218376579229</v>
      </c>
      <c r="AD3245" s="10">
        <f t="shared" si="2616"/>
        <v>1.2866237483884841E-2</v>
      </c>
      <c r="AE3245" s="10" t="b">
        <f t="shared" si="2617"/>
        <v>1</v>
      </c>
      <c r="AP3245"/>
      <c r="AQ3245"/>
      <c r="AU3245" s="13" cm="1">
        <f t="array" ref="AU3245">$C3245*EXP(poly_from_str(100000000/$E3245,AU$4343))</f>
        <v>20.226306145762006</v>
      </c>
    </row>
    <row r="3246" spans="1:51" x14ac:dyDescent="0.25">
      <c r="A3246" t="s">
        <v>3822</v>
      </c>
      <c r="B3246" s="2" t="str">
        <f t="shared" si="2613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2663">$G3246&amp;""</f>
        <v>e</v>
      </c>
      <c r="N3246" t="str">
        <f t="shared" ref="N3246:N3249" si="2664">$H3246&amp;""</f>
        <v>9/2</v>
      </c>
      <c r="O3246">
        <v>68544.19</v>
      </c>
      <c r="P3246" t="str">
        <f t="shared" ref="P3246:P3249" si="2665">$J3246&amp;""</f>
        <v>o</v>
      </c>
      <c r="Q3246" t="str">
        <f t="shared" ref="Q3246:Q3249" si="2666">$K3246&amp;""</f>
        <v>9/2</v>
      </c>
      <c r="R3246">
        <v>31</v>
      </c>
      <c r="AA3246" s="10">
        <f t="shared" si="2614"/>
        <v>2520.7310000000002</v>
      </c>
      <c r="AB3246" s="3">
        <f t="shared" si="2615"/>
        <v>39659.1</v>
      </c>
      <c r="AC3246" s="3" cm="1">
        <f t="array" ref="AC3246">100000000/LvacE(AA3246)</f>
        <v>39659.099355449296</v>
      </c>
      <c r="AD3246" s="10">
        <f t="shared" si="2616"/>
        <v>1.2866586985174001E-2</v>
      </c>
      <c r="AE3246" s="10" t="b">
        <f t="shared" si="2617"/>
        <v>1</v>
      </c>
      <c r="AJ3246" t="s">
        <v>4742</v>
      </c>
      <c r="AK3246" t="s">
        <v>4901</v>
      </c>
      <c r="AL3246">
        <v>28885.14</v>
      </c>
      <c r="AM3246">
        <v>68544.19</v>
      </c>
      <c r="AN3246" s="10" cm="1">
        <f t="array" ref="AN3246">Lair(100000000/($AM3246-$AL3246))</f>
        <v>2520.7341378260708</v>
      </c>
      <c r="AO3246" s="10">
        <f t="shared" ref="AO3246:AO3249" si="2667">100000000/($AM3246-$AL3246)</f>
        <v>2521.4925723132551</v>
      </c>
      <c r="AP3246" s="12">
        <v>923000</v>
      </c>
      <c r="AQ3246" s="3">
        <v>3.0000000000000001E-3</v>
      </c>
      <c r="AR3246" s="3"/>
      <c r="AS3246" s="13">
        <f t="shared" ref="AS3246:AS3249" si="2668">EXP(AR$4341*$AM3246+AR$4342)*$AP3246/(100000000/($AM3246-$AL3246))</f>
        <v>0.18880780644176207</v>
      </c>
      <c r="AT3246" s="3"/>
      <c r="AU3246" s="13" cm="1">
        <f t="array" ref="AU3246">$C3246*EXP(poly_from_str(100000000/$E3246,AU$4343))</f>
        <v>13.485621588611593</v>
      </c>
      <c r="AV3246" s="13"/>
      <c r="AW3246" s="13"/>
      <c r="AX3246" s="13"/>
      <c r="AY3246" s="13"/>
    </row>
    <row r="3247" spans="1:51" x14ac:dyDescent="0.25">
      <c r="A3247" t="s">
        <v>3823</v>
      </c>
      <c r="B3247" s="2" t="str">
        <f t="shared" si="2613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2663"/>
        <v>o</v>
      </c>
      <c r="N3247" t="str">
        <f t="shared" si="2664"/>
        <v>9/2</v>
      </c>
      <c r="O3247">
        <v>103895.83</v>
      </c>
      <c r="P3247" t="str">
        <f t="shared" si="2665"/>
        <v>e</v>
      </c>
      <c r="Q3247" t="str">
        <f t="shared" si="2666"/>
        <v>7/2</v>
      </c>
      <c r="R3247">
        <v>31</v>
      </c>
      <c r="AA3247" s="10">
        <f t="shared" si="2614"/>
        <v>2520.6619999999998</v>
      </c>
      <c r="AB3247" s="3">
        <f t="shared" si="2615"/>
        <v>39660.18</v>
      </c>
      <c r="AC3247" s="3" cm="1">
        <f t="array" ref="AC3247">100000000/LvacE(AA3247)</f>
        <v>39660.184901094064</v>
      </c>
      <c r="AD3247" s="10">
        <f t="shared" si="2616"/>
        <v>1.2867017652722593E-2</v>
      </c>
      <c r="AE3247" s="10" t="b">
        <f t="shared" si="2617"/>
        <v>1</v>
      </c>
      <c r="AJ3247" t="s">
        <v>4842</v>
      </c>
      <c r="AK3247" t="s">
        <v>4952</v>
      </c>
      <c r="AL3247">
        <v>64235.61</v>
      </c>
      <c r="AM3247">
        <v>103895.83</v>
      </c>
      <c r="AN3247" s="10" cm="1">
        <f t="array" ref="AN3247">Lair(100000000/($AM3247-$AL3247))</f>
        <v>2520.659769670322</v>
      </c>
      <c r="AO3247" s="10">
        <f t="shared" si="2667"/>
        <v>2521.4181867876678</v>
      </c>
      <c r="AP3247" s="12">
        <v>661000000</v>
      </c>
      <c r="AQ3247" s="3">
        <v>0.52800000000000002</v>
      </c>
      <c r="AR3247" s="3">
        <f>LN(AU3247*100000000/($AM3247-$AL3247)/AP3247)</f>
        <v>-10.56808180996018</v>
      </c>
      <c r="AS3247" s="13">
        <f t="shared" si="2668"/>
        <v>9.5244070616920276</v>
      </c>
      <c r="AT3247" s="3">
        <f t="shared" ref="AT3247:AT3249" si="2669">LN(AS3247/$C3247)</f>
        <v>1.5607104877741671</v>
      </c>
      <c r="AU3247" s="13" cm="1">
        <f t="array" ref="AU3247">$C3247*EXP(poly_from_str(100000000/$E3247,AU$4343))</f>
        <v>6.7436801559383381</v>
      </c>
      <c r="AV3247" s="13">
        <f>LN(AS3247/AU3247)</f>
        <v>0.34525187522151496</v>
      </c>
      <c r="AW3247" s="13"/>
      <c r="AX3247" s="13"/>
      <c r="AY3247" s="13"/>
    </row>
    <row r="3248" spans="1:51" x14ac:dyDescent="0.25">
      <c r="A3248" t="s">
        <v>3824</v>
      </c>
      <c r="B3248" s="2" t="str">
        <f t="shared" si="2613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2663"/>
        <v>e</v>
      </c>
      <c r="N3248" t="str">
        <f t="shared" si="2664"/>
        <v>11/2</v>
      </c>
      <c r="O3248">
        <v>67049.179999999993</v>
      </c>
      <c r="P3248" t="str">
        <f t="shared" si="2665"/>
        <v>o</v>
      </c>
      <c r="Q3248" t="str">
        <f t="shared" si="2666"/>
        <v>9/2</v>
      </c>
      <c r="R3248">
        <v>31</v>
      </c>
      <c r="AA3248" s="10">
        <f t="shared" si="2614"/>
        <v>2520.107</v>
      </c>
      <c r="AB3248" s="3">
        <f t="shared" si="2615"/>
        <v>39668.92</v>
      </c>
      <c r="AC3248" s="3" cm="1">
        <f t="array" ref="AC3248">100000000/LvacE(AA3248)</f>
        <v>39668.918625618018</v>
      </c>
      <c r="AD3248" s="10">
        <f t="shared" si="2616"/>
        <v>1.2870483004415689E-2</v>
      </c>
      <c r="AE3248" s="10" t="b">
        <f t="shared" si="2617"/>
        <v>1</v>
      </c>
      <c r="AJ3248" t="s">
        <v>4712</v>
      </c>
      <c r="AK3248" t="s">
        <v>4862</v>
      </c>
      <c r="AL3248">
        <v>27380.31</v>
      </c>
      <c r="AM3248">
        <v>67049.179999999993</v>
      </c>
      <c r="AN3248" s="10" cm="1">
        <f t="array" ref="AN3248">Lair(100000000/($AM3248-$AL3248))</f>
        <v>2520.1100899160292</v>
      </c>
      <c r="AO3248" s="10">
        <f t="shared" si="2667"/>
        <v>2520.8683786556062</v>
      </c>
      <c r="AP3248" s="12">
        <v>39900000</v>
      </c>
      <c r="AQ3248" s="3">
        <v>4.9000000000000002E-2</v>
      </c>
      <c r="AR3248" s="3"/>
      <c r="AS3248" s="13">
        <f t="shared" si="2668"/>
        <v>9.1332347086299421</v>
      </c>
      <c r="AT3248" s="3"/>
      <c r="AU3248" s="13" cm="1">
        <f t="array" ref="AU3248">$C3248*EXP(poly_from_str(100000000/$E3248,AU$4343))</f>
        <v>16.876742142662113</v>
      </c>
      <c r="AV3248" s="13"/>
      <c r="AW3248" s="13"/>
      <c r="AX3248" s="13"/>
      <c r="AY3248" s="13"/>
    </row>
    <row r="3249" spans="1:51" x14ac:dyDescent="0.25">
      <c r="A3249" t="s">
        <v>3825</v>
      </c>
      <c r="B3249" s="2" t="str">
        <f t="shared" si="2613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2663"/>
        <v>e</v>
      </c>
      <c r="N3249" t="str">
        <f t="shared" si="2664"/>
        <v>5/2</v>
      </c>
      <c r="O3249">
        <v>60520.32</v>
      </c>
      <c r="P3249" t="str">
        <f t="shared" si="2665"/>
        <v>o</v>
      </c>
      <c r="Q3249" t="str">
        <f t="shared" si="2666"/>
        <v>7/2</v>
      </c>
      <c r="R3249">
        <v>31</v>
      </c>
      <c r="AA3249" s="10">
        <f t="shared" si="2614"/>
        <v>2519.9169999999999</v>
      </c>
      <c r="AB3249" s="3">
        <f t="shared" si="2615"/>
        <v>39671.910000000003</v>
      </c>
      <c r="AC3249" s="3" cm="1">
        <f t="array" ref="AC3249">100000000/LvacE(AA3249)</f>
        <v>39671.909433169218</v>
      </c>
      <c r="AD3249" s="10">
        <f t="shared" si="2616"/>
        <v>1.2871669867136341E-2</v>
      </c>
      <c r="AE3249" s="10" t="b">
        <f t="shared" si="2617"/>
        <v>1</v>
      </c>
      <c r="AJ3249" t="s">
        <v>4800</v>
      </c>
      <c r="AK3249" t="s">
        <v>4730</v>
      </c>
      <c r="AL3249">
        <v>20848.39</v>
      </c>
      <c r="AM3249">
        <v>60520.32</v>
      </c>
      <c r="AN3249" s="10" cm="1">
        <f t="array" ref="AN3249">Lair(100000000/($AM3249-$AL3249))</f>
        <v>2519.915694124621</v>
      </c>
      <c r="AO3249" s="10">
        <f t="shared" si="2667"/>
        <v>2520.6739374666167</v>
      </c>
      <c r="AP3249" s="12">
        <v>96600000</v>
      </c>
      <c r="AQ3249" s="3">
        <v>0.46800000000000003</v>
      </c>
      <c r="AR3249" s="3">
        <f>LN(AU3249*100000000/($AM3249-$AL3249)/AP3249)</f>
        <v>-7.257513223588056</v>
      </c>
      <c r="AS3249" s="13">
        <f t="shared" si="2668"/>
        <v>36.095538411696552</v>
      </c>
      <c r="AT3249" s="3">
        <f t="shared" si="2669"/>
        <v>1.5067277263174659</v>
      </c>
      <c r="AU3249" s="13" cm="1">
        <f t="array" ref="AU3249">$C3249*EXP(poly_from_str(100000000/$E3249,AU$4343))</f>
        <v>27.012358819756251</v>
      </c>
      <c r="AV3249" s="13">
        <f>LN(AS3249/AU3249)</f>
        <v>0.28987477265620637</v>
      </c>
      <c r="AW3249" s="13"/>
      <c r="AX3249" s="13"/>
      <c r="AY3249" s="13"/>
    </row>
    <row r="3250" spans="1:51" x14ac:dyDescent="0.25">
      <c r="A3250" t="s">
        <v>3826</v>
      </c>
      <c r="B3250" s="2" t="str">
        <f t="shared" si="2613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2614"/>
        <v>2519.2719999999999</v>
      </c>
      <c r="AB3250" s="3">
        <f t="shared" si="2615"/>
        <v>39682.07</v>
      </c>
      <c r="AC3250" s="3" cm="1">
        <f t="array" ref="AC3250">100000000/LvacE(AA3250)</f>
        <v>39682.065802476194</v>
      </c>
      <c r="AD3250" s="10">
        <f t="shared" si="2616"/>
        <v>1.2875700956958239E-2</v>
      </c>
      <c r="AE3250" s="10" t="b">
        <f t="shared" si="2617"/>
        <v>1</v>
      </c>
      <c r="AP3250"/>
      <c r="AQ3250"/>
      <c r="AU3250" s="13" cm="1">
        <f t="array" ref="AU3250">$C3250*EXP(poly_from_str(100000000/$E3250,AU$4343))</f>
        <v>6.7611918499668588</v>
      </c>
    </row>
    <row r="3251" spans="1:51" x14ac:dyDescent="0.25">
      <c r="A3251" t="s">
        <v>3827</v>
      </c>
      <c r="B3251" s="2" t="str">
        <f t="shared" si="2613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2614"/>
        <v>2519.11</v>
      </c>
      <c r="AB3251" s="3">
        <f t="shared" si="2615"/>
        <v>39684.620000000003</v>
      </c>
      <c r="AC3251" s="3" cm="1">
        <f t="array" ref="AC3251">100000000/LvacE(AA3251)</f>
        <v>39684.617521613174</v>
      </c>
      <c r="AD3251" s="10">
        <f t="shared" si="2616"/>
        <v>1.2876713903246219E-2</v>
      </c>
      <c r="AE3251" s="10" t="b">
        <f t="shared" si="2617"/>
        <v>1</v>
      </c>
      <c r="AP3251"/>
      <c r="AQ3251"/>
      <c r="AU3251" s="13" cm="1">
        <f t="array" ref="AU3251">$C3251*EXP(poly_from_str(100000000/$E3251,AU$4343))</f>
        <v>30.434482930411573</v>
      </c>
    </row>
    <row r="3252" spans="1:51" x14ac:dyDescent="0.25">
      <c r="A3252" t="s">
        <v>3828</v>
      </c>
      <c r="B3252" s="2" t="str">
        <f t="shared" si="2613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2614"/>
        <v>2518.8649999999998</v>
      </c>
      <c r="AB3252" s="3">
        <f t="shared" si="2615"/>
        <v>39688.480000000003</v>
      </c>
      <c r="AC3252" s="3" cm="1">
        <f t="array" ref="AC3252">100000000/LvacE(AA3252)</f>
        <v>39688.477226496143</v>
      </c>
      <c r="AD3252" s="10">
        <f t="shared" si="2616"/>
        <v>1.2878246199477968E-2</v>
      </c>
      <c r="AE3252" s="10" t="b">
        <f t="shared" si="2617"/>
        <v>1</v>
      </c>
      <c r="AJ3252" t="s">
        <v>4756</v>
      </c>
      <c r="AK3252" t="s">
        <v>4707</v>
      </c>
      <c r="AL3252">
        <v>23532.86</v>
      </c>
      <c r="AM3252">
        <v>63221.279999999999</v>
      </c>
      <c r="AN3252" s="10" cm="1">
        <f t="array" ref="AN3252">Lair(100000000/($AM3252-$AL3252))</f>
        <v>2518.8686327950427</v>
      </c>
      <c r="AO3252" s="10">
        <f>100000000/($AM3252-$AL3252)</f>
        <v>2519.6266316472161</v>
      </c>
      <c r="AP3252" s="12">
        <v>10400000</v>
      </c>
      <c r="AQ3252" s="3">
        <v>2.8000000000000001E-2</v>
      </c>
      <c r="AR3252" s="3"/>
      <c r="AS3252" s="13">
        <f>EXP(AR$4341*$AM3252+AR$4342)*$AP3252/(100000000/($AM3252-$AL3252))</f>
        <v>3.1743840360205953</v>
      </c>
      <c r="AT3252" s="3"/>
      <c r="AU3252" s="13" cm="1">
        <f t="array" ref="AU3252">$C3252*EXP(poly_from_str(100000000/$E3252,AU$4343))</f>
        <v>3.3831404265443519</v>
      </c>
      <c r="AV3252" s="13"/>
      <c r="AW3252" s="13"/>
      <c r="AX3252" s="13"/>
      <c r="AY3252" s="13"/>
    </row>
    <row r="3253" spans="1:51" x14ac:dyDescent="0.25">
      <c r="A3253" t="s">
        <v>3829</v>
      </c>
      <c r="B3253" s="2" t="str">
        <f t="shared" si="2613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2614"/>
        <v>2518.7820000000002</v>
      </c>
      <c r="AB3253" s="3">
        <f t="shared" si="2615"/>
        <v>39689.78</v>
      </c>
      <c r="AC3253" s="3" cm="1">
        <f t="array" ref="AC3253">100000000/LvacE(AA3253)</f>
        <v>39689.78497023938</v>
      </c>
      <c r="AD3253" s="10">
        <f t="shared" si="2616"/>
        <v>1.2878765405310855E-2</v>
      </c>
      <c r="AE3253" s="10" t="b">
        <f t="shared" si="2617"/>
        <v>1</v>
      </c>
      <c r="AP3253"/>
      <c r="AQ3253"/>
      <c r="AU3253" s="13" cm="1">
        <f t="array" ref="AU3253">$C3253*EXP(poly_from_str(100000000/$E3253,AU$4343))</f>
        <v>3.3836554086742523</v>
      </c>
    </row>
    <row r="3254" spans="1:51" x14ac:dyDescent="0.25">
      <c r="A3254" t="s">
        <v>3830</v>
      </c>
      <c r="B3254" s="2" t="str">
        <f t="shared" si="2613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2614"/>
        <v>2518.326</v>
      </c>
      <c r="AB3254" s="3">
        <f t="shared" si="2615"/>
        <v>39696.97</v>
      </c>
      <c r="AC3254" s="3" cm="1">
        <f t="array" ref="AC3254">100000000/LvacE(AA3254)</f>
        <v>39696.971220404594</v>
      </c>
      <c r="AD3254" s="10">
        <f t="shared" si="2616"/>
        <v>1.2881618825442892E-2</v>
      </c>
      <c r="AE3254" s="10" t="b">
        <f t="shared" si="2617"/>
        <v>1</v>
      </c>
      <c r="AJ3254" t="s">
        <v>4811</v>
      </c>
      <c r="AK3254" t="s">
        <v>4943</v>
      </c>
      <c r="AL3254">
        <v>35863.74</v>
      </c>
      <c r="AM3254">
        <v>75560.75</v>
      </c>
      <c r="AN3254" s="10" cm="1">
        <f t="array" ref="AN3254">Lair(100000000/($AM3254-$AL3254))</f>
        <v>2518.3235403308936</v>
      </c>
      <c r="AO3254" s="10">
        <f>100000000/($AM3254-$AL3254)</f>
        <v>2519.0814119249785</v>
      </c>
      <c r="AP3254" s="12">
        <v>22400000</v>
      </c>
      <c r="AQ3254" s="3">
        <v>0.16300000000000001</v>
      </c>
      <c r="AR3254" s="3">
        <f>LN(AU3254*100000000/($AM3254-$AL3254)/AP3254)</f>
        <v>-7.8731258046896766</v>
      </c>
      <c r="AS3254" s="13">
        <f>EXP(AR$4341*$AM3254+AR$4342)*$AP3254/(100000000/($AM3254-$AL3254))</f>
        <v>2.7089143131297799</v>
      </c>
      <c r="AT3254" s="3">
        <f>LN(AS3254/$C3254)</f>
        <v>0.99654793215965587</v>
      </c>
      <c r="AU3254" s="13" cm="1">
        <f t="array" ref="AU3254">$C3254*EXP(poly_from_str(100000000/$E3254,AU$4343))</f>
        <v>3.3864972145639833</v>
      </c>
      <c r="AV3254" s="13">
        <f>LN(AS3254/AU3254)</f>
        <v>-0.22324818500108445</v>
      </c>
      <c r="AW3254" s="13"/>
      <c r="AX3254" s="13"/>
      <c r="AY3254" s="13"/>
    </row>
    <row r="3255" spans="1:51" x14ac:dyDescent="0.25">
      <c r="A3255" t="s">
        <v>3831</v>
      </c>
      <c r="B3255" s="2" t="str">
        <f t="shared" si="2613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2614"/>
        <v>2517.9160000000002</v>
      </c>
      <c r="AB3255" s="3">
        <f t="shared" si="2615"/>
        <v>39703.43</v>
      </c>
      <c r="AC3255" s="3" cm="1">
        <f t="array" ref="AC3255">100000000/LvacE(AA3255)</f>
        <v>39703.434763811994</v>
      </c>
      <c r="AD3255" s="10">
        <f t="shared" si="2616"/>
        <v>1.2884185724188573E-2</v>
      </c>
      <c r="AE3255" s="10" t="b">
        <f t="shared" si="2617"/>
        <v>1</v>
      </c>
      <c r="AP3255"/>
      <c r="AQ3255"/>
      <c r="AU3255" s="13" cm="1">
        <f t="array" ref="AU3255">$C3255*EXP(poly_from_str(100000000/$E3255,AU$4343))</f>
        <v>3.3890412384392392</v>
      </c>
    </row>
    <row r="3256" spans="1:51" x14ac:dyDescent="0.25">
      <c r="A3256" t="s">
        <v>3832</v>
      </c>
      <c r="B3256" s="2" t="str">
        <f t="shared" si="2613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2670">$G3256&amp;""</f>
        <v>o</v>
      </c>
      <c r="N3256" t="str">
        <f t="shared" ref="N3256:N3257" si="2671">$H3256&amp;""</f>
        <v>11/2</v>
      </c>
      <c r="O3256">
        <v>105632.16</v>
      </c>
      <c r="P3256" t="str">
        <f t="shared" ref="P3256:P3257" si="2672">$J3256&amp;""</f>
        <v>e</v>
      </c>
      <c r="Q3256" t="str">
        <f t="shared" ref="Q3256:Q3257" si="2673">$K3256&amp;""</f>
        <v>13/2</v>
      </c>
      <c r="R3256">
        <v>31</v>
      </c>
      <c r="AA3256" s="10">
        <f t="shared" si="2614"/>
        <v>2517.5149999999999</v>
      </c>
      <c r="AB3256" s="3">
        <f t="shared" si="2615"/>
        <v>39709.760000000002</v>
      </c>
      <c r="AC3256" s="3" cm="1">
        <f t="array" ref="AC3256">100000000/LvacE(AA3256)</f>
        <v>39709.75846077333</v>
      </c>
      <c r="AD3256" s="10">
        <f t="shared" si="2616"/>
        <v>1.288669748954293E-2</v>
      </c>
      <c r="AE3256" s="10" t="b">
        <f t="shared" si="2617"/>
        <v>1</v>
      </c>
      <c r="AJ3256" t="s">
        <v>4833</v>
      </c>
      <c r="AK3256" t="s">
        <v>4887</v>
      </c>
      <c r="AL3256">
        <v>65922.42</v>
      </c>
      <c r="AM3256">
        <v>105632.16</v>
      </c>
      <c r="AN3256" s="10" cm="1">
        <f t="array" ref="AN3256">Lair(100000000/($AM3256-$AL3256))</f>
        <v>2517.5161710915672</v>
      </c>
      <c r="AO3256" s="10">
        <f t="shared" ref="AO3256:AO3257" si="2674">100000000/($AM3256-$AL3256)</f>
        <v>2518.27385422317</v>
      </c>
      <c r="AP3256" s="12">
        <v>4140000000</v>
      </c>
      <c r="AQ3256" s="3">
        <v>0.85299999999999998</v>
      </c>
      <c r="AR3256" s="3">
        <f t="shared" ref="AR3256:AR3257" si="2675">LN(AU3256*100000000/($AM3256-$AL3256)/AP3256)</f>
        <v>-11.011911256273766</v>
      </c>
      <c r="AS3256" s="13">
        <f t="shared" ref="AS3256:AS3257" si="2676">EXP(AR$4341*$AM3256+AR$4342)*$AP3256/(100000000/($AM3256-$AL3256))</f>
        <v>52.430935126427904</v>
      </c>
      <c r="AT3256" s="3">
        <f t="shared" ref="AT3256:AT3257" si="2677">LN(AS3256/$C3256)</f>
        <v>1.8800552404584616</v>
      </c>
      <c r="AU3256" s="13" cm="1">
        <f t="array" ref="AU3256">$C3256*EXP(poly_from_str(100000000/$E3256,AU$4343))</f>
        <v>27.132205067371565</v>
      </c>
      <c r="AV3256" s="13">
        <f t="shared" ref="AV3256:AV3257" si="2678">LN(AS3256/AU3256)</f>
        <v>0.65877538094608312</v>
      </c>
      <c r="AW3256" s="13"/>
      <c r="AX3256" s="13"/>
      <c r="AY3256" s="13"/>
    </row>
    <row r="3257" spans="1:51" x14ac:dyDescent="0.25">
      <c r="A3257" t="s">
        <v>3833</v>
      </c>
      <c r="B3257" s="2" t="str">
        <f t="shared" si="2613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2670"/>
        <v>e</v>
      </c>
      <c r="N3257" t="str">
        <f t="shared" si="2671"/>
        <v>5/2</v>
      </c>
      <c r="O3257">
        <v>68978.55</v>
      </c>
      <c r="P3257" t="str">
        <f t="shared" si="2672"/>
        <v>o</v>
      </c>
      <c r="Q3257" t="str">
        <f t="shared" si="2673"/>
        <v>5/2</v>
      </c>
      <c r="R3257">
        <v>31</v>
      </c>
      <c r="AA3257" s="10">
        <f t="shared" si="2614"/>
        <v>2517.4549999999999</v>
      </c>
      <c r="AB3257" s="3">
        <f t="shared" si="2615"/>
        <v>39710.699999999997</v>
      </c>
      <c r="AC3257" s="3" cm="1">
        <f t="array" ref="AC3257">100000000/LvacE(AA3257)</f>
        <v>39710.7048230898</v>
      </c>
      <c r="AD3257" s="10">
        <f t="shared" si="2616"/>
        <v>1.288707341801339E-2</v>
      </c>
      <c r="AE3257" s="10" t="b">
        <f t="shared" si="2617"/>
        <v>1</v>
      </c>
      <c r="AJ3257" t="s">
        <v>4700</v>
      </c>
      <c r="AK3257" t="s">
        <v>4918</v>
      </c>
      <c r="AL3257">
        <v>29267.86</v>
      </c>
      <c r="AM3257">
        <v>68978.55</v>
      </c>
      <c r="AN3257" s="10" cm="1">
        <f t="array" ref="AN3257">Lair(100000000/($AM3257-$AL3257))</f>
        <v>2517.4559404106121</v>
      </c>
      <c r="AO3257" s="10">
        <f t="shared" si="2674"/>
        <v>2518.2136094839952</v>
      </c>
      <c r="AP3257" s="12">
        <v>402000000</v>
      </c>
      <c r="AQ3257" s="3">
        <v>0.58399999999999996</v>
      </c>
      <c r="AR3257" s="3">
        <f t="shared" si="2675"/>
        <v>-8.562044600281606</v>
      </c>
      <c r="AS3257" s="13">
        <f t="shared" si="2676"/>
        <v>79.69894876403059</v>
      </c>
      <c r="AT3257" s="3">
        <f t="shared" si="2677"/>
        <v>2.1810318184611757</v>
      </c>
      <c r="AU3257" s="13" cm="1">
        <f t="array" ref="AU3257">$C3257*EXP(poly_from_str(100000000/$E3257,AU$4343))</f>
        <v>30.527044703269127</v>
      </c>
      <c r="AV3257" s="13">
        <f t="shared" si="2678"/>
        <v>0.95964339349790984</v>
      </c>
      <c r="AW3257" s="13"/>
      <c r="AX3257" s="13"/>
      <c r="AY3257" s="13"/>
    </row>
    <row r="3258" spans="1:51" x14ac:dyDescent="0.25">
      <c r="A3258" t="s">
        <v>3834</v>
      </c>
      <c r="B3258" s="2" t="str">
        <f t="shared" si="2613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2614"/>
        <v>2516.9259999999999</v>
      </c>
      <c r="AB3258" s="3">
        <f t="shared" si="2615"/>
        <v>39719.050000000003</v>
      </c>
      <c r="AC3258" s="3" cm="1">
        <f t="array" ref="AC3258">100000000/LvacE(AA3258)</f>
        <v>39719.050536496055</v>
      </c>
      <c r="AD3258" s="10">
        <f t="shared" si="2616"/>
        <v>1.289038901749516E-2</v>
      </c>
      <c r="AE3258" s="10" t="b">
        <f t="shared" si="2617"/>
        <v>1</v>
      </c>
      <c r="AP3258"/>
      <c r="AQ3258"/>
      <c r="AU3258" s="13" cm="1">
        <f t="array" ref="AU3258">$C3258*EXP(poly_from_str(100000000/$E3258,AU$4343))</f>
        <v>3.3951567769663864</v>
      </c>
    </row>
    <row r="3259" spans="1:51" x14ac:dyDescent="0.25">
      <c r="A3259" t="s">
        <v>3835</v>
      </c>
      <c r="B3259" s="2" t="str">
        <f t="shared" si="2613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2614"/>
        <v>2516.337</v>
      </c>
      <c r="AB3259" s="3">
        <f t="shared" si="2615"/>
        <v>39728.35</v>
      </c>
      <c r="AC3259" s="3" cm="1">
        <f t="array" ref="AC3259">100000000/LvacE(AA3259)</f>
        <v>39728.346961651412</v>
      </c>
      <c r="AD3259" s="10">
        <f t="shared" si="2616"/>
        <v>1.2894083137841118E-2</v>
      </c>
      <c r="AE3259" s="10" t="b">
        <f t="shared" si="2617"/>
        <v>1</v>
      </c>
      <c r="AJ3259" t="s">
        <v>4880</v>
      </c>
      <c r="AK3259" t="s">
        <v>4908</v>
      </c>
      <c r="AL3259">
        <v>61717.98</v>
      </c>
      <c r="AM3259">
        <v>101446.27</v>
      </c>
      <c r="AN3259" s="10" cm="1">
        <f t="array" ref="AN3259">Lair(100000000/($AM3259-$AL3259))</f>
        <v>2516.3406087781591</v>
      </c>
      <c r="AO3259" s="10">
        <f>100000000/($AM3259-$AL3259)</f>
        <v>2517.0980175587724</v>
      </c>
      <c r="AP3259" s="12">
        <v>311000000</v>
      </c>
      <c r="AQ3259" s="3">
        <v>0.78700000000000003</v>
      </c>
      <c r="AR3259" s="3">
        <f>LN(AU3259*100000000/($AM3259-$AL3259)/AP3259)</f>
        <v>-10.501026714750955</v>
      </c>
      <c r="AS3259" s="13">
        <f>EXP(AR$4341*$AM3259+AR$4342)*$AP3259/(100000000/($AM3259-$AL3259))</f>
        <v>5.3948410723423086</v>
      </c>
      <c r="AT3259" s="3">
        <f>LN(AS3259/$C3259)</f>
        <v>1.6854431399522465</v>
      </c>
      <c r="AU3259" s="13" cm="1">
        <f t="array" ref="AU3259">$C3259*EXP(poly_from_str(100000000/$E3259,AU$4343))</f>
        <v>3.3987741374456664</v>
      </c>
      <c r="AV3259" s="13">
        <f>LN(AS3259/AU3259)</f>
        <v>0.4620283211532179</v>
      </c>
      <c r="AW3259" s="13"/>
      <c r="AX3259" s="13"/>
      <c r="AY3259" s="13"/>
    </row>
    <row r="3260" spans="1:51" x14ac:dyDescent="0.25">
      <c r="A3260" t="s">
        <v>3836</v>
      </c>
      <c r="B3260" s="2" t="str">
        <f t="shared" si="2613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2614"/>
        <v>2516.1080000000002</v>
      </c>
      <c r="AB3260" s="3">
        <f t="shared" si="2615"/>
        <v>39731.96</v>
      </c>
      <c r="AC3260" s="3" cm="1">
        <f t="array" ref="AC3260">100000000/LvacE(AA3260)</f>
        <v>39731.962536152038</v>
      </c>
      <c r="AD3260" s="10">
        <f t="shared" si="2616"/>
        <v>1.289552009217252E-2</v>
      </c>
      <c r="AE3260" s="10" t="b">
        <f t="shared" si="2617"/>
        <v>1</v>
      </c>
      <c r="AP3260"/>
      <c r="AQ3260"/>
      <c r="AU3260" s="13" cm="1">
        <f t="array" ref="AU3260">$C3260*EXP(poly_from_str(100000000/$E3260,AU$4343))</f>
        <v>13.600694268274568</v>
      </c>
    </row>
    <row r="3261" spans="1:51" x14ac:dyDescent="0.25">
      <c r="A3261" t="s">
        <v>3837</v>
      </c>
      <c r="B3261" s="2" t="str">
        <f t="shared" si="2613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2679">$G3261&amp;""</f>
        <v>o</v>
      </c>
      <c r="N3261" t="str">
        <f t="shared" ref="N3261:N3264" si="2680">$H3261&amp;""</f>
        <v>9/2</v>
      </c>
      <c r="O3261">
        <v>103335.06</v>
      </c>
      <c r="P3261" t="str">
        <f t="shared" ref="P3261:P3264" si="2681">$J3261&amp;""</f>
        <v>e</v>
      </c>
      <c r="Q3261" t="str">
        <f t="shared" ref="Q3261:Q3264" si="2682">$K3261&amp;""</f>
        <v>9/2</v>
      </c>
      <c r="R3261">
        <v>31</v>
      </c>
      <c r="AA3261" s="10">
        <f t="shared" si="2614"/>
        <v>2515.4870000000001</v>
      </c>
      <c r="AB3261" s="3">
        <f t="shared" si="2615"/>
        <v>39741.769999999997</v>
      </c>
      <c r="AC3261" s="3" cm="1">
        <f t="array" ref="AC3261">100000000/LvacE(AA3261)</f>
        <v>39741.770528983077</v>
      </c>
      <c r="AD3261" s="10">
        <f t="shared" si="2616"/>
        <v>1.2899418786299247E-2</v>
      </c>
      <c r="AE3261" s="10" t="b">
        <f t="shared" si="2617"/>
        <v>1</v>
      </c>
      <c r="AJ3261" t="s">
        <v>4840</v>
      </c>
      <c r="AK3261" t="s">
        <v>4890</v>
      </c>
      <c r="AL3261">
        <v>63593.35</v>
      </c>
      <c r="AM3261">
        <v>103335.06</v>
      </c>
      <c r="AN3261" s="10" cm="1">
        <f t="array" ref="AN3261">Lair(100000000/($AM3261-$AL3261))</f>
        <v>2515.4908321696221</v>
      </c>
      <c r="AO3261" s="10">
        <f t="shared" ref="AO3261:AO3264" si="2683">100000000/($AM3261-$AL3261)</f>
        <v>2516.2480426735538</v>
      </c>
      <c r="AP3261" s="12">
        <v>2160000000</v>
      </c>
      <c r="AQ3261" s="3">
        <v>0.66800000000000004</v>
      </c>
      <c r="AR3261" s="3">
        <f t="shared" ref="AR3261:AR3262" si="2684">LN(AU3261*100000000/($AM3261-$AL3261)/AP3261)</f>
        <v>-10.491999307864271</v>
      </c>
      <c r="AS3261" s="13">
        <f t="shared" ref="AS3261:AS3264" si="2685">EXP(AR$4341*$AM3261+AR$4342)*$AP3261/(100000000/($AM3261-$AL3261))</f>
        <v>32.528085857071737</v>
      </c>
      <c r="AT3261" s="3">
        <f t="shared" ref="AT3261:AT3264" si="2686">LN(AS3261/$C3261)</f>
        <v>1.5361937473092324</v>
      </c>
      <c r="AU3261" s="13" cm="1">
        <f t="array" ref="AU3261">$C3261*EXP(poly_from_str(100000000/$E3261,AU$4343))</f>
        <v>23.827742466758593</v>
      </c>
      <c r="AV3261" s="13">
        <f t="shared" ref="AV3261:AV3262" si="2687">LN(AS3261/AU3261)</f>
        <v>0.31125334466563542</v>
      </c>
      <c r="AW3261" s="13"/>
      <c r="AX3261" s="13"/>
      <c r="AY3261" s="13"/>
    </row>
    <row r="3262" spans="1:51" x14ac:dyDescent="0.25">
      <c r="A3262" t="s">
        <v>3838</v>
      </c>
      <c r="B3262" s="2" t="str">
        <f t="shared" si="2613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2679"/>
        <v>e</v>
      </c>
      <c r="N3262" t="str">
        <f t="shared" si="2680"/>
        <v>9/2</v>
      </c>
      <c r="O3262">
        <v>63593.35</v>
      </c>
      <c r="P3262" t="str">
        <f t="shared" si="2681"/>
        <v>o</v>
      </c>
      <c r="Q3262" t="str">
        <f t="shared" si="2682"/>
        <v>9/2</v>
      </c>
      <c r="R3262">
        <v>31</v>
      </c>
      <c r="AA3262" s="10">
        <f t="shared" si="2614"/>
        <v>2515.0450000000001</v>
      </c>
      <c r="AB3262" s="3">
        <f t="shared" si="2615"/>
        <v>39748.75</v>
      </c>
      <c r="AC3262" s="3" cm="1">
        <f t="array" ref="AC3262">100000000/LvacE(AA3262)</f>
        <v>39748.754369343558</v>
      </c>
      <c r="AD3262" s="10">
        <f t="shared" si="2616"/>
        <v>1.2902195461580918E-2</v>
      </c>
      <c r="AE3262" s="10" t="b">
        <f t="shared" si="2617"/>
        <v>1</v>
      </c>
      <c r="AJ3262" t="s">
        <v>4763</v>
      </c>
      <c r="AK3262" t="s">
        <v>4840</v>
      </c>
      <c r="AL3262">
        <v>23844.58</v>
      </c>
      <c r="AM3262">
        <v>63593.35</v>
      </c>
      <c r="AN3262" s="10" cm="1">
        <f t="array" ref="AN3262">Lair(100000000/($AM3262-$AL3262))</f>
        <v>2515.0440116084133</v>
      </c>
      <c r="AO3262" s="10">
        <f t="shared" si="2683"/>
        <v>2515.801117871069</v>
      </c>
      <c r="AP3262" s="12">
        <v>82700000</v>
      </c>
      <c r="AQ3262" s="3">
        <v>0.12</v>
      </c>
      <c r="AR3262" s="3">
        <f t="shared" si="2684"/>
        <v>-7.2287446500318158</v>
      </c>
      <c r="AS3262" s="13">
        <f t="shared" si="2685"/>
        <v>24.584697506241532</v>
      </c>
      <c r="AT3262" s="3">
        <f t="shared" si="2686"/>
        <v>1.2562140477362109</v>
      </c>
      <c r="AU3262" s="13" cm="1">
        <f t="array" ref="AU3262">$C3262*EXP(poly_from_str(100000000/$E3262,AU$4343))</f>
        <v>23.846535440120036</v>
      </c>
      <c r="AV3262" s="13">
        <f t="shared" si="2687"/>
        <v>3.0485254574290601E-2</v>
      </c>
      <c r="AW3262" s="13"/>
      <c r="AX3262" s="13"/>
      <c r="AY3262" s="13"/>
    </row>
    <row r="3263" spans="1:51" x14ac:dyDescent="0.25">
      <c r="A3263" t="s">
        <v>3839</v>
      </c>
      <c r="B3263" s="2">
        <f t="shared" si="2613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2679"/>
        <v>e</v>
      </c>
      <c r="N3263" t="str">
        <f t="shared" si="2680"/>
        <v>3/2</v>
      </c>
      <c r="O3263">
        <v>75614.81</v>
      </c>
      <c r="P3263" t="str">
        <f t="shared" si="2681"/>
        <v>o</v>
      </c>
      <c r="Q3263" t="str">
        <f t="shared" si="2682"/>
        <v>5/2</v>
      </c>
      <c r="R3263">
        <v>31</v>
      </c>
      <c r="AA3263" s="10">
        <f t="shared" si="2614"/>
        <v>2514.9009999999998</v>
      </c>
      <c r="AB3263" s="3">
        <f t="shared" si="2615"/>
        <v>39751.03</v>
      </c>
      <c r="AC3263" s="3" cm="1">
        <f t="array" ref="AC3263">100000000/LvacE(AA3263)</f>
        <v>39751.030177747009</v>
      </c>
      <c r="AD3263" s="10">
        <f t="shared" si="2616"/>
        <v>1.2903100395949385E-2</v>
      </c>
      <c r="AE3263" s="10" t="b">
        <f t="shared" si="2617"/>
        <v>1</v>
      </c>
      <c r="AJ3263" t="s">
        <v>4811</v>
      </c>
      <c r="AK3263" t="s">
        <v>4947</v>
      </c>
      <c r="AL3263">
        <v>35863.74</v>
      </c>
      <c r="AM3263">
        <v>75614.81</v>
      </c>
      <c r="AN3263" s="10" cm="1">
        <f t="array" ref="AN3263">Lair(100000000/($AM3263-$AL3263))</f>
        <v>2514.8984811096539</v>
      </c>
      <c r="AO3263" s="10">
        <f t="shared" si="2683"/>
        <v>2515.6555534228387</v>
      </c>
      <c r="AP3263" s="12">
        <v>2220000</v>
      </c>
      <c r="AQ3263" s="3">
        <v>1.7000000000000001E-2</v>
      </c>
      <c r="AR3263" s="3"/>
      <c r="AS3263" s="13">
        <f t="shared" si="2685"/>
        <v>0.26774989289452739</v>
      </c>
      <c r="AT3263" s="3"/>
      <c r="AU3263" s="13" cm="1">
        <f t="array" ref="AU3263">$C3263*EXP(poly_from_str(100000000/$E3263,AU$4343))</f>
        <v>23.85265948659006</v>
      </c>
      <c r="AV3263" s="13"/>
      <c r="AW3263" s="13"/>
      <c r="AX3263" s="13"/>
      <c r="AY3263" s="13"/>
    </row>
    <row r="3264" spans="1:51" x14ac:dyDescent="0.25">
      <c r="A3264" t="s">
        <v>3839</v>
      </c>
      <c r="B3264" s="2">
        <f t="shared" si="2613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2679"/>
        <v>o</v>
      </c>
      <c r="N3264" t="str">
        <f t="shared" si="2680"/>
        <v>9/2</v>
      </c>
      <c r="O3264">
        <v>103344.35</v>
      </c>
      <c r="P3264" t="str">
        <f t="shared" si="2681"/>
        <v>e</v>
      </c>
      <c r="Q3264" t="str">
        <f t="shared" si="2682"/>
        <v>11/2</v>
      </c>
      <c r="R3264">
        <v>31</v>
      </c>
      <c r="AA3264" s="10">
        <f t="shared" si="2614"/>
        <v>2514.9009999999998</v>
      </c>
      <c r="AB3264" s="3">
        <f t="shared" si="2615"/>
        <v>39751.03</v>
      </c>
      <c r="AC3264" s="3" cm="1">
        <f t="array" ref="AC3264">100000000/LvacE(AA3264)</f>
        <v>39751.030177747009</v>
      </c>
      <c r="AD3264" s="10">
        <f t="shared" si="2616"/>
        <v>1.2903100395949385E-2</v>
      </c>
      <c r="AE3264" s="10" t="b">
        <f t="shared" si="2617"/>
        <v>1</v>
      </c>
      <c r="AJ3264" t="s">
        <v>4840</v>
      </c>
      <c r="AK3264" t="s">
        <v>4904</v>
      </c>
      <c r="AL3264">
        <v>63593.35</v>
      </c>
      <c r="AM3264">
        <v>103344.35</v>
      </c>
      <c r="AN3264" s="10" cm="1">
        <f t="array" ref="AN3264">Lair(100000000/($AM3264-$AL3264))</f>
        <v>2514.9029100502876</v>
      </c>
      <c r="AO3264" s="10">
        <f t="shared" si="2683"/>
        <v>2515.6599833966438</v>
      </c>
      <c r="AP3264" s="12">
        <v>2620000000</v>
      </c>
      <c r="AQ3264" s="3">
        <v>0.77700000000000002</v>
      </c>
      <c r="AR3264" s="3">
        <f>LN(AU3264*100000000/($AM3264-$AL3264)/AP3264)</f>
        <v>-10.684253967776398</v>
      </c>
      <c r="AS3264" s="13">
        <f t="shared" si="2685"/>
        <v>39.437081959447148</v>
      </c>
      <c r="AT3264" s="3">
        <f t="shared" si="2686"/>
        <v>1.7287963911125275</v>
      </c>
      <c r="AU3264" s="13" cm="1">
        <f t="array" ref="AU3264">$C3264*EXP(poly_from_str(100000000/$E3264,AU$4343))</f>
        <v>23.85265948659006</v>
      </c>
      <c r="AV3264" s="13">
        <f>LN(AS3264/AU3264)</f>
        <v>0.50281082017844203</v>
      </c>
      <c r="AW3264" s="13"/>
      <c r="AX3264" s="13"/>
      <c r="AY3264" s="13"/>
    </row>
    <row r="3265" spans="1:51" x14ac:dyDescent="0.25">
      <c r="A3265" t="s">
        <v>3840</v>
      </c>
      <c r="B3265" s="2" t="str">
        <f t="shared" si="2613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2614"/>
        <v>2514.462</v>
      </c>
      <c r="AB3265" s="3">
        <f t="shared" si="2615"/>
        <v>39757.97</v>
      </c>
      <c r="AC3265" s="3" cm="1">
        <f t="array" ref="AC3265">100000000/LvacE(AA3265)</f>
        <v>39757.969840970851</v>
      </c>
      <c r="AD3265" s="10">
        <f t="shared" si="2616"/>
        <v>1.2905860148407663E-2</v>
      </c>
      <c r="AE3265" s="10" t="b">
        <f t="shared" si="2617"/>
        <v>1</v>
      </c>
      <c r="AP3265"/>
      <c r="AQ3265"/>
      <c r="AU3265" s="13" cm="1">
        <f t="array" ref="AU3265">$C3265*EXP(poly_from_str(100000000/$E3265,AU$4343))</f>
        <v>6.820358904315726</v>
      </c>
    </row>
    <row r="3266" spans="1:51" x14ac:dyDescent="0.25">
      <c r="A3266" t="s">
        <v>3841</v>
      </c>
      <c r="B3266" s="2" t="str">
        <f t="shared" ref="B3266:B3329" si="2688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3842</v>
      </c>
      <c r="AA3266" s="10">
        <f t="shared" si="2614"/>
        <v>2514.143</v>
      </c>
      <c r="AB3266" s="3">
        <f t="shared" si="2615"/>
        <v>39763.01</v>
      </c>
      <c r="AC3266" s="3" cm="1">
        <f t="array" ref="AC3266">100000000/LvacE(AA3266)</f>
        <v>39763.014077679436</v>
      </c>
      <c r="AD3266" s="10">
        <f t="shared" si="2616"/>
        <v>1.2907866433548021E-2</v>
      </c>
      <c r="AE3266" s="10" t="b">
        <f t="shared" si="2617"/>
        <v>1</v>
      </c>
      <c r="AJ3266" t="s">
        <v>4704</v>
      </c>
      <c r="AK3266" t="s">
        <v>4872</v>
      </c>
      <c r="AL3266">
        <v>38549.9</v>
      </c>
      <c r="AM3266">
        <v>78312.91</v>
      </c>
      <c r="AN3266" s="10" cm="1">
        <f t="array" ref="AN3266">Lair(100000000/($AM3266-$AL3266))</f>
        <v>2514.1432585402158</v>
      </c>
      <c r="AO3266" s="10">
        <f>100000000/($AM3266-$AL3266)</f>
        <v>2514.9001546915083</v>
      </c>
      <c r="AP3266" s="12">
        <v>35700000</v>
      </c>
      <c r="AQ3266" s="3">
        <v>0.27300000000000002</v>
      </c>
      <c r="AR3266" s="3">
        <f>LN(AU3266*100000000/($AM3266-$AL3266)/AP3266)</f>
        <v>-8.3333440817690487</v>
      </c>
      <c r="AS3266" s="13">
        <f>EXP(AR$4341*$AM3266+AR$4342)*$AP3266/(100000000/($AM3266-$AL3266))</f>
        <v>3.5175269953297361</v>
      </c>
      <c r="AT3266" s="3">
        <f>LN(AS3266/$C3266)</f>
        <v>1.2577581845554184</v>
      </c>
      <c r="AU3266" s="13" cm="1">
        <f t="array" ref="AU3266">$C3266*EXP(poly_from_str(100000000/$E3266,AU$4343))</f>
        <v>3.4121028853936997</v>
      </c>
      <c r="AV3266" s="13">
        <f>LN(AS3266/AU3266)</f>
        <v>3.0429401396522511E-2</v>
      </c>
      <c r="AW3266" s="13"/>
      <c r="AX3266" s="13"/>
      <c r="AY3266" s="13"/>
    </row>
    <row r="3267" spans="1:51" x14ac:dyDescent="0.25">
      <c r="A3267" t="s">
        <v>3843</v>
      </c>
      <c r="B3267" s="2" t="str">
        <f t="shared" si="2688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2689">ROUND($A3267,3)+0</f>
        <v>2513.9899999999998</v>
      </c>
      <c r="AB3267" s="3">
        <f t="shared" ref="AB3267:AB3330" si="2690">ROUND($E3267,2)+0</f>
        <v>39765.43</v>
      </c>
      <c r="AC3267" s="3" cm="1">
        <f t="array" ref="AC3267">100000000/LvacE(AA3267)</f>
        <v>39765.4338679504</v>
      </c>
      <c r="AD3267" s="10">
        <f t="shared" ref="AD3267:AD3330" si="2691">0.0005/$AA3267*AC3267+0.005</f>
        <v>1.290882896669247E-2</v>
      </c>
      <c r="AE3267" s="10" t="b">
        <f t="shared" ref="AE3267:AE3330" si="2692">ABS(AB3267-AC3267)&lt;AD3267</f>
        <v>1</v>
      </c>
      <c r="AP3267"/>
      <c r="AQ3267"/>
      <c r="AU3267" s="13" cm="1">
        <f t="array" ref="AU3267">$C3267*EXP(poly_from_str(100000000/$E3267,AU$4343))</f>
        <v>3.4130246833600419</v>
      </c>
    </row>
    <row r="3268" spans="1:51" x14ac:dyDescent="0.25">
      <c r="A3268" t="s">
        <v>3844</v>
      </c>
      <c r="B3268" s="2" t="str">
        <f t="shared" si="2688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2689"/>
        <v>2513.7750000000001</v>
      </c>
      <c r="AB3268" s="3">
        <f t="shared" si="2690"/>
        <v>39768.83</v>
      </c>
      <c r="AC3268" s="3" cm="1">
        <f t="array" ref="AC3268">100000000/LvacE(AA3268)</f>
        <v>39768.83472455274</v>
      </c>
      <c r="AD3268" s="10">
        <f t="shared" si="2691"/>
        <v>1.2910181842955861E-2</v>
      </c>
      <c r="AE3268" s="10" t="b">
        <f t="shared" si="2692"/>
        <v>1</v>
      </c>
      <c r="AP3268"/>
      <c r="AQ3268"/>
      <c r="AU3268" s="13" cm="1">
        <f t="array" ref="AU3268">$C3268*EXP(poly_from_str(100000000/$E3268,AU$4343))</f>
        <v>3.4143178559968943</v>
      </c>
    </row>
    <row r="3269" spans="1:51" x14ac:dyDescent="0.25">
      <c r="A3269" t="s">
        <v>3845</v>
      </c>
      <c r="B3269" s="2" t="str">
        <f t="shared" si="2688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2689"/>
        <v>2513.5529999999999</v>
      </c>
      <c r="AB3269" s="3">
        <f t="shared" si="2690"/>
        <v>39772.35</v>
      </c>
      <c r="AC3269" s="3" cm="1">
        <f t="array" ref="AC3269">100000000/LvacE(AA3269)</f>
        <v>39772.346917153787</v>
      </c>
      <c r="AD3269" s="10">
        <f t="shared" si="2691"/>
        <v>1.291157913064769E-2</v>
      </c>
      <c r="AE3269" s="10" t="b">
        <f t="shared" si="2692"/>
        <v>1</v>
      </c>
      <c r="AP3269"/>
      <c r="AQ3269"/>
      <c r="AU3269" s="13" cm="1">
        <f t="array" ref="AU3269">$C3269*EXP(poly_from_str(100000000/$E3269,AU$4343))</f>
        <v>17.078271606384565</v>
      </c>
    </row>
    <row r="3270" spans="1:51" x14ac:dyDescent="0.25">
      <c r="A3270" t="s">
        <v>3846</v>
      </c>
      <c r="B3270" s="2" t="str">
        <f t="shared" si="2688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2689"/>
        <v>2512.721</v>
      </c>
      <c r="AB3270" s="3">
        <f t="shared" si="2690"/>
        <v>39785.51</v>
      </c>
      <c r="AC3270" s="3" cm="1">
        <f t="array" ref="AC3270">100000000/LvacE(AA3270)</f>
        <v>39785.515249687167</v>
      </c>
      <c r="AD3270" s="10">
        <f t="shared" si="2691"/>
        <v>1.291681910759037E-2</v>
      </c>
      <c r="AE3270" s="10" t="b">
        <f t="shared" si="2692"/>
        <v>1</v>
      </c>
      <c r="AP3270"/>
      <c r="AQ3270"/>
      <c r="AU3270" s="13" cm="1">
        <f t="array" ref="AU3270">$C3270*EXP(poly_from_str(100000000/$E3270,AU$4343))</f>
        <v>13.682519555898651</v>
      </c>
    </row>
    <row r="3271" spans="1:51" x14ac:dyDescent="0.25">
      <c r="A3271" t="s">
        <v>3847</v>
      </c>
      <c r="B3271" s="2" t="str">
        <f t="shared" si="2688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2689"/>
        <v>2512.61</v>
      </c>
      <c r="AB3271" s="3">
        <f t="shared" si="2690"/>
        <v>39787.269999999997</v>
      </c>
      <c r="AC3271" s="3" cm="1">
        <f t="array" ref="AC3271">100000000/LvacE(AA3271)</f>
        <v>39787.272741778266</v>
      </c>
      <c r="AD3271" s="10">
        <f t="shared" si="2691"/>
        <v>1.2917518584614856E-2</v>
      </c>
      <c r="AE3271" s="10" t="b">
        <f t="shared" si="2692"/>
        <v>1</v>
      </c>
      <c r="AP3271"/>
      <c r="AQ3271"/>
      <c r="AU3271" s="13" cm="1">
        <f t="array" ref="AU3271">$C3271*EXP(poly_from_str(100000000/$E3271,AU$4343))</f>
        <v>13.685171291365492</v>
      </c>
    </row>
    <row r="3272" spans="1:51" x14ac:dyDescent="0.25">
      <c r="A3272" t="s">
        <v>3848</v>
      </c>
      <c r="B3272" s="2" t="str">
        <f t="shared" si="2688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2689"/>
        <v>2512.41</v>
      </c>
      <c r="AB3272" s="3">
        <f t="shared" si="2690"/>
        <v>39790.44</v>
      </c>
      <c r="AC3272" s="3" cm="1">
        <f t="array" ref="AC3272">100000000/LvacE(AA3272)</f>
        <v>39790.439786129005</v>
      </c>
      <c r="AD3272" s="10">
        <f t="shared" si="2691"/>
        <v>1.2918779137586822E-2</v>
      </c>
      <c r="AE3272" s="10" t="b">
        <f t="shared" si="2692"/>
        <v>1</v>
      </c>
      <c r="AP3272"/>
      <c r="AQ3272"/>
      <c r="AU3272" s="13" cm="1">
        <f t="array" ref="AU3272">$C3272*EXP(poly_from_str(100000000/$E3272,AU$4343))</f>
        <v>3.4224853855946811</v>
      </c>
    </row>
    <row r="3273" spans="1:51" x14ac:dyDescent="0.25">
      <c r="A3273" t="s">
        <v>3849</v>
      </c>
      <c r="B3273" s="2" t="str">
        <f t="shared" si="2688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2693">$G3273&amp;""</f>
        <v>o</v>
      </c>
      <c r="N3273" t="str">
        <f t="shared" ref="N3273:N3275" si="2694">$H3273&amp;""</f>
        <v>7/2</v>
      </c>
      <c r="O3273">
        <v>100321.12</v>
      </c>
      <c r="P3273" t="str">
        <f t="shared" ref="P3273:P3275" si="2695">$J3273&amp;""</f>
        <v>e</v>
      </c>
      <c r="Q3273" t="str">
        <f t="shared" ref="Q3273:Q3275" si="2696">$K3273&amp;""</f>
        <v>9/2</v>
      </c>
      <c r="R3273">
        <v>31</v>
      </c>
      <c r="AA3273" s="10">
        <f t="shared" si="2689"/>
        <v>2511.7530000000002</v>
      </c>
      <c r="AB3273" s="3">
        <f t="shared" si="2690"/>
        <v>39800.85</v>
      </c>
      <c r="AC3273" s="3" cm="1">
        <f t="array" ref="AC3273">100000000/LvacE(AA3273)</f>
        <v>39800.847076069673</v>
      </c>
      <c r="AD3273" s="10">
        <f t="shared" si="2691"/>
        <v>1.2922922173491915E-2</v>
      </c>
      <c r="AE3273" s="10" t="b">
        <f t="shared" si="2692"/>
        <v>1</v>
      </c>
      <c r="AJ3273" t="s">
        <v>4730</v>
      </c>
      <c r="AK3273" t="s">
        <v>4841</v>
      </c>
      <c r="AL3273">
        <v>60520.32</v>
      </c>
      <c r="AM3273">
        <v>100321.12</v>
      </c>
      <c r="AN3273" s="10" cm="1">
        <f t="array" ref="AN3273">Lair(100000000/($AM3273-$AL3273))</f>
        <v>2511.7559718250895</v>
      </c>
      <c r="AO3273" s="10">
        <f t="shared" ref="AO3273:AO3275" si="2697">100000000/($AM3273-$AL3273)</f>
        <v>2512.5123113103259</v>
      </c>
      <c r="AP3273" s="12">
        <v>161000000</v>
      </c>
      <c r="AQ3273" s="3">
        <v>0.42</v>
      </c>
      <c r="AR3273" s="3">
        <f t="shared" ref="AR3273:AR3275" si="2698">LN(AU3273*100000000/($AM3273-$AL3273)/AP3273)</f>
        <v>-9.8363696993112182</v>
      </c>
      <c r="AS3273" s="13">
        <f t="shared" ref="AS3273:AS3275" si="2699">EXP(AR$4341*$AM3273+AR$4342)*$AP3273/(100000000/($AM3273-$AL3273))</f>
        <v>3.0444398862968196</v>
      </c>
      <c r="AT3273" s="3">
        <f t="shared" ref="AT3273:AT3275" si="2700">LN(AS3273/$C3273)</f>
        <v>1.1133169388549098</v>
      </c>
      <c r="AU3273" s="13" cm="1">
        <f t="array" ref="AU3273">$C3273*EXP(poly_from_str(100000000/$E3273,AU$4343))</f>
        <v>3.4263884322846576</v>
      </c>
      <c r="AV3273" s="13">
        <f t="shared" ref="AV3273:AV3275" si="2701">LN(AS3273/AU3273)</f>
        <v>-0.11818983240327238</v>
      </c>
      <c r="AW3273" s="13"/>
      <c r="AX3273" s="13"/>
      <c r="AY3273" s="13"/>
    </row>
    <row r="3274" spans="1:51" x14ac:dyDescent="0.25">
      <c r="A3274" t="s">
        <v>3850</v>
      </c>
      <c r="B3274" s="2" t="str">
        <f t="shared" si="2688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2693"/>
        <v>o</v>
      </c>
      <c r="N3274" t="str">
        <f t="shared" si="2694"/>
        <v>9/2</v>
      </c>
      <c r="O3274">
        <v>101165.33</v>
      </c>
      <c r="P3274" t="str">
        <f t="shared" si="2695"/>
        <v>e</v>
      </c>
      <c r="Q3274" t="str">
        <f t="shared" si="2696"/>
        <v>11/2</v>
      </c>
      <c r="R3274">
        <v>31</v>
      </c>
      <c r="AA3274" s="10">
        <f t="shared" si="2689"/>
        <v>2511.2849999999999</v>
      </c>
      <c r="AB3274" s="3">
        <f t="shared" si="2690"/>
        <v>39808.26</v>
      </c>
      <c r="AC3274" s="3" cm="1">
        <f t="array" ref="AC3274">100000000/LvacE(AA3274)</f>
        <v>39808.26380869031</v>
      </c>
      <c r="AD3274" s="10">
        <f t="shared" si="2691"/>
        <v>1.292587536036139E-2</v>
      </c>
      <c r="AE3274" s="10" t="b">
        <f t="shared" si="2692"/>
        <v>1</v>
      </c>
      <c r="AJ3274" t="s">
        <v>4903</v>
      </c>
      <c r="AK3274" t="s">
        <v>4953</v>
      </c>
      <c r="AL3274">
        <v>61357.04</v>
      </c>
      <c r="AM3274">
        <v>101165.33</v>
      </c>
      <c r="AN3274" s="10" cm="1">
        <f t="array" ref="AN3274">Lair(100000000/($AM3274-$AL3274))</f>
        <v>2511.2833483727582</v>
      </c>
      <c r="AO3274" s="10">
        <f t="shared" si="2697"/>
        <v>2512.0395776859541</v>
      </c>
      <c r="AP3274" s="12">
        <v>3290000000</v>
      </c>
      <c r="AQ3274" s="3">
        <v>0.84599999999999997</v>
      </c>
      <c r="AR3274" s="3">
        <f t="shared" si="2698"/>
        <v>-10.773547864967538</v>
      </c>
      <c r="AS3274" s="13">
        <f t="shared" si="2699"/>
        <v>58.40423252408528</v>
      </c>
      <c r="AT3274" s="3">
        <f t="shared" si="2700"/>
        <v>1.9879468202556669</v>
      </c>
      <c r="AU3274" s="13" cm="1">
        <f t="array" ref="AU3274">$C3274*EXP(poly_from_str(100000000/$E3274,AU$4343))</f>
        <v>27.433235528984216</v>
      </c>
      <c r="AV3274" s="13">
        <f t="shared" si="2701"/>
        <v>0.75563310809155315</v>
      </c>
      <c r="AW3274" s="13"/>
      <c r="AX3274" s="13"/>
      <c r="AY3274" s="13"/>
    </row>
    <row r="3275" spans="1:51" x14ac:dyDescent="0.25">
      <c r="A3275" t="s">
        <v>3851</v>
      </c>
      <c r="B3275" s="2" t="str">
        <f t="shared" si="2688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2693"/>
        <v>e</v>
      </c>
      <c r="N3275" t="str">
        <f t="shared" si="2694"/>
        <v>9/2</v>
      </c>
      <c r="O3275">
        <v>62558.67</v>
      </c>
      <c r="P3275" t="str">
        <f t="shared" si="2695"/>
        <v>o</v>
      </c>
      <c r="Q3275" t="str">
        <f t="shared" si="2696"/>
        <v>11/2</v>
      </c>
      <c r="R3275">
        <v>31</v>
      </c>
      <c r="AA3275" s="10">
        <f t="shared" si="2689"/>
        <v>2511.114</v>
      </c>
      <c r="AB3275" s="3">
        <f t="shared" si="2690"/>
        <v>39810.97</v>
      </c>
      <c r="AC3275" s="3" cm="1">
        <f t="array" ref="AC3275">100000000/LvacE(AA3275)</f>
        <v>39810.974458195786</v>
      </c>
      <c r="AD3275" s="10">
        <f t="shared" si="2691"/>
        <v>1.2926954821285648E-2</v>
      </c>
      <c r="AE3275" s="10" t="b">
        <f t="shared" si="2692"/>
        <v>1</v>
      </c>
      <c r="AJ3275" t="s">
        <v>4797</v>
      </c>
      <c r="AK3275" t="s">
        <v>4821</v>
      </c>
      <c r="AL3275">
        <v>22747.69</v>
      </c>
      <c r="AM3275">
        <v>62558.67</v>
      </c>
      <c r="AN3275" s="10" cm="1">
        <f t="array" ref="AN3275">Lair(100000000/($AM3275-$AL3275))</f>
        <v>2511.1136511750647</v>
      </c>
      <c r="AO3275" s="10">
        <f t="shared" si="2697"/>
        <v>2511.8698409333306</v>
      </c>
      <c r="AP3275" s="12">
        <v>480000000</v>
      </c>
      <c r="AQ3275" s="3">
        <v>0.60799999999999998</v>
      </c>
      <c r="AR3275" s="3">
        <f t="shared" si="2698"/>
        <v>-8.7306814420746264</v>
      </c>
      <c r="AS3275" s="13">
        <f t="shared" si="2699"/>
        <v>154.45517682294138</v>
      </c>
      <c r="AT3275" s="3">
        <f t="shared" si="2700"/>
        <v>2.8426793592584492</v>
      </c>
      <c r="AU3275" s="13" cm="1">
        <f t="array" ref="AU3275">$C3275*EXP(poly_from_str(100000000/$E3275,AU$4343))</f>
        <v>30.871471606337487</v>
      </c>
      <c r="AV3275" s="13">
        <f t="shared" si="2701"/>
        <v>1.6100714281336594</v>
      </c>
      <c r="AW3275" s="13"/>
      <c r="AX3275" s="13"/>
      <c r="AY3275" s="13"/>
    </row>
    <row r="3276" spans="1:51" x14ac:dyDescent="0.25">
      <c r="A3276" t="s">
        <v>3852</v>
      </c>
      <c r="B3276" s="2" t="str">
        <f t="shared" si="2688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2689"/>
        <v>2510.6109999999999</v>
      </c>
      <c r="AB3276" s="3">
        <f t="shared" si="2690"/>
        <v>39818.949999999997</v>
      </c>
      <c r="AC3276" s="3" cm="1">
        <f t="array" ref="AC3276">100000000/LvacE(AA3276)</f>
        <v>39818.950029467494</v>
      </c>
      <c r="AD3276" s="10">
        <f t="shared" si="2691"/>
        <v>1.2930131356364546E-2</v>
      </c>
      <c r="AE3276" s="10" t="b">
        <f t="shared" si="2692"/>
        <v>1</v>
      </c>
      <c r="AP3276"/>
      <c r="AQ3276"/>
      <c r="AU3276" s="13" cm="1">
        <f t="array" ref="AU3276">$C3276*EXP(poly_from_str(100000000/$E3276,AU$4343))</f>
        <v>6.8662541929670153</v>
      </c>
    </row>
    <row r="3277" spans="1:51" x14ac:dyDescent="0.25">
      <c r="A3277" t="s">
        <v>3853</v>
      </c>
      <c r="B3277" s="2" t="str">
        <f t="shared" si="2688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2702">$G3277&amp;""</f>
        <v>e</v>
      </c>
      <c r="N3277" t="str">
        <f t="shared" ref="N3277:N3278" si="2703">$H3277&amp;""</f>
        <v>9/2</v>
      </c>
      <c r="O3277">
        <v>61357.04</v>
      </c>
      <c r="P3277" t="str">
        <f t="shared" ref="P3277:P3278" si="2704">$J3277&amp;""</f>
        <v>o</v>
      </c>
      <c r="Q3277" t="str">
        <f t="shared" ref="Q3277:Q3278" si="2705">$K3277&amp;""</f>
        <v>9/2</v>
      </c>
      <c r="R3277">
        <v>31</v>
      </c>
      <c r="AA3277" s="10">
        <f t="shared" si="2689"/>
        <v>2510.4259999999999</v>
      </c>
      <c r="AB3277" s="3">
        <f t="shared" si="2690"/>
        <v>39821.879999999997</v>
      </c>
      <c r="AC3277" s="3" cm="1">
        <f t="array" ref="AC3277">100000000/LvacE(AA3277)</f>
        <v>39821.884194473467</v>
      </c>
      <c r="AD3277" s="10">
        <f t="shared" si="2691"/>
        <v>1.2931300144770942E-2</v>
      </c>
      <c r="AE3277" s="10" t="b">
        <f t="shared" si="2692"/>
        <v>1</v>
      </c>
      <c r="AJ3277" t="s">
        <v>4798</v>
      </c>
      <c r="AK3277" t="s">
        <v>4903</v>
      </c>
      <c r="AL3277">
        <v>21535.17</v>
      </c>
      <c r="AM3277">
        <v>61357.04</v>
      </c>
      <c r="AN3277" s="10" cm="1">
        <f t="array" ref="AN3277">Lair(100000000/($AM3277-$AL3277))</f>
        <v>2510.4268956659503</v>
      </c>
      <c r="AO3277" s="10">
        <f t="shared" ref="AO3277:AO3278" si="2706">100000000/($AM3277-$AL3277)</f>
        <v>2511.1829253623696</v>
      </c>
      <c r="AP3277" s="12">
        <v>69600000</v>
      </c>
      <c r="AQ3277" s="3">
        <v>0.125</v>
      </c>
      <c r="AR3277" s="3">
        <f t="shared" ref="AR3277:AR3278" si="2707">LN(AU3277*100000000/($AM3277-$AL3277)/AP3277)</f>
        <v>-7.0500681767494502</v>
      </c>
      <c r="AS3277" s="13">
        <f t="shared" ref="AS3277:AS3278" si="2708">EXP(AR$4341*$AM3277+AR$4342)*$AP3277/(100000000/($AM3277-$AL3277))</f>
        <v>24.516205388761719</v>
      </c>
      <c r="AT3277" s="3">
        <f t="shared" ref="AT3277:AT3278" si="2709">LN(AS3277/$C3277)</f>
        <v>1.2534241942766635</v>
      </c>
      <c r="AU3277" s="13" cm="1">
        <f t="array" ref="AU3277">$C3277*EXP(poly_from_str(100000000/$E3277,AU$4343))</f>
        <v>24.039486337454829</v>
      </c>
      <c r="AV3277" s="13">
        <f t="shared" ref="AV3277:AV3278" si="2710">LN(AS3277/AU3277)</f>
        <v>1.9636600887638807E-2</v>
      </c>
      <c r="AW3277" s="13"/>
      <c r="AX3277" s="13"/>
      <c r="AY3277" s="13"/>
    </row>
    <row r="3278" spans="1:51" x14ac:dyDescent="0.25">
      <c r="A3278" t="s">
        <v>3854</v>
      </c>
      <c r="B3278" s="2" t="str">
        <f t="shared" si="2688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2702"/>
        <v>e</v>
      </c>
      <c r="N3278" t="str">
        <f t="shared" si="2703"/>
        <v>9/2</v>
      </c>
      <c r="O3278">
        <v>64857.15</v>
      </c>
      <c r="P3278" t="str">
        <f t="shared" si="2704"/>
        <v>o</v>
      </c>
      <c r="Q3278" t="str">
        <f t="shared" si="2705"/>
        <v>9/2</v>
      </c>
      <c r="R3278">
        <v>31</v>
      </c>
      <c r="AA3278" s="10">
        <f t="shared" si="2689"/>
        <v>2510.3409999999999</v>
      </c>
      <c r="AB3278" s="3">
        <f t="shared" si="2690"/>
        <v>39823.230000000003</v>
      </c>
      <c r="AC3278" s="3" cm="1">
        <f t="array" ref="AC3278">100000000/LvacE(AA3278)</f>
        <v>39823.232469320254</v>
      </c>
      <c r="AD3278" s="10">
        <f t="shared" si="2691"/>
        <v>1.2931837242295022E-2</v>
      </c>
      <c r="AE3278" s="10" t="b">
        <f t="shared" si="2692"/>
        <v>1</v>
      </c>
      <c r="AJ3278" t="s">
        <v>4746</v>
      </c>
      <c r="AK3278" t="s">
        <v>4854</v>
      </c>
      <c r="AL3278">
        <v>25033.91</v>
      </c>
      <c r="AM3278">
        <v>64857.15</v>
      </c>
      <c r="AN3278" s="10" cm="1">
        <f t="array" ref="AN3278">Lair(100000000/($AM3278-$AL3278))</f>
        <v>2510.3405260228092</v>
      </c>
      <c r="AO3278" s="10">
        <f t="shared" si="2706"/>
        <v>2511.0965355907751</v>
      </c>
      <c r="AP3278" s="12">
        <v>96300000</v>
      </c>
      <c r="AQ3278" s="3">
        <v>0.14299999999999999</v>
      </c>
      <c r="AR3278" s="3">
        <f t="shared" si="2707"/>
        <v>-7.3746608921779604</v>
      </c>
      <c r="AS3278" s="13">
        <f t="shared" si="2708"/>
        <v>26.086047234616373</v>
      </c>
      <c r="AT3278" s="3">
        <f t="shared" si="2709"/>
        <v>1.3154904336178264</v>
      </c>
      <c r="AU3278" s="13" cm="1">
        <f t="array" ref="AU3278">$C3278*EXP(poly_from_str(100000000/$E3278,AU$4343))</f>
        <v>24.042982862141102</v>
      </c>
      <c r="AV3278" s="13">
        <f t="shared" si="2710"/>
        <v>8.1557401579304717E-2</v>
      </c>
      <c r="AW3278" s="13"/>
      <c r="AX3278" s="13"/>
      <c r="AY3278" s="13"/>
    </row>
    <row r="3279" spans="1:51" x14ac:dyDescent="0.25">
      <c r="A3279" t="s">
        <v>3855</v>
      </c>
      <c r="B3279" s="2" t="str">
        <f t="shared" si="2688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2689"/>
        <v>2510.1419999999998</v>
      </c>
      <c r="AB3279" s="3">
        <f t="shared" si="2690"/>
        <v>39826.39</v>
      </c>
      <c r="AC3279" s="3" cm="1">
        <f t="array" ref="AC3279">100000000/LvacE(AA3279)</f>
        <v>39826.389375755614</v>
      </c>
      <c r="AD3279" s="10">
        <f t="shared" si="2691"/>
        <v>1.2933094895777934E-2</v>
      </c>
      <c r="AE3279" s="10" t="b">
        <f t="shared" si="2692"/>
        <v>1</v>
      </c>
      <c r="AP3279"/>
      <c r="AQ3279"/>
      <c r="AU3279" s="13" cm="1">
        <f t="array" ref="AU3279">$C3279*EXP(poly_from_str(100000000/$E3279,AU$4343))</f>
        <v>3.4358797660533584</v>
      </c>
    </row>
    <row r="3280" spans="1:51" x14ac:dyDescent="0.25">
      <c r="A3280" t="s">
        <v>3856</v>
      </c>
      <c r="B3280" s="2" t="str">
        <f t="shared" si="2688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2711">$G3280&amp;""</f>
        <v>e</v>
      </c>
      <c r="N3280" t="str">
        <f t="shared" ref="N3280:N3281" si="2712">$H3280&amp;""</f>
        <v>11/2</v>
      </c>
      <c r="O3280">
        <v>65922.42</v>
      </c>
      <c r="P3280" t="str">
        <f t="shared" ref="P3280:P3281" si="2713">$J3280&amp;""</f>
        <v>o</v>
      </c>
      <c r="Q3280" t="str">
        <f t="shared" ref="Q3280:Q3281" si="2714">$K3280&amp;""</f>
        <v>11/2</v>
      </c>
      <c r="R3280">
        <v>31</v>
      </c>
      <c r="AA3280" s="10">
        <f t="shared" si="2689"/>
        <v>2510.0920000000001</v>
      </c>
      <c r="AB3280" s="3">
        <f t="shared" si="2690"/>
        <v>39827.18</v>
      </c>
      <c r="AC3280" s="3" cm="1">
        <f t="array" ref="AC3280">100000000/LvacE(AA3280)</f>
        <v>39827.182647001304</v>
      </c>
      <c r="AD3280" s="10">
        <f t="shared" si="2691"/>
        <v>1.2933410936133278E-2</v>
      </c>
      <c r="AE3280" s="10" t="b">
        <f t="shared" si="2692"/>
        <v>1</v>
      </c>
      <c r="AJ3280" t="s">
        <v>4738</v>
      </c>
      <c r="AK3280" t="s">
        <v>4833</v>
      </c>
      <c r="AL3280">
        <v>26095.23</v>
      </c>
      <c r="AM3280">
        <v>65922.42</v>
      </c>
      <c r="AN3280" s="10" cm="1">
        <f t="array" ref="AN3280">Lair(100000000/($AM3280-$AL3280))</f>
        <v>2510.091537320528</v>
      </c>
      <c r="AO3280" s="10">
        <f t="shared" ref="AO3280:AO3281" si="2715">100000000/($AM3280-$AL3280)</f>
        <v>2510.8474888637634</v>
      </c>
      <c r="AP3280" s="12">
        <v>122000000</v>
      </c>
      <c r="AQ3280" s="3">
        <v>0.16400000000000001</v>
      </c>
      <c r="AR3280" s="3">
        <f t="shared" ref="AR3280:AR3281" si="2716">LN(AU3280*100000000/($AM3280-$AL3280)/AP3280)</f>
        <v>-7.6108879270872638</v>
      </c>
      <c r="AS3280" s="13">
        <f t="shared" ref="AS3280:AS3281" si="2717">EXP(AR$4341*$AM3280+AR$4342)*$AP3280/(100000000/($AM3280-$AL3280))</f>
        <v>30.511614978737835</v>
      </c>
      <c r="AT3280" s="3">
        <f t="shared" ref="AT3280:AT3281" si="2718">LN(AS3280/$C3280)</f>
        <v>1.4721972810399218</v>
      </c>
      <c r="AU3280" s="13" cm="1">
        <f t="array" ref="AU3280">$C3280*EXP(poly_from_str(100000000/$E3280,AU$4343))</f>
        <v>24.053200280806294</v>
      </c>
      <c r="AV3280" s="13">
        <f t="shared" ref="AV3280:AV3281" si="2719">LN(AS3280/AU3280)</f>
        <v>0.23783937458720683</v>
      </c>
      <c r="AW3280" s="13"/>
      <c r="AX3280" s="13"/>
      <c r="AY3280" s="13"/>
    </row>
    <row r="3281" spans="1:51" x14ac:dyDescent="0.25">
      <c r="A3281" t="s">
        <v>3857</v>
      </c>
      <c r="B3281" s="2" t="str">
        <f t="shared" si="2688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2711"/>
        <v>o</v>
      </c>
      <c r="N3281" t="str">
        <f t="shared" si="2712"/>
        <v>7/2</v>
      </c>
      <c r="O3281">
        <v>101446.27</v>
      </c>
      <c r="P3281" t="str">
        <f t="shared" si="2713"/>
        <v>e</v>
      </c>
      <c r="Q3281" t="str">
        <f t="shared" si="2714"/>
        <v>7/2</v>
      </c>
      <c r="R3281">
        <v>31</v>
      </c>
      <c r="AA3281" s="10">
        <f t="shared" si="2689"/>
        <v>2509.2429999999999</v>
      </c>
      <c r="AB3281" s="3">
        <f t="shared" si="2690"/>
        <v>39840.660000000003</v>
      </c>
      <c r="AC3281" s="3" cm="1">
        <f t="array" ref="AC3281">100000000/LvacE(AA3281)</f>
        <v>39840.657217995889</v>
      </c>
      <c r="AD3281" s="10">
        <f t="shared" si="2691"/>
        <v>1.2938780185497357E-2</v>
      </c>
      <c r="AE3281" s="10" t="b">
        <f t="shared" si="2692"/>
        <v>1</v>
      </c>
      <c r="AJ3281" t="s">
        <v>4822</v>
      </c>
      <c r="AK3281" t="s">
        <v>4908</v>
      </c>
      <c r="AL3281">
        <v>61605.66</v>
      </c>
      <c r="AM3281">
        <v>101446.27</v>
      </c>
      <c r="AN3281" s="10" cm="1">
        <f t="array" ref="AN3281">Lair(100000000/($AM3281-$AL3281))</f>
        <v>2509.2459748757842</v>
      </c>
      <c r="AO3281" s="10">
        <f t="shared" si="2715"/>
        <v>2510.0017293911915</v>
      </c>
      <c r="AP3281" s="12">
        <v>2510000000</v>
      </c>
      <c r="AQ3281" s="3">
        <v>0.76800000000000002</v>
      </c>
      <c r="AR3281" s="3">
        <f t="shared" si="2716"/>
        <v>-10.633799296424417</v>
      </c>
      <c r="AS3281" s="13">
        <f t="shared" si="2717"/>
        <v>43.663454701188464</v>
      </c>
      <c r="AT3281" s="3">
        <f t="shared" si="2718"/>
        <v>1.8306013263109864</v>
      </c>
      <c r="AU3281" s="13" cm="1">
        <f t="array" ref="AU3281">$C3281*EXP(poly_from_str(100000000/$E3281,AU$4343))</f>
        <v>24.087922469528959</v>
      </c>
      <c r="AV3281" s="13">
        <f t="shared" si="2719"/>
        <v>0.59480090282667997</v>
      </c>
      <c r="AW3281" s="13"/>
      <c r="AX3281" s="13"/>
      <c r="AY3281" s="13"/>
    </row>
    <row r="3282" spans="1:51" x14ac:dyDescent="0.25">
      <c r="A3282" t="s">
        <v>3858</v>
      </c>
      <c r="B3282" s="2" t="str">
        <f t="shared" si="2688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2689"/>
        <v>2509.058</v>
      </c>
      <c r="AB3282" s="3">
        <f t="shared" si="2690"/>
        <v>39843.589999999997</v>
      </c>
      <c r="AC3282" s="3" cm="1">
        <f t="array" ref="AC3282">100000000/LvacE(AA3282)</f>
        <v>39843.594582892001</v>
      </c>
      <c r="AD3282" s="10">
        <f t="shared" si="2691"/>
        <v>1.2939950886526337E-2</v>
      </c>
      <c r="AE3282" s="10" t="b">
        <f t="shared" si="2692"/>
        <v>1</v>
      </c>
      <c r="AP3282"/>
      <c r="AQ3282"/>
      <c r="AU3282" s="13" cm="1">
        <f t="array" ref="AU3282">$C3282*EXP(poly_from_str(100000000/$E3282,AU$4343))</f>
        <v>3.4422057110727997</v>
      </c>
    </row>
    <row r="3283" spans="1:51" x14ac:dyDescent="0.25">
      <c r="A3283" t="s">
        <v>3859</v>
      </c>
      <c r="B3283" s="2" t="str">
        <f t="shared" si="2688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2689"/>
        <v>2508.6819999999998</v>
      </c>
      <c r="AB3283" s="3">
        <f t="shared" si="2690"/>
        <v>39849.57</v>
      </c>
      <c r="AC3283" s="3" cm="1">
        <f t="array" ref="AC3283">100000000/LvacE(AA3283)</f>
        <v>39849.565913427483</v>
      </c>
      <c r="AD3283" s="10">
        <f t="shared" si="2691"/>
        <v>1.2942331055396317E-2</v>
      </c>
      <c r="AE3283" s="10" t="b">
        <f t="shared" si="2692"/>
        <v>1</v>
      </c>
      <c r="AP3283"/>
      <c r="AQ3283"/>
      <c r="AU3283" s="13" cm="1">
        <f t="array" ref="AU3283">$C3283*EXP(poly_from_str(100000000/$E3283,AU$4343))</f>
        <v>13.777571619835182</v>
      </c>
    </row>
    <row r="3284" spans="1:51" x14ac:dyDescent="0.25">
      <c r="A3284" t="s">
        <v>3860</v>
      </c>
      <c r="B3284" s="2" t="str">
        <f t="shared" si="2688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2689"/>
        <v>2508.6149999999998</v>
      </c>
      <c r="AB3284" s="3">
        <f t="shared" si="2690"/>
        <v>39850.629999999997</v>
      </c>
      <c r="AC3284" s="3" cm="1">
        <f t="array" ref="AC3284">100000000/LvacE(AA3284)</f>
        <v>39850.630141584719</v>
      </c>
      <c r="AD3284" s="10">
        <f t="shared" si="2691"/>
        <v>1.2942755293575282E-2</v>
      </c>
      <c r="AE3284" s="10" t="b">
        <f t="shared" si="2692"/>
        <v>1</v>
      </c>
      <c r="AP3284"/>
      <c r="AQ3284"/>
      <c r="AU3284" s="13" cm="1">
        <f t="array" ref="AU3284">$C3284*EXP(poly_from_str(100000000/$E3284,AU$4343))</f>
        <v>17.223899767273132</v>
      </c>
    </row>
    <row r="3285" spans="1:51" x14ac:dyDescent="0.25">
      <c r="A3285" t="s">
        <v>3861</v>
      </c>
      <c r="B3285" s="2" t="str">
        <f t="shared" si="2688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2689"/>
        <v>2508.5839999999998</v>
      </c>
      <c r="AB3285" s="3">
        <f t="shared" si="2690"/>
        <v>39851.120000000003</v>
      </c>
      <c r="AC3285" s="3" cm="1">
        <f t="array" ref="AC3285">100000000/LvacE(AA3285)</f>
        <v>39851.12256489112</v>
      </c>
      <c r="AD3285" s="10">
        <f t="shared" si="2691"/>
        <v>1.2942951594383748E-2</v>
      </c>
      <c r="AE3285" s="10" t="b">
        <f t="shared" si="2692"/>
        <v>1</v>
      </c>
      <c r="AJ3285" t="s">
        <v>4697</v>
      </c>
      <c r="AK3285" t="s">
        <v>4838</v>
      </c>
      <c r="AL3285">
        <v>29835.09</v>
      </c>
      <c r="AM3285">
        <v>69686.259999999995</v>
      </c>
      <c r="AN3285" s="10" cm="1">
        <f t="array" ref="AN3285">Lair(100000000/($AM3285-$AL3285))</f>
        <v>2508.5810146114677</v>
      </c>
      <c r="AO3285" s="10">
        <f>100000000/($AM3285-$AL3285)</f>
        <v>2509.3366142073119</v>
      </c>
      <c r="AP3285" s="12">
        <v>84000000</v>
      </c>
      <c r="AQ3285" s="3">
        <v>0.2</v>
      </c>
      <c r="AR3285" s="3">
        <f>LN(AU3285*100000000/($AM3285-$AL3285)/AP3285)</f>
        <v>-7.5722037974263454</v>
      </c>
      <c r="AS3285" s="13">
        <f>EXP(AR$4341*$AM3285+AR$4342)*$AP3285/(100000000/($AM3285-$AL3285))</f>
        <v>15.847965104733875</v>
      </c>
      <c r="AT3285" s="3">
        <f>LN(AS3285/$C3285)</f>
        <v>1.1536031950878092</v>
      </c>
      <c r="AU3285" s="13" cm="1">
        <f t="array" ref="AU3285">$C3285*EXP(poly_from_str(100000000/$E3285,AU$4343))</f>
        <v>17.224794031862423</v>
      </c>
      <c r="AV3285" s="13">
        <f>LN(AS3285/AU3285)</f>
        <v>-8.330875179470551E-2</v>
      </c>
      <c r="AW3285" s="13"/>
      <c r="AX3285" s="13"/>
      <c r="AY3285" s="13"/>
    </row>
    <row r="3286" spans="1:51" x14ac:dyDescent="0.25">
      <c r="A3286" t="s">
        <v>3862</v>
      </c>
      <c r="B3286" s="2" t="str">
        <f t="shared" si="2688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2689"/>
        <v>2507.34</v>
      </c>
      <c r="AB3286" s="3">
        <f t="shared" si="2690"/>
        <v>39870.89</v>
      </c>
      <c r="AC3286" s="3" cm="1">
        <f t="array" ref="AC3286">100000000/LvacE(AA3286)</f>
        <v>39870.893082649927</v>
      </c>
      <c r="AD3286" s="10">
        <f t="shared" si="2691"/>
        <v>1.2950834965072534E-2</v>
      </c>
      <c r="AE3286" s="10" t="b">
        <f t="shared" si="2692"/>
        <v>1</v>
      </c>
      <c r="AP3286"/>
      <c r="AQ3286"/>
      <c r="AU3286" s="13" cm="1">
        <f t="array" ref="AU3286">$C3286*EXP(poly_from_str(100000000/$E3286,AU$4343))</f>
        <v>3.4521406617803576</v>
      </c>
    </row>
    <row r="3287" spans="1:51" x14ac:dyDescent="0.25">
      <c r="A3287" t="s">
        <v>3863</v>
      </c>
      <c r="B3287" s="2" t="str">
        <f t="shared" si="2688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2689"/>
        <v>2507.279</v>
      </c>
      <c r="AB3287" s="3">
        <f t="shared" si="2690"/>
        <v>39871.86</v>
      </c>
      <c r="AC3287" s="3" cm="1">
        <f t="array" ref="AC3287">100000000/LvacE(AA3287)</f>
        <v>39871.863041818389</v>
      </c>
      <c r="AD3287" s="10">
        <f t="shared" si="2691"/>
        <v>1.2951221830880887E-2</v>
      </c>
      <c r="AE3287" s="10" t="b">
        <f t="shared" si="2692"/>
        <v>1</v>
      </c>
      <c r="AJ3287" t="s">
        <v>4738</v>
      </c>
      <c r="AK3287" t="s">
        <v>4935</v>
      </c>
      <c r="AL3287">
        <v>26095.23</v>
      </c>
      <c r="AM3287">
        <v>65967.149999999994</v>
      </c>
      <c r="AN3287" s="10" cm="1">
        <f t="array" ref="AN3287">Lair(100000000/($AM3287-$AL3287))</f>
        <v>2507.2754188582426</v>
      </c>
      <c r="AO3287" s="10">
        <f>100000000/($AM3287-$AL3287)</f>
        <v>2508.0307143473401</v>
      </c>
      <c r="AP3287" s="12">
        <v>14700000</v>
      </c>
      <c r="AQ3287" s="3">
        <v>0.189</v>
      </c>
      <c r="AR3287" s="3">
        <f>LN(AU3287*100000000/($AM3287-$AL3287)/AP3287)</f>
        <v>-7.4370088089774686</v>
      </c>
      <c r="AS3287" s="13">
        <f>EXP(AR$4341*$AM3287+AR$4342)*$AP3287/(100000000/($AM3287-$AL3287))</f>
        <v>3.668194244293201</v>
      </c>
      <c r="AT3287" s="3">
        <f>LN(AS3287/$C3287)</f>
        <v>1.2996995094515078</v>
      </c>
      <c r="AU3287" s="13" cm="1">
        <f t="array" ref="AU3287">$C3287*EXP(poly_from_str(100000000/$E3287,AU$4343))</f>
        <v>3.4524913281677323</v>
      </c>
      <c r="AV3287" s="13">
        <f>LN(AS3287/AU3287)</f>
        <v>6.0603414907810522E-2</v>
      </c>
      <c r="AW3287" s="13"/>
      <c r="AX3287" s="13"/>
      <c r="AY3287" s="13"/>
    </row>
    <row r="3288" spans="1:51" x14ac:dyDescent="0.25">
      <c r="A3288" t="s">
        <v>3864</v>
      </c>
      <c r="B3288" s="2" t="str">
        <f t="shared" si="2688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2689"/>
        <v>2506.4810000000002</v>
      </c>
      <c r="AB3288" s="3">
        <f t="shared" si="2690"/>
        <v>39884.559999999998</v>
      </c>
      <c r="AC3288" s="3" cm="1">
        <f t="array" ref="AC3288">100000000/LvacE(AA3288)</f>
        <v>39884.55636394125</v>
      </c>
      <c r="AD3288" s="10">
        <f t="shared" si="2691"/>
        <v>1.2956285398521124E-2</v>
      </c>
      <c r="AE3288" s="10" t="b">
        <f t="shared" si="2692"/>
        <v>1</v>
      </c>
      <c r="AP3288"/>
      <c r="AQ3288"/>
      <c r="AU3288" s="13" cm="1">
        <f t="array" ref="AU3288">$C3288*EXP(poly_from_str(100000000/$E3288,AU$4343))</f>
        <v>3.4570680448095099</v>
      </c>
    </row>
    <row r="3289" spans="1:51" x14ac:dyDescent="0.25">
      <c r="A3289" t="s">
        <v>3865</v>
      </c>
      <c r="B3289" s="2" t="str">
        <f t="shared" si="2688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2689"/>
        <v>2505.9740000000002</v>
      </c>
      <c r="AB3289" s="3">
        <f t="shared" si="2690"/>
        <v>39892.620000000003</v>
      </c>
      <c r="AC3289" s="3" cm="1">
        <f t="array" ref="AC3289">100000000/LvacE(AA3289)</f>
        <v>39892.625117328411</v>
      </c>
      <c r="AD3289" s="10">
        <f t="shared" si="2691"/>
        <v>1.2959504990340764E-2</v>
      </c>
      <c r="AE3289" s="10" t="b">
        <f t="shared" si="2692"/>
        <v>1</v>
      </c>
      <c r="AP3289"/>
      <c r="AQ3289"/>
      <c r="AU3289" s="13" cm="1">
        <f t="array" ref="AU3289">$C3289*EXP(poly_from_str(100000000/$E3289,AU$4343))</f>
        <v>10.379876489235791</v>
      </c>
    </row>
    <row r="3290" spans="1:51" x14ac:dyDescent="0.25">
      <c r="A3290" t="s">
        <v>3866</v>
      </c>
      <c r="B3290" s="2" t="str">
        <f t="shared" si="2688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2689"/>
        <v>2505.3580000000002</v>
      </c>
      <c r="AB3290" s="3">
        <f t="shared" si="2690"/>
        <v>39902.43</v>
      </c>
      <c r="AC3290" s="3" cm="1">
        <f t="array" ref="AC3290">100000000/LvacE(AA3290)</f>
        <v>39902.432966832763</v>
      </c>
      <c r="AD3290" s="10">
        <f t="shared" si="2691"/>
        <v>1.2963419392923638E-2</v>
      </c>
      <c r="AE3290" s="10" t="b">
        <f t="shared" si="2692"/>
        <v>1</v>
      </c>
      <c r="AJ3290" t="s">
        <v>4764</v>
      </c>
      <c r="AK3290" t="s">
        <v>4886</v>
      </c>
      <c r="AL3290">
        <v>37919.58</v>
      </c>
      <c r="AM3290">
        <v>77822</v>
      </c>
      <c r="AN3290" s="10" cm="1">
        <f t="array" ref="AN3290">Lair(100000000/($AM3290-$AL3290))</f>
        <v>2505.3588150639293</v>
      </c>
      <c r="AO3290" s="10">
        <f>100000000/($AM3290-$AL3290)</f>
        <v>2506.1136642840211</v>
      </c>
      <c r="AP3290" s="12">
        <v>18400000</v>
      </c>
      <c r="AQ3290" s="3">
        <v>5.5E-2</v>
      </c>
      <c r="AR3290" s="3">
        <f>LN(AU3290*100000000/($AM3290-$AL3290)/AP3290)</f>
        <v>-7.6591037696800131</v>
      </c>
      <c r="AS3290" s="13">
        <f>EXP(AR$4341*$AM3290+AR$4342)*$AP3290/(100000000/($AM3290-$AL3290))</f>
        <v>1.8875869283144087</v>
      </c>
      <c r="AT3290" s="3">
        <f>LN(AS3290/$C3290)</f>
        <v>0.63529925581666646</v>
      </c>
      <c r="AU3290" s="13" cm="1">
        <f t="array" ref="AU3290">$C3290*EXP(poly_from_str(100000000/$E3290,AU$4343))</f>
        <v>3.463463020872382</v>
      </c>
      <c r="AV3290" s="13">
        <f>LN(AS3290/AU3290)</f>
        <v>-0.60696970579796072</v>
      </c>
      <c r="AW3290" s="13"/>
      <c r="AX3290" s="13"/>
      <c r="AY3290" s="13"/>
    </row>
    <row r="3291" spans="1:51" x14ac:dyDescent="0.25">
      <c r="A3291" t="s">
        <v>3867</v>
      </c>
      <c r="B3291" s="2" t="str">
        <f t="shared" si="2688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2689"/>
        <v>2505.268</v>
      </c>
      <c r="AB3291" s="3">
        <f t="shared" si="2690"/>
        <v>39903.870000000003</v>
      </c>
      <c r="AC3291" s="3" cm="1">
        <f t="array" ref="AC3291">100000000/LvacE(AA3291)</f>
        <v>39903.866335622639</v>
      </c>
      <c r="AD3291" s="10">
        <f t="shared" si="2691"/>
        <v>1.2963991544142711E-2</v>
      </c>
      <c r="AE3291" s="10" t="b">
        <f t="shared" si="2692"/>
        <v>1</v>
      </c>
      <c r="AP3291"/>
      <c r="AQ3291"/>
      <c r="AU3291" s="13" cm="1">
        <f t="array" ref="AU3291">$C3291*EXP(poly_from_str(100000000/$E3291,AU$4343))</f>
        <v>3.4639760940478248</v>
      </c>
    </row>
    <row r="3292" spans="1:51" x14ac:dyDescent="0.25">
      <c r="A3292" t="s">
        <v>3868</v>
      </c>
      <c r="B3292" s="2" t="str">
        <f t="shared" si="2688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2689"/>
        <v>2504.9560000000001</v>
      </c>
      <c r="AB3292" s="3">
        <f t="shared" si="2690"/>
        <v>39908.839999999997</v>
      </c>
      <c r="AC3292" s="3" cm="1">
        <f t="array" ref="AC3292">100000000/LvacE(AA3292)</f>
        <v>39908.836144758068</v>
      </c>
      <c r="AD3292" s="10">
        <f t="shared" si="2691"/>
        <v>1.2965975479161725E-2</v>
      </c>
      <c r="AE3292" s="10" t="b">
        <f t="shared" si="2692"/>
        <v>1</v>
      </c>
      <c r="AP3292"/>
      <c r="AQ3292"/>
      <c r="AU3292" s="13" cm="1">
        <f t="array" ref="AU3292">$C3292*EXP(poly_from_str(100000000/$E3292,AU$4343))</f>
        <v>3.4657443671535582</v>
      </c>
    </row>
    <row r="3293" spans="1:51" x14ac:dyDescent="0.25">
      <c r="A3293" t="s">
        <v>3869</v>
      </c>
      <c r="B3293" s="2" t="str">
        <f t="shared" si="2688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2689"/>
        <v>2504.8420000000001</v>
      </c>
      <c r="AB3293" s="3">
        <f t="shared" si="2690"/>
        <v>39910.65</v>
      </c>
      <c r="AC3293" s="3" cm="1">
        <f t="array" ref="AC3293">100000000/LvacE(AA3293)</f>
        <v>39910.652345346425</v>
      </c>
      <c r="AD3293" s="10">
        <f t="shared" si="2691"/>
        <v>1.2966700563418056E-2</v>
      </c>
      <c r="AE3293" s="10" t="b">
        <f t="shared" si="2692"/>
        <v>1</v>
      </c>
      <c r="AJ3293" t="s">
        <v>4723</v>
      </c>
      <c r="AK3293" t="s">
        <v>4862</v>
      </c>
      <c r="AL3293">
        <v>27138.55</v>
      </c>
      <c r="AM3293">
        <v>67049.179999999993</v>
      </c>
      <c r="AN3293" s="10" cm="1">
        <f t="array" ref="AN3293">Lair(100000000/($AM3293-$AL3293))</f>
        <v>2504.8434033860722</v>
      </c>
      <c r="AO3293" s="10">
        <f>100000000/($AM3293-$AL3293)</f>
        <v>2505.5981326278243</v>
      </c>
      <c r="AP3293" s="12">
        <v>59400000</v>
      </c>
      <c r="AQ3293" s="3">
        <v>0.222</v>
      </c>
      <c r="AR3293" s="3">
        <f>LN(AU3293*100000000/($AM3293-$AL3293)/AP3293)</f>
        <v>-7.7317967870020521</v>
      </c>
      <c r="AS3293" s="13">
        <f>EXP(AR$4341*$AM3293+AR$4342)*$AP3293/(100000000/($AM3293-$AL3293))</f>
        <v>13.67971097139764</v>
      </c>
      <c r="AT3293" s="3">
        <f>LN(AS3293/$C3293)</f>
        <v>1.5173014954812893</v>
      </c>
      <c r="AU3293" s="13" cm="1">
        <f t="array" ref="AU3293">$C3293*EXP(poly_from_str(100000000/$E3293,AU$4343))</f>
        <v>10.399162112688478</v>
      </c>
      <c r="AV3293" s="13">
        <f>LN(AS3293/AU3293)</f>
        <v>0.27418854733533982</v>
      </c>
      <c r="AW3293" s="13"/>
      <c r="AX3293" s="13"/>
      <c r="AY3293" s="13"/>
    </row>
    <row r="3294" spans="1:51" x14ac:dyDescent="0.25">
      <c r="A3294" t="s">
        <v>3870</v>
      </c>
      <c r="B3294" s="2" t="str">
        <f t="shared" si="2688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2689"/>
        <v>2504.5419999999999</v>
      </c>
      <c r="AB3294" s="3">
        <f t="shared" si="2690"/>
        <v>39915.43</v>
      </c>
      <c r="AC3294" s="3" cm="1">
        <f t="array" ref="AC3294">100000000/LvacE(AA3294)</f>
        <v>39915.432610519878</v>
      </c>
      <c r="AD3294" s="10">
        <f t="shared" si="2691"/>
        <v>1.2968609152994817E-2</v>
      </c>
      <c r="AE3294" s="10" t="b">
        <f t="shared" si="2692"/>
        <v>1</v>
      </c>
      <c r="AP3294"/>
      <c r="AQ3294"/>
      <c r="AU3294" s="13" cm="1">
        <f t="array" ref="AU3294">$C3294*EXP(poly_from_str(100000000/$E3294,AU$4343))</f>
        <v>6.9361659632059842</v>
      </c>
    </row>
    <row r="3295" spans="1:51" x14ac:dyDescent="0.25">
      <c r="A3295" t="s">
        <v>3871</v>
      </c>
      <c r="B3295" s="2" t="str">
        <f t="shared" si="2688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2689"/>
        <v>2504.4079999999999</v>
      </c>
      <c r="AB3295" s="3">
        <f t="shared" si="2690"/>
        <v>39917.57</v>
      </c>
      <c r="AC3295" s="3" cm="1">
        <f t="array" ref="AC3295">100000000/LvacE(AA3295)</f>
        <v>39917.568165597309</v>
      </c>
      <c r="AD3295" s="10">
        <f t="shared" si="2691"/>
        <v>1.2969461877936284E-2</v>
      </c>
      <c r="AE3295" s="10" t="b">
        <f t="shared" si="2692"/>
        <v>1</v>
      </c>
      <c r="AP3295"/>
      <c r="AQ3295"/>
      <c r="AU3295" s="13" cm="1">
        <f t="array" ref="AU3295">$C3295*EXP(poly_from_str(100000000/$E3295,AU$4343))</f>
        <v>6.9376818806167426</v>
      </c>
    </row>
    <row r="3296" spans="1:51" x14ac:dyDescent="0.25">
      <c r="A3296" t="s">
        <v>3872</v>
      </c>
      <c r="B3296" s="2" t="str">
        <f t="shared" si="2688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2689"/>
        <v>2503.9940000000001</v>
      </c>
      <c r="AB3296" s="3">
        <f t="shared" si="2690"/>
        <v>39924.17</v>
      </c>
      <c r="AC3296" s="3" cm="1">
        <f t="array" ref="AC3296">100000000/LvacE(AA3296)</f>
        <v>39924.167518330993</v>
      </c>
      <c r="AD3296" s="10">
        <f t="shared" si="2691"/>
        <v>1.2972097281049994E-2</v>
      </c>
      <c r="AE3296" s="10" t="b">
        <f t="shared" si="2692"/>
        <v>1</v>
      </c>
      <c r="AP3296"/>
      <c r="AQ3296"/>
      <c r="AU3296" s="13" cm="1">
        <f t="array" ref="AU3296">$C3296*EXP(poly_from_str(100000000/$E3296,AU$4343))</f>
        <v>6.9423481360074577</v>
      </c>
    </row>
    <row r="3297" spans="1:51" x14ac:dyDescent="0.25">
      <c r="A3297" t="s">
        <v>3873</v>
      </c>
      <c r="B3297" s="2" t="str">
        <f t="shared" si="2688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2720">$G3297&amp;""</f>
        <v>e</v>
      </c>
      <c r="N3297" t="str">
        <f t="shared" ref="N3297:N3300" si="2721">$H3297&amp;""</f>
        <v>7/2</v>
      </c>
      <c r="O3297">
        <v>64401.03</v>
      </c>
      <c r="P3297" t="str">
        <f t="shared" ref="P3297:P3300" si="2722">$J3297&amp;""</f>
        <v>o</v>
      </c>
      <c r="Q3297" t="str">
        <f t="shared" ref="Q3297:Q3300" si="2723">$K3297&amp;""</f>
        <v>5/2</v>
      </c>
      <c r="R3297">
        <v>31</v>
      </c>
      <c r="AA3297" s="10">
        <f t="shared" si="2689"/>
        <v>2503.616</v>
      </c>
      <c r="AB3297" s="3">
        <f t="shared" si="2690"/>
        <v>39930.19</v>
      </c>
      <c r="AC3297" s="3" cm="1">
        <f t="array" ref="AC3297">100000000/LvacE(AA3297)</f>
        <v>39930.194920172187</v>
      </c>
      <c r="AD3297" s="10">
        <f t="shared" si="2691"/>
        <v>1.2974504660493498E-2</v>
      </c>
      <c r="AE3297" s="10" t="b">
        <f t="shared" si="2692"/>
        <v>1</v>
      </c>
      <c r="AJ3297" t="s">
        <v>4747</v>
      </c>
      <c r="AK3297" t="s">
        <v>4837</v>
      </c>
      <c r="AL3297">
        <v>24470.9</v>
      </c>
      <c r="AM3297">
        <v>64401.03</v>
      </c>
      <c r="AN3297" s="10" cm="1">
        <f t="array" ref="AN3297">Lair(100000000/($AM3297-$AL3297))</f>
        <v>2503.6200716590447</v>
      </c>
      <c r="AO3297" s="10">
        <f t="shared" ref="AO3297:AO3300" si="2724">100000000/($AM3297-$AL3297)</f>
        <v>2504.3745161861484</v>
      </c>
      <c r="AP3297" s="12">
        <v>19300000</v>
      </c>
      <c r="AQ3297" s="3">
        <v>4.8000000000000001E-2</v>
      </c>
      <c r="AR3297" s="3"/>
      <c r="AS3297" s="13">
        <f t="shared" ref="AS3297:AS3300" si="2725">EXP(AR$4341*$AM3297+AR$4342)*$AP3297/(100000000/($AM3297-$AL3297))</f>
        <v>5.424621911102057</v>
      </c>
      <c r="AT3297" s="3"/>
      <c r="AU3297" s="13" cm="1">
        <f t="array" ref="AU3297">$C3297*EXP(poly_from_str(100000000/$E3297,AU$4343))</f>
        <v>17.366481403362634</v>
      </c>
      <c r="AV3297" s="13"/>
      <c r="AW3297" s="13"/>
      <c r="AX3297" s="13"/>
      <c r="AY3297" s="13"/>
    </row>
    <row r="3298" spans="1:51" x14ac:dyDescent="0.25">
      <c r="A3298" t="s">
        <v>3874</v>
      </c>
      <c r="B3298" s="2" t="str">
        <f t="shared" si="2688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2720"/>
        <v>o</v>
      </c>
      <c r="N3298" t="str">
        <f t="shared" si="2721"/>
        <v>9/2</v>
      </c>
      <c r="O3298">
        <v>104788.68</v>
      </c>
      <c r="P3298" t="str">
        <f t="shared" si="2722"/>
        <v>e</v>
      </c>
      <c r="Q3298" t="str">
        <f t="shared" si="2723"/>
        <v>11/2</v>
      </c>
      <c r="R3298">
        <v>31</v>
      </c>
      <c r="AA3298" s="10">
        <f t="shared" si="2689"/>
        <v>2503.5349999999999</v>
      </c>
      <c r="AB3298" s="3">
        <f t="shared" si="2690"/>
        <v>39931.49</v>
      </c>
      <c r="AC3298" s="3" cm="1">
        <f t="array" ref="AC3298">100000000/LvacE(AA3298)</f>
        <v>39931.486743049929</v>
      </c>
      <c r="AD3298" s="10">
        <f t="shared" si="2691"/>
        <v>1.297502066938348E-2</v>
      </c>
      <c r="AE3298" s="10" t="b">
        <f t="shared" si="2692"/>
        <v>1</v>
      </c>
      <c r="AJ3298" t="s">
        <v>4854</v>
      </c>
      <c r="AK3298" t="s">
        <v>4836</v>
      </c>
      <c r="AL3298">
        <v>64857.15</v>
      </c>
      <c r="AM3298">
        <v>104788.68</v>
      </c>
      <c r="AN3298" s="10" cm="1">
        <f t="array" ref="AN3298">Lair(100000000/($AM3298-$AL3298))</f>
        <v>2503.5322886809031</v>
      </c>
      <c r="AO3298" s="10">
        <f t="shared" si="2724"/>
        <v>2504.2867127806026</v>
      </c>
      <c r="AP3298" s="12">
        <v>323000000</v>
      </c>
      <c r="AQ3298" s="3">
        <v>0.66300000000000003</v>
      </c>
      <c r="AR3298" s="3">
        <f>LN(AU3298*100000000/($AM3298-$AL3298)/AP3298)</f>
        <v>-9.4235555590227236</v>
      </c>
      <c r="AS3298" s="13">
        <f t="shared" si="2725"/>
        <v>4.3822759788927792</v>
      </c>
      <c r="AT3298" s="3">
        <f t="shared" ref="AT3298:AT3300" si="2726">LN(AS3298/$C3298)</f>
        <v>0.37895593064358402</v>
      </c>
      <c r="AU3298" s="13" cm="1">
        <f t="array" ref="AU3298">$C3298*EXP(poly_from_str(100000000/$E3298,AU$4343))</f>
        <v>10.421261503473872</v>
      </c>
      <c r="AV3298" s="13">
        <f>LN(AS3298/AU3298)</f>
        <v>-0.86627987527818173</v>
      </c>
      <c r="AW3298" s="13"/>
      <c r="AX3298" s="13"/>
      <c r="AY3298" s="13"/>
    </row>
    <row r="3299" spans="1:51" x14ac:dyDescent="0.25">
      <c r="A3299" t="s">
        <v>3875</v>
      </c>
      <c r="B3299" s="2" t="str">
        <f t="shared" si="2688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2720"/>
        <v>e</v>
      </c>
      <c r="N3299" t="str">
        <f t="shared" si="2721"/>
        <v>11/2</v>
      </c>
      <c r="O3299">
        <v>58174.15</v>
      </c>
      <c r="P3299" t="str">
        <f t="shared" si="2722"/>
        <v>o</v>
      </c>
      <c r="Q3299" t="str">
        <f t="shared" si="2723"/>
        <v>9/2</v>
      </c>
      <c r="R3299">
        <v>31</v>
      </c>
      <c r="AA3299" s="10">
        <f t="shared" si="2689"/>
        <v>2503.4630000000002</v>
      </c>
      <c r="AB3299" s="3">
        <f t="shared" si="2690"/>
        <v>39932.629999999997</v>
      </c>
      <c r="AC3299" s="3" cm="1">
        <f t="array" ref="AC3299">100000000/LvacE(AA3299)</f>
        <v>39932.635100220985</v>
      </c>
      <c r="AD3299" s="10">
        <f t="shared" si="2691"/>
        <v>1.297547938599871E-2</v>
      </c>
      <c r="AE3299" s="10" t="b">
        <f t="shared" si="2692"/>
        <v>1</v>
      </c>
      <c r="AJ3299" t="s">
        <v>4724</v>
      </c>
      <c r="AK3299" t="s">
        <v>4698</v>
      </c>
      <c r="AL3299">
        <v>18241.54</v>
      </c>
      <c r="AM3299">
        <v>58174.15</v>
      </c>
      <c r="AN3299" s="10" cm="1">
        <f t="array" ref="AN3299">Lair(100000000/($AM3299-$AL3299))</f>
        <v>2503.4645745888292</v>
      </c>
      <c r="AO3299" s="10">
        <f t="shared" si="2724"/>
        <v>2504.2189829314939</v>
      </c>
      <c r="AP3299" s="12">
        <v>20400000</v>
      </c>
      <c r="AQ3299" s="3">
        <v>1.9E-2</v>
      </c>
      <c r="AR3299" s="3"/>
      <c r="AS3299" s="13">
        <f t="shared" si="2725"/>
        <v>9.1499396430304785</v>
      </c>
      <c r="AT3299" s="3"/>
      <c r="AU3299" s="13" cm="1">
        <f t="array" ref="AU3299">$C3299*EXP(poly_from_str(100000000/$E3299,AU$4343))</f>
        <v>17.370774306031752</v>
      </c>
      <c r="AV3299" s="13"/>
      <c r="AW3299" s="13"/>
      <c r="AX3299" s="13"/>
      <c r="AY3299" s="13"/>
    </row>
    <row r="3300" spans="1:51" x14ac:dyDescent="0.25">
      <c r="A3300" t="s">
        <v>3876</v>
      </c>
      <c r="B3300" s="2" t="str">
        <f t="shared" si="2688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2720"/>
        <v>e</v>
      </c>
      <c r="N3300" t="str">
        <f t="shared" si="2721"/>
        <v>9/2</v>
      </c>
      <c r="O3300">
        <v>75762.23</v>
      </c>
      <c r="P3300" t="str">
        <f t="shared" si="2722"/>
        <v>o</v>
      </c>
      <c r="Q3300" t="str">
        <f t="shared" si="2723"/>
        <v>9/2</v>
      </c>
      <c r="R3300">
        <v>31</v>
      </c>
      <c r="AA3300" s="10">
        <f t="shared" si="2689"/>
        <v>2503.3910000000001</v>
      </c>
      <c r="AB3300" s="3">
        <f t="shared" si="2690"/>
        <v>39933.78</v>
      </c>
      <c r="AC3300" s="3" cm="1">
        <f t="array" ref="AC3300">100000000/LvacE(AA3300)</f>
        <v>39933.783523439051</v>
      </c>
      <c r="AD3300" s="10">
        <f t="shared" si="2691"/>
        <v>1.297593814219174E-2</v>
      </c>
      <c r="AE3300" s="10" t="b">
        <f t="shared" si="2692"/>
        <v>1</v>
      </c>
      <c r="AJ3300" t="s">
        <v>4773</v>
      </c>
      <c r="AK3300" t="s">
        <v>4932</v>
      </c>
      <c r="AL3300">
        <v>35828.46</v>
      </c>
      <c r="AM3300">
        <v>75762.23</v>
      </c>
      <c r="AN3300" s="10" cm="1">
        <f t="array" ref="AN3300">Lair(100000000/($AM3300-$AL3300))</f>
        <v>2503.3918487174537</v>
      </c>
      <c r="AO3300" s="10">
        <f t="shared" si="2724"/>
        <v>2504.1462401371073</v>
      </c>
      <c r="AP3300" s="12">
        <v>143000000</v>
      </c>
      <c r="AQ3300" s="3">
        <v>0.21099999999999999</v>
      </c>
      <c r="AR3300" s="3">
        <f>LN(AU3300*100000000/($AM3300-$AL3300)/AP3300)</f>
        <v>-8.0977465192798803</v>
      </c>
      <c r="AS3300" s="13">
        <f t="shared" si="2725"/>
        <v>17.135590977495482</v>
      </c>
      <c r="AT3300" s="3">
        <f t="shared" si="2726"/>
        <v>1.2317197317926445</v>
      </c>
      <c r="AU3300" s="13" cm="1">
        <f t="array" ref="AU3300">$C3300*EXP(poly_from_str(100000000/$E3300,AU$4343))</f>
        <v>17.3727960231931</v>
      </c>
      <c r="AV3300" s="13">
        <f>LN(AS3300/AU3300)</f>
        <v>-1.3747891592266867E-2</v>
      </c>
      <c r="AW3300" s="13"/>
      <c r="AX3300" s="13"/>
      <c r="AY3300" s="13"/>
    </row>
    <row r="3301" spans="1:51" x14ac:dyDescent="0.25">
      <c r="A3301" t="s">
        <v>3877</v>
      </c>
      <c r="B3301" s="2" t="str">
        <f t="shared" si="2688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2689"/>
        <v>2503.2289999999998</v>
      </c>
      <c r="AB3301" s="3">
        <f t="shared" si="2690"/>
        <v>39936.370000000003</v>
      </c>
      <c r="AC3301" s="3" cm="1">
        <f t="array" ref="AC3301">100000000/LvacE(AA3301)</f>
        <v>39936.367717193527</v>
      </c>
      <c r="AD3301" s="10">
        <f t="shared" si="2691"/>
        <v>1.2976970488355947E-2</v>
      </c>
      <c r="AE3301" s="10" t="b">
        <f t="shared" si="2692"/>
        <v>1</v>
      </c>
      <c r="AP3301"/>
      <c r="AQ3301"/>
      <c r="AU3301" s="13" cm="1">
        <f t="array" ref="AU3301">$C3301*EXP(poly_from_str(100000000/$E3301,AU$4343))</f>
        <v>3.4754691187868527</v>
      </c>
    </row>
    <row r="3302" spans="1:51" x14ac:dyDescent="0.25">
      <c r="A3302" t="s">
        <v>3878</v>
      </c>
      <c r="B3302" s="2" t="str">
        <f t="shared" si="2688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2689"/>
        <v>2503.1590000000001</v>
      </c>
      <c r="AB3302" s="3">
        <f t="shared" si="2690"/>
        <v>39937.480000000003</v>
      </c>
      <c r="AC3302" s="3" cm="1">
        <f t="array" ref="AC3302">100000000/LvacE(AA3302)</f>
        <v>39937.48444760291</v>
      </c>
      <c r="AD3302" s="10">
        <f t="shared" si="2691"/>
        <v>1.297741662587213E-2</v>
      </c>
      <c r="AE3302" s="10" t="b">
        <f t="shared" si="2692"/>
        <v>1</v>
      </c>
      <c r="AP3302"/>
      <c r="AQ3302"/>
      <c r="AU3302" s="13" cm="1">
        <f t="array" ref="AU3302">$C3302*EXP(poly_from_str(100000000/$E3302,AU$4343))</f>
        <v>3.4758587701002663</v>
      </c>
    </row>
    <row r="3303" spans="1:51" x14ac:dyDescent="0.25">
      <c r="A3303" t="s">
        <v>3879</v>
      </c>
      <c r="B3303" s="2" t="str">
        <f t="shared" si="2688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2727">$G3303&amp;""</f>
        <v>e</v>
      </c>
      <c r="N3303" t="str">
        <f t="shared" ref="N3303:N3308" si="2728">$H3303&amp;""</f>
        <v>5/2</v>
      </c>
      <c r="O3303">
        <v>64401.03</v>
      </c>
      <c r="P3303" t="str">
        <f t="shared" ref="P3303:P3308" si="2729">$J3303&amp;""</f>
        <v>o</v>
      </c>
      <c r="Q3303" t="str">
        <f t="shared" ref="Q3303:Q3308" si="2730">$K3303&amp;""</f>
        <v>5/2</v>
      </c>
      <c r="R3303">
        <v>31</v>
      </c>
      <c r="AA3303" s="10">
        <f t="shared" si="2689"/>
        <v>2503.0120000000002</v>
      </c>
      <c r="AB3303" s="3">
        <f t="shared" si="2690"/>
        <v>39939.83</v>
      </c>
      <c r="AC3303" s="3" cm="1">
        <f t="array" ref="AC3303">100000000/LvacE(AA3303)</f>
        <v>39939.829784748275</v>
      </c>
      <c r="AD3303" s="10">
        <f t="shared" si="2691"/>
        <v>1.2978353636488412E-2</v>
      </c>
      <c r="AE3303" s="10" t="b">
        <f t="shared" si="2692"/>
        <v>1</v>
      </c>
      <c r="AJ3303" t="s">
        <v>4717</v>
      </c>
      <c r="AK3303" t="s">
        <v>4837</v>
      </c>
      <c r="AL3303">
        <v>24461.24</v>
      </c>
      <c r="AM3303">
        <v>64401.03</v>
      </c>
      <c r="AN3303" s="10" cm="1">
        <f t="array" ref="AN3303">Lair(100000000/($AM3303-$AL3303))</f>
        <v>2503.0144943679575</v>
      </c>
      <c r="AO3303" s="10">
        <f t="shared" ref="AO3303:AO3308" si="2731">100000000/($AM3303-$AL3303)</f>
        <v>2503.7687979831644</v>
      </c>
      <c r="AP3303" s="12">
        <v>57200000</v>
      </c>
      <c r="AQ3303" s="3">
        <v>8.4000000000000005E-2</v>
      </c>
      <c r="AR3303" s="3">
        <f t="shared" ref="AR3303:AR3305" si="2732">LN(AU3303*100000000/($AM3303-$AL3303)/AP3303)</f>
        <v>-6.7109918149649523</v>
      </c>
      <c r="AS3303" s="13">
        <f t="shared" ref="AS3303:AS3308" si="2733">EXP(AR$4341*$AM3303+AR$4342)*$AP3303/(100000000/($AM3303-$AL3303))</f>
        <v>16.081007206130327</v>
      </c>
      <c r="AT3303" s="3">
        <f t="shared" ref="AT3303:AT3308" si="2734">LN(AS3303/$C3303)</f>
        <v>0.69819735730651666</v>
      </c>
      <c r="AU3303" s="13" cm="1">
        <f t="array" ref="AU3303">$C3303*EXP(poly_from_str(100000000/$E3303,AU$4343))</f>
        <v>27.813464737109996</v>
      </c>
      <c r="AV3303" s="13">
        <f t="shared" ref="AV3303:AV3305" si="2735">LN(AS3303/AU3303)</f>
        <v>-0.54788134751550877</v>
      </c>
      <c r="AW3303" s="13"/>
      <c r="AX3303" s="13"/>
      <c r="AY3303" s="13"/>
    </row>
    <row r="3304" spans="1:51" x14ac:dyDescent="0.25">
      <c r="A3304" t="s">
        <v>3880</v>
      </c>
      <c r="B3304" s="2" t="str">
        <f t="shared" si="2688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2727"/>
        <v>e</v>
      </c>
      <c r="N3304" t="str">
        <f t="shared" si="2728"/>
        <v>7/2</v>
      </c>
      <c r="O3304">
        <v>63593.35</v>
      </c>
      <c r="P3304" t="str">
        <f t="shared" si="2729"/>
        <v>o</v>
      </c>
      <c r="Q3304" t="str">
        <f t="shared" si="2730"/>
        <v>9/2</v>
      </c>
      <c r="R3304">
        <v>31</v>
      </c>
      <c r="AA3304" s="10">
        <f t="shared" si="2689"/>
        <v>2502.9090000000001</v>
      </c>
      <c r="AB3304" s="3">
        <f t="shared" si="2690"/>
        <v>39941.47</v>
      </c>
      <c r="AC3304" s="3" cm="1">
        <f t="array" ref="AC3304">100000000/LvacE(AA3304)</f>
        <v>39941.473280337799</v>
      </c>
      <c r="AD3304" s="10">
        <f t="shared" si="2691"/>
        <v>1.2979010279706094E-2</v>
      </c>
      <c r="AE3304" s="10" t="b">
        <f t="shared" si="2692"/>
        <v>1</v>
      </c>
      <c r="AJ3304" t="s">
        <v>4759</v>
      </c>
      <c r="AK3304" t="s">
        <v>4840</v>
      </c>
      <c r="AL3304">
        <v>23651.88</v>
      </c>
      <c r="AM3304">
        <v>63593.35</v>
      </c>
      <c r="AN3304" s="10" cm="1">
        <f t="array" ref="AN3304">Lair(100000000/($AM3304-$AL3304))</f>
        <v>2502.9092064776282</v>
      </c>
      <c r="AO3304" s="10">
        <f t="shared" si="2731"/>
        <v>2503.6634855952971</v>
      </c>
      <c r="AP3304" s="12">
        <v>76000000</v>
      </c>
      <c r="AQ3304" s="3">
        <v>0.153</v>
      </c>
      <c r="AR3304" s="3">
        <f t="shared" si="2732"/>
        <v>-6.9950480093900955</v>
      </c>
      <c r="AS3304" s="13">
        <f t="shared" si="2733"/>
        <v>22.702480016341845</v>
      </c>
      <c r="AT3304" s="3">
        <f t="shared" si="2734"/>
        <v>1.0430326286612022</v>
      </c>
      <c r="AU3304" s="13" cm="1">
        <f t="array" ref="AU3304">$C3304*EXP(poly_from_str(100000000/$E3304,AU$4343))</f>
        <v>27.818062958423376</v>
      </c>
      <c r="AV3304" s="13">
        <f t="shared" si="2735"/>
        <v>-0.20321138606742939</v>
      </c>
      <c r="AW3304" s="13"/>
      <c r="AX3304" s="13"/>
      <c r="AY3304" s="13"/>
    </row>
    <row r="3305" spans="1:51" x14ac:dyDescent="0.25">
      <c r="A3305" t="s">
        <v>3881</v>
      </c>
      <c r="B3305" s="2" t="str">
        <f t="shared" si="2688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2727"/>
        <v>e</v>
      </c>
      <c r="N3305" t="str">
        <f t="shared" si="2728"/>
        <v>5/2</v>
      </c>
      <c r="O3305">
        <v>67395.320000000007</v>
      </c>
      <c r="P3305" t="str">
        <f t="shared" si="2729"/>
        <v>o</v>
      </c>
      <c r="Q3305" t="str">
        <f t="shared" si="2730"/>
        <v>5/2</v>
      </c>
      <c r="R3305">
        <v>31</v>
      </c>
      <c r="AA3305" s="10">
        <f t="shared" si="2689"/>
        <v>2502.8220000000001</v>
      </c>
      <c r="AB3305" s="3">
        <f t="shared" si="2690"/>
        <v>39942.86</v>
      </c>
      <c r="AC3305" s="3" cm="1">
        <f t="array" ref="AC3305">100000000/LvacE(AA3305)</f>
        <v>39942.861581011435</v>
      </c>
      <c r="AD3305" s="10">
        <f t="shared" si="2691"/>
        <v>1.2979564983249196E-2</v>
      </c>
      <c r="AE3305" s="10" t="b">
        <f t="shared" si="2692"/>
        <v>1</v>
      </c>
      <c r="AJ3305" t="s">
        <v>4783</v>
      </c>
      <c r="AK3305" t="s">
        <v>4894</v>
      </c>
      <c r="AL3305">
        <v>27452.45</v>
      </c>
      <c r="AM3305">
        <v>67395.320000000007</v>
      </c>
      <c r="AN3305" s="10" cm="1">
        <f t="array" ref="AN3305">Lair(100000000/($AM3305-$AL3305))</f>
        <v>2502.821473334222</v>
      </c>
      <c r="AO3305" s="10">
        <f t="shared" si="2731"/>
        <v>2503.5757320392845</v>
      </c>
      <c r="AP3305" s="12">
        <v>14100000</v>
      </c>
      <c r="AQ3305" s="3">
        <v>6.0999999999999999E-2</v>
      </c>
      <c r="AR3305" s="3">
        <f t="shared" si="2732"/>
        <v>-7.3898260611411128</v>
      </c>
      <c r="AS3305" s="13">
        <f t="shared" si="2733"/>
        <v>3.1664945265943296</v>
      </c>
      <c r="AT3305" s="3">
        <f t="shared" si="2734"/>
        <v>1.1526251484379826</v>
      </c>
      <c r="AU3305" s="13" cm="1">
        <f t="array" ref="AU3305">$C3305*EXP(poly_from_str(100000000/$E3305,AU$4343))</f>
        <v>3.4777447119885152</v>
      </c>
      <c r="AV3305" s="13">
        <f t="shared" si="2735"/>
        <v>-9.3758863991775049E-2</v>
      </c>
      <c r="AW3305" s="13"/>
      <c r="AX3305" s="13"/>
      <c r="AY3305" s="13"/>
    </row>
    <row r="3306" spans="1:51" x14ac:dyDescent="0.25">
      <c r="A3306" t="s">
        <v>3882</v>
      </c>
      <c r="B3306" s="2" t="str">
        <f t="shared" si="2688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2727"/>
        <v>e</v>
      </c>
      <c r="N3306" t="str">
        <f t="shared" si="2728"/>
        <v>9/2</v>
      </c>
      <c r="O3306">
        <v>64979.55</v>
      </c>
      <c r="P3306" t="str">
        <f t="shared" si="2729"/>
        <v>o</v>
      </c>
      <c r="Q3306" t="str">
        <f t="shared" si="2730"/>
        <v>7/2</v>
      </c>
      <c r="R3306">
        <v>31</v>
      </c>
      <c r="AA3306" s="10">
        <f t="shared" si="2689"/>
        <v>2502.654</v>
      </c>
      <c r="AB3306" s="3">
        <f t="shared" si="2690"/>
        <v>39945.54</v>
      </c>
      <c r="AC3306" s="3" cm="1">
        <f t="array" ref="AC3306">100000000/LvacE(AA3306)</f>
        <v>39945.542710605703</v>
      </c>
      <c r="AD3306" s="10">
        <f t="shared" si="2691"/>
        <v>1.298063629862652E-2</v>
      </c>
      <c r="AE3306" s="10" t="b">
        <f t="shared" si="2692"/>
        <v>1</v>
      </c>
      <c r="AJ3306" t="s">
        <v>4746</v>
      </c>
      <c r="AK3306" t="s">
        <v>4912</v>
      </c>
      <c r="AL3306">
        <v>25033.91</v>
      </c>
      <c r="AM3306">
        <v>64979.55</v>
      </c>
      <c r="AN3306" s="10" cm="1">
        <f t="array" ref="AN3306">Lair(100000000/($AM3306-$AL3306))</f>
        <v>2502.6479051631727</v>
      </c>
      <c r="AO3306" s="10">
        <f t="shared" si="2731"/>
        <v>2503.4021234858174</v>
      </c>
      <c r="AP3306" s="12">
        <v>4920000</v>
      </c>
      <c r="AQ3306" s="3">
        <v>6.0000000000000001E-3</v>
      </c>
      <c r="AR3306" s="3"/>
      <c r="AS3306" s="13">
        <f t="shared" si="2733"/>
        <v>1.3246177659948097</v>
      </c>
      <c r="AT3306" s="3"/>
      <c r="AU3306" s="13" cm="1">
        <f t="array" ref="AU3306">$C3306*EXP(poly_from_str(100000000/$E3306,AU$4343))</f>
        <v>20.87209532120993</v>
      </c>
      <c r="AV3306" s="13"/>
      <c r="AW3306" s="13"/>
      <c r="AX3306" s="13"/>
      <c r="AY3306" s="13"/>
    </row>
    <row r="3307" spans="1:51" x14ac:dyDescent="0.25">
      <c r="A3307" t="s">
        <v>3883</v>
      </c>
      <c r="B3307" s="2" t="str">
        <f t="shared" si="2688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2727"/>
        <v>e</v>
      </c>
      <c r="N3307" t="str">
        <f t="shared" si="2728"/>
        <v>5/2</v>
      </c>
      <c r="O3307">
        <v>58158.080000000002</v>
      </c>
      <c r="P3307" t="str">
        <f t="shared" si="2729"/>
        <v>o</v>
      </c>
      <c r="Q3307" t="str">
        <f t="shared" si="2730"/>
        <v>7/2</v>
      </c>
      <c r="R3307">
        <v>31</v>
      </c>
      <c r="AA3307" s="10">
        <f t="shared" si="2689"/>
        <v>2502.6060000000002</v>
      </c>
      <c r="AB3307" s="3">
        <f t="shared" si="2690"/>
        <v>39946.31</v>
      </c>
      <c r="AC3307" s="3" cm="1">
        <f t="array" ref="AC3307">100000000/LvacE(AA3307)</f>
        <v>39946.308813740514</v>
      </c>
      <c r="AD3307" s="10">
        <f t="shared" si="2691"/>
        <v>1.298094242836078E-2</v>
      </c>
      <c r="AE3307" s="10" t="b">
        <f t="shared" si="2692"/>
        <v>1</v>
      </c>
      <c r="AJ3307" t="s">
        <v>4970</v>
      </c>
      <c r="AK3307" t="s">
        <v>4902</v>
      </c>
      <c r="AL3307">
        <v>18211.759999999998</v>
      </c>
      <c r="AM3307">
        <v>58158.080000000002</v>
      </c>
      <c r="AN3307" s="10" cm="1">
        <f t="array" ref="AN3307">Lair(100000000/($AM3307-$AL3307))</f>
        <v>2502.6053000499896</v>
      </c>
      <c r="AO3307" s="10">
        <f t="shared" si="2731"/>
        <v>2503.3595084603535</v>
      </c>
      <c r="AP3307" s="12">
        <v>41000000</v>
      </c>
      <c r="AQ3307" s="3">
        <v>7.0999999999999994E-2</v>
      </c>
      <c r="AR3307" s="3">
        <f t="shared" ref="AR3307:AR3308" si="2736">LN(AU3307*100000000/($AM3307-$AL3307)/AP3307)</f>
        <v>-6.5110525192832807</v>
      </c>
      <c r="AS3307" s="13">
        <f t="shared" si="2733"/>
        <v>18.418097106595358</v>
      </c>
      <c r="AT3307" s="3">
        <f t="shared" si="2734"/>
        <v>0.96742357060456174</v>
      </c>
      <c r="AU3307" s="13" cm="1">
        <f t="array" ref="AU3307">$C3307*EXP(poly_from_str(100000000/$E3307,AU$4343))</f>
        <v>24.352662664956597</v>
      </c>
      <c r="AV3307" s="13">
        <f t="shared" ref="AV3307:AV3308" si="2737">LN(AS3307/AU3307)</f>
        <v>-0.27930747358069158</v>
      </c>
      <c r="AW3307" s="13"/>
      <c r="AX3307" s="13"/>
      <c r="AY3307" s="13"/>
    </row>
    <row r="3308" spans="1:51" x14ac:dyDescent="0.25">
      <c r="A3308" t="s">
        <v>3884</v>
      </c>
      <c r="B3308" s="2" t="str">
        <f t="shared" si="2688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2727"/>
        <v>o</v>
      </c>
      <c r="N3308" t="str">
        <f t="shared" si="2728"/>
        <v>5/2</v>
      </c>
      <c r="O3308">
        <v>101665.58</v>
      </c>
      <c r="P3308" t="str">
        <f t="shared" si="2729"/>
        <v>e</v>
      </c>
      <c r="Q3308" t="str">
        <f t="shared" si="2730"/>
        <v>5/2</v>
      </c>
      <c r="R3308">
        <v>31</v>
      </c>
      <c r="AA3308" s="10">
        <f t="shared" si="2689"/>
        <v>2502.5259999999998</v>
      </c>
      <c r="AB3308" s="3">
        <f t="shared" si="2690"/>
        <v>39947.589999999997</v>
      </c>
      <c r="AC3308" s="3" cm="1">
        <f t="array" ref="AC3308">100000000/LvacE(AA3308)</f>
        <v>39947.585717598005</v>
      </c>
      <c r="AD3308" s="10">
        <f t="shared" si="2691"/>
        <v>1.2981452683727964E-2</v>
      </c>
      <c r="AE3308" s="10" t="b">
        <f t="shared" si="2692"/>
        <v>1</v>
      </c>
      <c r="AJ3308" t="s">
        <v>4880</v>
      </c>
      <c r="AK3308" t="s">
        <v>4946</v>
      </c>
      <c r="AL3308">
        <v>61717.98</v>
      </c>
      <c r="AM3308">
        <v>101665.58</v>
      </c>
      <c r="AN3308" s="10" cm="1">
        <f t="array" ref="AN3308">Lair(100000000/($AM3308-$AL3308))</f>
        <v>2502.525106124478</v>
      </c>
      <c r="AO3308" s="10">
        <f t="shared" si="2731"/>
        <v>2503.2792958775999</v>
      </c>
      <c r="AP3308" s="12">
        <v>776000000</v>
      </c>
      <c r="AQ3308" s="3">
        <v>0.73799999999999999</v>
      </c>
      <c r="AR3308" s="3">
        <f t="shared" si="2736"/>
        <v>-9.7880086587100852</v>
      </c>
      <c r="AS3308" s="13">
        <f t="shared" si="2733"/>
        <v>13.314441989594577</v>
      </c>
      <c r="AT3308" s="3">
        <f t="shared" si="2734"/>
        <v>0.97941139754915052</v>
      </c>
      <c r="AU3308" s="13" cm="1">
        <f t="array" ref="AU3308">$C3308*EXP(poly_from_str(100000000/$E3308,AU$4343))</f>
        <v>17.396996037287479</v>
      </c>
      <c r="AV3308" s="13">
        <f t="shared" si="2737"/>
        <v>-0.26744823979776478</v>
      </c>
      <c r="AW3308" s="13"/>
      <c r="AX3308" s="13"/>
      <c r="AY3308" s="13"/>
    </row>
    <row r="3309" spans="1:51" x14ac:dyDescent="0.25">
      <c r="A3309" t="s">
        <v>3885</v>
      </c>
      <c r="B3309" s="2" t="str">
        <f t="shared" si="2688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2689"/>
        <v>2502.1329999999998</v>
      </c>
      <c r="AB3309" s="3">
        <f t="shared" si="2690"/>
        <v>39953.86</v>
      </c>
      <c r="AC3309" s="3" cm="1">
        <f t="array" ref="AC3309">100000000/LvacE(AA3309)</f>
        <v>39953.85969344023</v>
      </c>
      <c r="AD3309" s="10">
        <f t="shared" si="2691"/>
        <v>1.2983960023995572E-2</v>
      </c>
      <c r="AE3309" s="10" t="b">
        <f t="shared" si="2692"/>
        <v>1</v>
      </c>
      <c r="AP3309"/>
      <c r="AQ3309"/>
      <c r="AU3309" s="13" cm="1">
        <f t="array" ref="AU3309">$C3309*EXP(poly_from_str(100000000/$E3309,AU$4343))</f>
        <v>3.4815872439608175</v>
      </c>
    </row>
    <row r="3310" spans="1:51" x14ac:dyDescent="0.25">
      <c r="A3310" t="s">
        <v>3886</v>
      </c>
      <c r="B3310" s="2" t="str">
        <f t="shared" si="2688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2689"/>
        <v>2502.0219999999999</v>
      </c>
      <c r="AB3310" s="3">
        <f t="shared" si="2690"/>
        <v>39955.629999999997</v>
      </c>
      <c r="AC3310" s="3" cm="1">
        <f t="array" ref="AC3310">100000000/LvacE(AA3310)</f>
        <v>39955.632089325394</v>
      </c>
      <c r="AD3310" s="10">
        <f t="shared" si="2691"/>
        <v>1.2984668418048562E-2</v>
      </c>
      <c r="AE3310" s="10" t="b">
        <f t="shared" si="2692"/>
        <v>1</v>
      </c>
      <c r="AP3310"/>
      <c r="AQ3310"/>
      <c r="AU3310" s="13" cm="1">
        <f t="array" ref="AU3310">$C3310*EXP(poly_from_str(100000000/$E3310,AU$4343))</f>
        <v>6.9644077361346524</v>
      </c>
    </row>
    <row r="3311" spans="1:51" x14ac:dyDescent="0.25">
      <c r="A3311" t="s">
        <v>3887</v>
      </c>
      <c r="B3311" s="2" t="str">
        <f t="shared" si="2688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2689"/>
        <v>2501.9670000000001</v>
      </c>
      <c r="AB3311" s="3">
        <f t="shared" si="2690"/>
        <v>39956.51</v>
      </c>
      <c r="AC3311" s="3" cm="1">
        <f t="array" ref="AC3311">100000000/LvacE(AA3311)</f>
        <v>39956.510361762543</v>
      </c>
      <c r="AD3311" s="10">
        <f t="shared" si="2691"/>
        <v>1.2985019459042135E-2</v>
      </c>
      <c r="AE3311" s="10" t="b">
        <f t="shared" si="2692"/>
        <v>1</v>
      </c>
      <c r="AP3311"/>
      <c r="AQ3311"/>
      <c r="AU3311" s="13" cm="1">
        <f t="array" ref="AU3311">$C3311*EXP(poly_from_str(100000000/$E3311,AU$4343))</f>
        <v>3.4825102668450754</v>
      </c>
    </row>
    <row r="3312" spans="1:51" x14ac:dyDescent="0.25">
      <c r="A3312" t="s">
        <v>3888</v>
      </c>
      <c r="B3312" s="2" t="str">
        <f t="shared" si="2688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2689"/>
        <v>2501.7080000000001</v>
      </c>
      <c r="AB3312" s="3">
        <f t="shared" si="2690"/>
        <v>39960.65</v>
      </c>
      <c r="AC3312" s="3" cm="1">
        <f t="array" ref="AC3312">100000000/LvacE(AA3312)</f>
        <v>39960.646745552825</v>
      </c>
      <c r="AD3312" s="10">
        <f t="shared" si="2691"/>
        <v>1.2986672854216563E-2</v>
      </c>
      <c r="AE3312" s="10" t="b">
        <f t="shared" si="2692"/>
        <v>1</v>
      </c>
      <c r="AP3312"/>
      <c r="AQ3312"/>
      <c r="AU3312" s="13" cm="1">
        <f t="array" ref="AU3312">$C3312*EXP(poly_from_str(100000000/$E3312,AU$4343))</f>
        <v>3.4839502122220396</v>
      </c>
    </row>
    <row r="3313" spans="1:51" x14ac:dyDescent="0.25">
      <c r="A3313" t="s">
        <v>3889</v>
      </c>
      <c r="B3313" s="2" t="str">
        <f t="shared" si="2688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2689"/>
        <v>2501.462</v>
      </c>
      <c r="AB3313" s="3">
        <f t="shared" si="2690"/>
        <v>39964.58</v>
      </c>
      <c r="AC3313" s="3" cm="1">
        <f t="array" ref="AC3313">100000000/LvacE(AA3313)</f>
        <v>39964.576304665141</v>
      </c>
      <c r="AD3313" s="10">
        <f t="shared" si="2691"/>
        <v>1.2988243735996219E-2</v>
      </c>
      <c r="AE3313" s="10" t="b">
        <f t="shared" si="2692"/>
        <v>1</v>
      </c>
      <c r="AP3313"/>
      <c r="AQ3313"/>
      <c r="AU3313" s="13" cm="1">
        <f t="array" ref="AU3313">$C3313*EXP(poly_from_str(100000000/$E3313,AU$4343))</f>
        <v>3.4853148068089332</v>
      </c>
    </row>
    <row r="3314" spans="1:51" x14ac:dyDescent="0.25">
      <c r="A3314" t="s">
        <v>3890</v>
      </c>
      <c r="B3314" s="2" t="str">
        <f t="shared" si="2688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2738">$G3314&amp;""</f>
        <v>e</v>
      </c>
      <c r="N3314" t="str">
        <f t="shared" ref="N3314:N3315" si="2739">$H3314&amp;""</f>
        <v>9/2</v>
      </c>
      <c r="O3314">
        <v>63816.91</v>
      </c>
      <c r="P3314" t="str">
        <f t="shared" ref="P3314:P3315" si="2740">$J3314&amp;""</f>
        <v>o</v>
      </c>
      <c r="Q3314" t="str">
        <f t="shared" ref="Q3314:Q3315" si="2741">$K3314&amp;""</f>
        <v>11/2</v>
      </c>
      <c r="R3314">
        <v>31</v>
      </c>
      <c r="AA3314" s="10">
        <f t="shared" si="2689"/>
        <v>2500.9780000000001</v>
      </c>
      <c r="AB3314" s="3">
        <f t="shared" si="2690"/>
        <v>39972.31</v>
      </c>
      <c r="AC3314" s="3" cm="1">
        <f t="array" ref="AC3314">100000000/LvacE(AA3314)</f>
        <v>39972.309888713542</v>
      </c>
      <c r="AD3314" s="10">
        <f t="shared" si="2691"/>
        <v>1.2991335767190582E-2</v>
      </c>
      <c r="AE3314" s="10" t="b">
        <f t="shared" si="2692"/>
        <v>1</v>
      </c>
      <c r="AJ3314" t="s">
        <v>4763</v>
      </c>
      <c r="AK3314" t="s">
        <v>4928</v>
      </c>
      <c r="AL3314">
        <v>23844.58</v>
      </c>
      <c r="AM3314">
        <v>63816.91</v>
      </c>
      <c r="AN3314" s="10" cm="1">
        <f t="array" ref="AN3314">Lair(100000000/($AM3314-$AL3314))</f>
        <v>2500.9767425344585</v>
      </c>
      <c r="AO3314" s="10">
        <f t="shared" ref="AO3314:AO3315" si="2742">100000000/($AM3314-$AL3314)</f>
        <v>2501.730572123266</v>
      </c>
      <c r="AP3314" s="12">
        <v>26700000</v>
      </c>
      <c r="AQ3314" s="3">
        <v>0.11899999999999999</v>
      </c>
      <c r="AR3314" s="3">
        <f>LN(AU3314*100000000/($AM3314-$AL3314)/AP3314)</f>
        <v>-6.4166718974793229</v>
      </c>
      <c r="AS3314" s="13">
        <f t="shared" ref="AS3314:AS3315" si="2743">EXP(AR$4341*$AM3314+AR$4342)*$AP3314/(100000000/($AM3314-$AL3314))</f>
        <v>7.8491031279266554</v>
      </c>
      <c r="AT3314" s="3">
        <f t="shared" ref="AT3314" si="2744">LN(AS3314/$C3314)</f>
        <v>0.45096136161351458</v>
      </c>
      <c r="AU3314" s="13" cm="1">
        <f t="array" ref="AU3314">$C3314*EXP(poly_from_str(100000000/$E3314,AU$4343))</f>
        <v>17.439961757341401</v>
      </c>
      <c r="AV3314" s="13">
        <f>LN(AS3314/AU3314)</f>
        <v>-0.79836495161782128</v>
      </c>
      <c r="AW3314" s="13"/>
      <c r="AX3314" s="13"/>
      <c r="AY3314" s="13"/>
    </row>
    <row r="3315" spans="1:51" x14ac:dyDescent="0.25">
      <c r="A3315" t="s">
        <v>3891</v>
      </c>
      <c r="B3315" s="2" t="str">
        <f t="shared" si="2688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2738"/>
        <v>e</v>
      </c>
      <c r="N3315" t="str">
        <f t="shared" si="2739"/>
        <v>5/2</v>
      </c>
      <c r="O3315">
        <v>65909.440000000002</v>
      </c>
      <c r="P3315" t="str">
        <f t="shared" si="2740"/>
        <v>o</v>
      </c>
      <c r="Q3315" t="str">
        <f t="shared" si="2741"/>
        <v>5/2</v>
      </c>
      <c r="R3315">
        <v>31</v>
      </c>
      <c r="AA3315" s="10">
        <f t="shared" si="2689"/>
        <v>2500.8420000000001</v>
      </c>
      <c r="AB3315" s="3">
        <f t="shared" si="2690"/>
        <v>39974.480000000003</v>
      </c>
      <c r="AC3315" s="3" cm="1">
        <f t="array" ref="AC3315">100000000/LvacE(AA3315)</f>
        <v>39974.48350058608</v>
      </c>
      <c r="AD3315" s="10">
        <f t="shared" si="2691"/>
        <v>1.2992204925498307E-2</v>
      </c>
      <c r="AE3315" s="10" t="b">
        <f t="shared" si="2692"/>
        <v>1</v>
      </c>
      <c r="AJ3315" t="s">
        <v>4713</v>
      </c>
      <c r="AK3315" t="s">
        <v>4907</v>
      </c>
      <c r="AL3315">
        <v>25934.98</v>
      </c>
      <c r="AM3315">
        <v>65909.440000000002</v>
      </c>
      <c r="AN3315" s="10" cm="1">
        <f t="array" ref="AN3315">Lair(100000000/($AM3315-$AL3315))</f>
        <v>2500.8434712624044</v>
      </c>
      <c r="AO3315" s="10">
        <f t="shared" si="2742"/>
        <v>2501.597269856803</v>
      </c>
      <c r="AP3315" s="12">
        <v>3140000</v>
      </c>
      <c r="AQ3315" s="3">
        <v>1.2E-2</v>
      </c>
      <c r="AR3315" s="3"/>
      <c r="AS3315" s="13">
        <f t="shared" si="2743"/>
        <v>0.78897093036681742</v>
      </c>
      <c r="AT3315" s="3"/>
      <c r="AU3315" s="13" cm="1">
        <f t="array" ref="AU3315">$C3315*EXP(poly_from_str(100000000/$E3315,AU$4343))</f>
        <v>3.4887424656803065</v>
      </c>
      <c r="AV3315" s="13"/>
      <c r="AW3315" s="13"/>
      <c r="AX3315" s="13"/>
      <c r="AY3315" s="13"/>
    </row>
    <row r="3316" spans="1:51" x14ac:dyDescent="0.25">
      <c r="A3316" t="s">
        <v>3892</v>
      </c>
      <c r="B3316" s="2" t="str">
        <f t="shared" si="2688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2689"/>
        <v>2500.4560000000001</v>
      </c>
      <c r="AB3316" s="3">
        <f t="shared" si="2690"/>
        <v>39980.65</v>
      </c>
      <c r="AC3316" s="3" cm="1">
        <f t="array" ref="AC3316">100000000/LvacE(AA3316)</f>
        <v>39980.654010245191</v>
      </c>
      <c r="AD3316" s="10">
        <f t="shared" si="2691"/>
        <v>1.2994672573771581E-2</v>
      </c>
      <c r="AE3316" s="10" t="b">
        <f t="shared" si="2692"/>
        <v>1</v>
      </c>
      <c r="AP3316"/>
      <c r="AQ3316"/>
      <c r="AU3316" s="13" cm="1">
        <f t="array" ref="AU3316">$C3316*EXP(poly_from_str(100000000/$E3316,AU$4343))</f>
        <v>10.472614888973141</v>
      </c>
    </row>
    <row r="3317" spans="1:51" x14ac:dyDescent="0.25">
      <c r="A3317" t="s">
        <v>3893</v>
      </c>
      <c r="B3317" s="2" t="str">
        <f t="shared" si="2688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2745">$G3317&amp;""</f>
        <v>e</v>
      </c>
      <c r="N3317" t="str">
        <f t="shared" ref="N3317:N3322" si="2746">$H3317&amp;""</f>
        <v>7/2</v>
      </c>
      <c r="O3317">
        <v>62062.63</v>
      </c>
      <c r="P3317" t="str">
        <f t="shared" ref="P3317:P3322" si="2747">$J3317&amp;""</f>
        <v>o</v>
      </c>
      <c r="Q3317" t="str">
        <f t="shared" ref="Q3317:Q3322" si="2748">$K3317&amp;""</f>
        <v>9/2</v>
      </c>
      <c r="R3317">
        <v>31</v>
      </c>
      <c r="AA3317" s="10">
        <f t="shared" si="2689"/>
        <v>2500.3890000000001</v>
      </c>
      <c r="AB3317" s="3">
        <f t="shared" si="2690"/>
        <v>39981.72</v>
      </c>
      <c r="AC3317" s="3" cm="1">
        <f t="array" ref="AC3317">100000000/LvacE(AA3317)</f>
        <v>39981.725251276192</v>
      </c>
      <c r="AD3317" s="10">
        <f t="shared" si="2691"/>
        <v>1.2995101012537688E-2</v>
      </c>
      <c r="AE3317" s="10" t="b">
        <f t="shared" si="2692"/>
        <v>1</v>
      </c>
      <c r="AJ3317" t="s">
        <v>4790</v>
      </c>
      <c r="AK3317" t="s">
        <v>4848</v>
      </c>
      <c r="AL3317">
        <v>22080.94</v>
      </c>
      <c r="AM3317">
        <v>62062.63</v>
      </c>
      <c r="AN3317" s="10" cm="1">
        <f t="array" ref="AN3317">Lair(100000000/($AM3317-$AL3317))</f>
        <v>2500.3912056580662</v>
      </c>
      <c r="AO3317" s="10">
        <f t="shared" ref="AO3317:AO3322" si="2749">100000000/($AM3317-$AL3317)</f>
        <v>2501.1448990775525</v>
      </c>
      <c r="AP3317" s="12">
        <v>15500000</v>
      </c>
      <c r="AQ3317" s="3">
        <v>0.10100000000000001</v>
      </c>
      <c r="AR3317" s="3">
        <f>LN(AU3317*100000000/($AM3317-$AL3317)/AP3317)</f>
        <v>-6.09529528877452</v>
      </c>
      <c r="AS3317" s="13">
        <f t="shared" ref="AS3317:AS3322" si="2750">EXP(AR$4341*$AM3317+AR$4342)*$AP3317/(100000000/($AM3317-$AL3317))</f>
        <v>5.1989823112845919</v>
      </c>
      <c r="AT3317" s="3">
        <f t="shared" ref="AT3317:AT3321" si="2751">LN(AS3317/$C3317)</f>
        <v>0.26216853594556583</v>
      </c>
      <c r="AU3317" s="13" cm="1">
        <f t="array" ref="AU3317">$C3317*EXP(poly_from_str(100000000/$E3317,AU$4343))</f>
        <v>13.964961289939612</v>
      </c>
      <c r="AV3317" s="13">
        <f>LN(AS3317/AU3317)</f>
        <v>-0.98808853039369304</v>
      </c>
      <c r="AW3317" s="13"/>
      <c r="AX3317" s="13"/>
      <c r="AY3317" s="13"/>
    </row>
    <row r="3318" spans="1:51" x14ac:dyDescent="0.25">
      <c r="A3318" t="s">
        <v>3894</v>
      </c>
      <c r="B3318" s="2" t="str">
        <f t="shared" si="2688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2745"/>
        <v>o</v>
      </c>
      <c r="N3318" t="str">
        <f t="shared" si="2746"/>
        <v>9/2</v>
      </c>
      <c r="O3318">
        <v>107854.46</v>
      </c>
      <c r="P3318" t="str">
        <f t="shared" si="2747"/>
        <v>e</v>
      </c>
      <c r="Q3318" t="str">
        <f t="shared" si="2748"/>
        <v>9/2</v>
      </c>
      <c r="R3318">
        <v>31</v>
      </c>
      <c r="AA3318" s="10">
        <f t="shared" si="2689"/>
        <v>2500.2579999999998</v>
      </c>
      <c r="AB3318" s="3">
        <f t="shared" si="2690"/>
        <v>39983.82</v>
      </c>
      <c r="AC3318" s="3" cm="1">
        <f t="array" ref="AC3318">100000000/LvacE(AA3318)</f>
        <v>39983.819933168284</v>
      </c>
      <c r="AD3318" s="10">
        <f t="shared" si="2691"/>
        <v>1.2995938805748904E-2</v>
      </c>
      <c r="AE3318" s="10" t="b">
        <f t="shared" si="2692"/>
        <v>1</v>
      </c>
      <c r="AJ3318" t="s">
        <v>4755</v>
      </c>
      <c r="AK3318" t="s">
        <v>4898</v>
      </c>
      <c r="AL3318">
        <v>67870.759999999995</v>
      </c>
      <c r="AM3318">
        <v>107854.46</v>
      </c>
      <c r="AN3318" s="10" cm="1">
        <f t="array" ref="AN3318">Lair(100000000/($AM3318-$AL3318))</f>
        <v>2500.2655011212423</v>
      </c>
      <c r="AO3318" s="10">
        <f t="shared" si="2749"/>
        <v>2501.0191653098632</v>
      </c>
      <c r="AP3318" s="12">
        <v>4710000</v>
      </c>
      <c r="AQ3318" s="3">
        <v>3.0000000000000001E-3</v>
      </c>
      <c r="AR3318" s="3"/>
      <c r="AS3318" s="13">
        <f t="shared" si="2750"/>
        <v>5.0835140687237074E-2</v>
      </c>
      <c r="AT3318" s="3"/>
      <c r="AU3318" s="13" cm="1">
        <f t="array" ref="AU3318">$C3318*EXP(poly_from_str(100000000/$E3318,AU$4343))</f>
        <v>3.4919634583837733</v>
      </c>
      <c r="AV3318" s="13"/>
      <c r="AW3318" s="13"/>
      <c r="AX3318" s="13"/>
      <c r="AY3318" s="13"/>
    </row>
    <row r="3319" spans="1:51" x14ac:dyDescent="0.25">
      <c r="A3319" t="s">
        <v>3895</v>
      </c>
      <c r="B3319" s="2" t="str">
        <f t="shared" si="2688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2745"/>
        <v>o</v>
      </c>
      <c r="N3319" t="str">
        <f t="shared" si="2746"/>
        <v>11/2</v>
      </c>
      <c r="O3319">
        <v>103805.38</v>
      </c>
      <c r="P3319" t="str">
        <f t="shared" si="2747"/>
        <v>e</v>
      </c>
      <c r="Q3319" t="str">
        <f t="shared" si="2748"/>
        <v>13/2</v>
      </c>
      <c r="R3319">
        <v>31</v>
      </c>
      <c r="AA3319" s="10">
        <f t="shared" si="2689"/>
        <v>2499.9679999999998</v>
      </c>
      <c r="AB3319" s="3">
        <f t="shared" si="2690"/>
        <v>39988.46</v>
      </c>
      <c r="AC3319" s="3" cm="1">
        <f t="array" ref="AC3319">100000000/LvacE(AA3319)</f>
        <v>39988.457796009803</v>
      </c>
      <c r="AD3319" s="10">
        <f t="shared" si="2691"/>
        <v>1.2997793930964278E-2</v>
      </c>
      <c r="AE3319" s="10" t="b">
        <f t="shared" si="2692"/>
        <v>1</v>
      </c>
      <c r="AJ3319" t="s">
        <v>4928</v>
      </c>
      <c r="AK3319" t="s">
        <v>4910</v>
      </c>
      <c r="AL3319">
        <v>63816.91</v>
      </c>
      <c r="AM3319">
        <v>103805.38</v>
      </c>
      <c r="AN3319" s="10" cm="1">
        <f t="array" ref="AN3319">Lair(100000000/($AM3319-$AL3319))</f>
        <v>2499.9672379451704</v>
      </c>
      <c r="AO3319" s="10">
        <f t="shared" si="2749"/>
        <v>2500.7208327800486</v>
      </c>
      <c r="AP3319" s="12">
        <v>4300000000</v>
      </c>
      <c r="AQ3319" s="3">
        <v>0.76700000000000002</v>
      </c>
      <c r="AR3319" s="3">
        <f t="shared" ref="AR3319:AR3321" si="2752">LN(AU3319*100000000/($AM3319-$AL3319)/AP3319)</f>
        <v>-10.804040459250158</v>
      </c>
      <c r="AS3319" s="13">
        <f t="shared" si="2750"/>
        <v>62.897385818617927</v>
      </c>
      <c r="AT3319" s="3">
        <f t="shared" si="2751"/>
        <v>1.8389195089363959</v>
      </c>
      <c r="AU3319" s="13" cm="1">
        <f t="array" ref="AU3319">$C3319*EXP(poly_from_str(100000000/$E3319,AU$4343))</f>
        <v>34.935590615510208</v>
      </c>
      <c r="AV3319" s="13">
        <f t="shared" ref="AV3319:AV3321" si="2753">LN(AS3319/AU3319)</f>
        <v>0.58799850394298037</v>
      </c>
      <c r="AW3319" s="13"/>
      <c r="AX3319" s="13"/>
      <c r="AY3319" s="13"/>
    </row>
    <row r="3320" spans="1:51" x14ac:dyDescent="0.25">
      <c r="A3320" t="s">
        <v>3896</v>
      </c>
      <c r="B3320" s="2" t="str">
        <f t="shared" si="2688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2745"/>
        <v>e</v>
      </c>
      <c r="N3320" t="str">
        <f t="shared" si="2746"/>
        <v>13/2</v>
      </c>
      <c r="O3320">
        <v>78694.570000000007</v>
      </c>
      <c r="P3320" t="str">
        <f t="shared" si="2747"/>
        <v>o</v>
      </c>
      <c r="Q3320" t="str">
        <f t="shared" si="2748"/>
        <v>11/2</v>
      </c>
      <c r="R3320">
        <v>31</v>
      </c>
      <c r="AA3320" s="10">
        <f t="shared" si="2689"/>
        <v>2499.6860000000001</v>
      </c>
      <c r="AB3320" s="3">
        <f t="shared" si="2690"/>
        <v>39992.97</v>
      </c>
      <c r="AC3320" s="3" cm="1">
        <f t="array" ref="AC3320">100000000/LvacE(AA3320)</f>
        <v>39992.968749669271</v>
      </c>
      <c r="AD3320" s="10">
        <f t="shared" si="2691"/>
        <v>1.2999598499505393E-2</v>
      </c>
      <c r="AE3320" s="10" t="b">
        <f t="shared" si="2692"/>
        <v>1</v>
      </c>
      <c r="AJ3320" t="s">
        <v>4751</v>
      </c>
      <c r="AK3320" t="s">
        <v>4885</v>
      </c>
      <c r="AL3320">
        <v>38701.589999999997</v>
      </c>
      <c r="AM3320">
        <v>78694.570000000007</v>
      </c>
      <c r="AN3320" s="10" cm="1">
        <f t="array" ref="AN3320">Lair(100000000/($AM3320-$AL3320))</f>
        <v>2499.6852977332733</v>
      </c>
      <c r="AO3320" s="10">
        <f t="shared" si="2749"/>
        <v>2500.4388270141403</v>
      </c>
      <c r="AP3320" s="12">
        <v>411000000</v>
      </c>
      <c r="AQ3320" s="3">
        <v>0.17899999999999999</v>
      </c>
      <c r="AR3320" s="3">
        <f t="shared" si="2752"/>
        <v>-8.9667587580964554</v>
      </c>
      <c r="AS3320" s="13">
        <f t="shared" si="2750"/>
        <v>39.5800506338595</v>
      </c>
      <c r="AT3320" s="3">
        <f t="shared" si="2751"/>
        <v>1.8865657502244626</v>
      </c>
      <c r="AU3320" s="13" cm="1">
        <f t="array" ref="AU3320">$C3320*EXP(poly_from_str(100000000/$E3320,AU$4343))</f>
        <v>20.970642597581943</v>
      </c>
      <c r="AV3320" s="13">
        <f t="shared" si="2753"/>
        <v>0.63520173134668267</v>
      </c>
      <c r="AW3320" s="13"/>
      <c r="AX3320" s="13"/>
      <c r="AY3320" s="13"/>
    </row>
    <row r="3321" spans="1:51" x14ac:dyDescent="0.25">
      <c r="A3321" t="s">
        <v>3897</v>
      </c>
      <c r="B3321" s="2" t="str">
        <f t="shared" si="2688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2745"/>
        <v>e</v>
      </c>
      <c r="N3321" t="str">
        <f t="shared" si="2746"/>
        <v>5/2</v>
      </c>
      <c r="O3321">
        <v>61605.66</v>
      </c>
      <c r="P3321" t="str">
        <f t="shared" si="2747"/>
        <v>o</v>
      </c>
      <c r="Q3321" t="str">
        <f t="shared" si="2748"/>
        <v>7/2</v>
      </c>
      <c r="R3321">
        <v>31</v>
      </c>
      <c r="AA3321" s="10">
        <f t="shared" si="2689"/>
        <v>2499.596</v>
      </c>
      <c r="AB3321" s="3">
        <f t="shared" si="2690"/>
        <v>39994.410000000003</v>
      </c>
      <c r="AC3321" s="3" cm="1">
        <f t="array" ref="AC3321">100000000/LvacE(AA3321)</f>
        <v>39994.408629959107</v>
      </c>
      <c r="AD3321" s="10">
        <f t="shared" si="2691"/>
        <v>1.300017455419978E-2</v>
      </c>
      <c r="AE3321" s="10" t="b">
        <f t="shared" si="2692"/>
        <v>1</v>
      </c>
      <c r="AJ3321" t="s">
        <v>4796</v>
      </c>
      <c r="AK3321" t="s">
        <v>4822</v>
      </c>
      <c r="AL3321">
        <v>21611.19</v>
      </c>
      <c r="AM3321">
        <v>61605.66</v>
      </c>
      <c r="AN3321" s="10" cm="1">
        <f t="array" ref="AN3321">Lair(100000000/($AM3321-$AL3321))</f>
        <v>2499.5921651617773</v>
      </c>
      <c r="AO3321" s="10">
        <f t="shared" si="2749"/>
        <v>2500.3456727892631</v>
      </c>
      <c r="AP3321" s="12">
        <v>18400000</v>
      </c>
      <c r="AQ3321" s="3">
        <v>5.2999999999999999E-2</v>
      </c>
      <c r="AR3321" s="3">
        <f t="shared" si="2752"/>
        <v>-5.7062615442695304</v>
      </c>
      <c r="AS3321" s="13">
        <f t="shared" si="2750"/>
        <v>6.3890606270495782</v>
      </c>
      <c r="AT3321" s="3">
        <f t="shared" si="2751"/>
        <v>-9.1322898193922794E-2</v>
      </c>
      <c r="AU3321" s="13" cm="1">
        <f t="array" ref="AU3321">$C3321*EXP(poly_from_str(100000000/$E3321,AU$4343))</f>
        <v>24.469205482799918</v>
      </c>
      <c r="AV3321" s="13">
        <f t="shared" si="2753"/>
        <v>-1.342828157034589</v>
      </c>
      <c r="AW3321" s="13"/>
      <c r="AX3321" s="13"/>
      <c r="AY3321" s="13"/>
    </row>
    <row r="3322" spans="1:51" x14ac:dyDescent="0.25">
      <c r="A3322" t="s">
        <v>3898</v>
      </c>
      <c r="B3322" s="2" t="str">
        <f t="shared" si="2688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2745"/>
        <v>e</v>
      </c>
      <c r="N3322" t="str">
        <f t="shared" si="2746"/>
        <v>5/2</v>
      </c>
      <c r="O3322">
        <v>65935.25</v>
      </c>
      <c r="P3322" t="str">
        <f t="shared" si="2747"/>
        <v>o</v>
      </c>
      <c r="Q3322" t="str">
        <f t="shared" si="2748"/>
        <v>7/2</v>
      </c>
      <c r="R3322">
        <v>31</v>
      </c>
      <c r="AA3322" s="10">
        <f t="shared" si="2689"/>
        <v>2499.2339999999999</v>
      </c>
      <c r="AB3322" s="3">
        <f t="shared" si="2690"/>
        <v>40000.199999999997</v>
      </c>
      <c r="AC3322" s="3" cm="1">
        <f t="array" ref="AC3322">100000000/LvacE(AA3322)</f>
        <v>40000.201195745685</v>
      </c>
      <c r="AD3322" s="10">
        <f t="shared" si="2691"/>
        <v>1.3002492202760063E-2</v>
      </c>
      <c r="AE3322" s="10" t="b">
        <f t="shared" si="2692"/>
        <v>1</v>
      </c>
      <c r="AJ3322" t="s">
        <v>4713</v>
      </c>
      <c r="AK3322" t="s">
        <v>4858</v>
      </c>
      <c r="AL3322">
        <v>25934.98</v>
      </c>
      <c r="AM3322">
        <v>65935.25</v>
      </c>
      <c r="AN3322" s="10" cm="1">
        <f t="array" ref="AN3322">Lair(100000000/($AM3322-$AL3322))</f>
        <v>2499.2297017551155</v>
      </c>
      <c r="AO3322" s="10">
        <f t="shared" si="2749"/>
        <v>2499.9831251139053</v>
      </c>
      <c r="AP3322" s="12">
        <v>21100000</v>
      </c>
      <c r="AQ3322" s="3">
        <v>4.1000000000000002E-2</v>
      </c>
      <c r="AR3322" s="3"/>
      <c r="AS3322" s="13">
        <f t="shared" si="2750"/>
        <v>5.2948409198570623</v>
      </c>
      <c r="AT3322" s="3"/>
      <c r="AU3322" s="13" cm="1">
        <f t="array" ref="AU3322">$C3322*EXP(poly_from_str(100000000/$E3322,AU$4343))</f>
        <v>17.487914702378866</v>
      </c>
      <c r="AV3322" s="13"/>
      <c r="AW3322" s="13"/>
      <c r="AX3322" s="13"/>
      <c r="AY3322" s="13"/>
    </row>
    <row r="3323" spans="1:51" x14ac:dyDescent="0.25">
      <c r="A3323" t="s">
        <v>3899</v>
      </c>
      <c r="B3323" s="2" t="str">
        <f t="shared" si="2688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2689"/>
        <v>2498.9389999999999</v>
      </c>
      <c r="AB3323" s="3">
        <f t="shared" si="2690"/>
        <v>40004.92</v>
      </c>
      <c r="AC3323" s="3" cm="1">
        <f t="array" ref="AC3323">100000000/LvacE(AA3323)</f>
        <v>40004.922897712764</v>
      </c>
      <c r="AD3323" s="10">
        <f t="shared" si="2691"/>
        <v>1.3004381639110191E-2</v>
      </c>
      <c r="AE3323" s="10" t="b">
        <f t="shared" si="2692"/>
        <v>1</v>
      </c>
      <c r="AP3323"/>
      <c r="AQ3323"/>
      <c r="AU3323" s="13" cm="1">
        <f t="array" ref="AU3323">$C3323*EXP(poly_from_str(100000000/$E3323,AU$4343))</f>
        <v>3.4991954252371351</v>
      </c>
    </row>
    <row r="3324" spans="1:51" x14ac:dyDescent="0.25">
      <c r="A3324" t="s">
        <v>3900</v>
      </c>
      <c r="B3324" s="2" t="str">
        <f t="shared" si="2688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2689"/>
        <v>2498.7359999999999</v>
      </c>
      <c r="AB3324" s="3">
        <f t="shared" si="2690"/>
        <v>40008.17</v>
      </c>
      <c r="AC3324" s="3" cm="1">
        <f t="array" ref="AC3324">100000000/LvacE(AA3324)</f>
        <v>40008.172716372559</v>
      </c>
      <c r="AD3324" s="10">
        <f t="shared" si="2691"/>
        <v>1.3005682216203025E-2</v>
      </c>
      <c r="AE3324" s="10" t="b">
        <f t="shared" si="2692"/>
        <v>1</v>
      </c>
      <c r="AP3324"/>
      <c r="AQ3324"/>
      <c r="AU3324" s="13" cm="1">
        <f t="array" ref="AU3324">$C3324*EXP(poly_from_str(100000000/$E3324,AU$4343))</f>
        <v>17.501519868053062</v>
      </c>
    </row>
    <row r="3325" spans="1:51" x14ac:dyDescent="0.25">
      <c r="A3325" t="s">
        <v>3901</v>
      </c>
      <c r="B3325" s="2">
        <f t="shared" si="2688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2754">$G3325&amp;""</f>
        <v>e</v>
      </c>
      <c r="N3325" t="str">
        <f t="shared" ref="N3325:N3326" si="2755">$H3325&amp;""</f>
        <v>9/2</v>
      </c>
      <c r="O3325">
        <v>78463.600000000006</v>
      </c>
      <c r="P3325" t="str">
        <f t="shared" ref="P3325:P3326" si="2756">$J3325&amp;""</f>
        <v>o</v>
      </c>
      <c r="Q3325" t="str">
        <f t="shared" ref="Q3325:Q3326" si="2757">$K3325&amp;""</f>
        <v>7/2</v>
      </c>
      <c r="R3325">
        <v>31</v>
      </c>
      <c r="AA3325" s="10">
        <f t="shared" si="2689"/>
        <v>2498.297</v>
      </c>
      <c r="AB3325" s="3">
        <f t="shared" si="2690"/>
        <v>40015.199999999997</v>
      </c>
      <c r="AC3325" s="3" cm="1">
        <f t="array" ref="AC3325">100000000/LvacE(AA3325)</f>
        <v>40015.202455098035</v>
      </c>
      <c r="AD3325" s="10">
        <f t="shared" si="2691"/>
        <v>1.300849587841198E-2</v>
      </c>
      <c r="AE3325" s="10" t="b">
        <f t="shared" si="2692"/>
        <v>1</v>
      </c>
      <c r="AJ3325" t="s">
        <v>4816</v>
      </c>
      <c r="AK3325" t="s">
        <v>4926</v>
      </c>
      <c r="AL3325">
        <v>38448.379999999997</v>
      </c>
      <c r="AM3325">
        <v>78463.600000000006</v>
      </c>
      <c r="AN3325" s="10" cm="1">
        <f t="array" ref="AN3325">Lair(100000000/($AM3325-$AL3325))</f>
        <v>2498.295905520009</v>
      </c>
      <c r="AO3325" s="10">
        <f t="shared" ref="AO3325:AO3326" si="2758">100000000/($AM3325-$AL3325)</f>
        <v>2499.0491118129548</v>
      </c>
      <c r="AP3325" s="12">
        <v>14900000</v>
      </c>
      <c r="AQ3325" s="3">
        <v>9.6000000000000002E-2</v>
      </c>
      <c r="AR3325" s="3">
        <f>LN(AU3325*100000000/($AM3325-$AL3325)/AP3325)</f>
        <v>-7.4396729354143138</v>
      </c>
      <c r="AS3325" s="13">
        <f t="shared" ref="AS3325:AS3326" si="2759">EXP(AR$4341*$AM3325+AR$4342)*$AP3325/(100000000/($AM3325-$AL3325))</f>
        <v>1.4607977798919394</v>
      </c>
      <c r="AT3325" s="3">
        <f t="shared" ref="AT3325" si="2760">LN(AS3325/$C3325)</f>
        <v>0.37898271106821396</v>
      </c>
      <c r="AU3325" s="13" cm="1">
        <f t="array" ref="AU3325">$C3325*EXP(poly_from_str(100000000/$E3325,AU$4343))</f>
        <v>3.5026970318293911</v>
      </c>
      <c r="AV3325" s="13">
        <f>LN(AS3325/AU3325)</f>
        <v>-0.87455054120510023</v>
      </c>
      <c r="AW3325" s="13"/>
      <c r="AX3325" s="13"/>
      <c r="AY3325" s="13"/>
    </row>
    <row r="3326" spans="1:51" x14ac:dyDescent="0.25">
      <c r="A3326" t="s">
        <v>3901</v>
      </c>
      <c r="B3326" s="2">
        <f t="shared" si="2688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2754"/>
        <v>o</v>
      </c>
      <c r="N3326" t="str">
        <f t="shared" si="2755"/>
        <v>9/2</v>
      </c>
      <c r="O3326">
        <v>108559.4</v>
      </c>
      <c r="P3326" t="str">
        <f t="shared" si="2756"/>
        <v>e</v>
      </c>
      <c r="Q3326" t="str">
        <f t="shared" si="2757"/>
        <v>11/2</v>
      </c>
      <c r="R3326">
        <v>31</v>
      </c>
      <c r="AA3326" s="10">
        <f t="shared" si="2689"/>
        <v>2498.297</v>
      </c>
      <c r="AB3326" s="3">
        <f t="shared" si="2690"/>
        <v>40015.199999999997</v>
      </c>
      <c r="AC3326" s="3" cm="1">
        <f t="array" ref="AC3326">100000000/LvacE(AA3326)</f>
        <v>40015.202455098035</v>
      </c>
      <c r="AD3326" s="10">
        <f t="shared" si="2691"/>
        <v>1.300849587841198E-2</v>
      </c>
      <c r="AE3326" s="10" t="b">
        <f t="shared" si="2692"/>
        <v>1</v>
      </c>
      <c r="AJ3326" t="s">
        <v>4901</v>
      </c>
      <c r="AK3326" t="s">
        <v>4914</v>
      </c>
      <c r="AL3326">
        <v>68544.19</v>
      </c>
      <c r="AM3326">
        <v>108559.4</v>
      </c>
      <c r="AN3326" s="10" cm="1">
        <f t="array" ref="AN3326">Lair(100000000/($AM3326-$AL3326))</f>
        <v>2498.2965298996869</v>
      </c>
      <c r="AO3326" s="10">
        <f t="shared" si="2758"/>
        <v>2499.0497363377581</v>
      </c>
      <c r="AP3326" s="12">
        <v>36300000</v>
      </c>
      <c r="AQ3326" s="3">
        <v>1.2999999999999999E-2</v>
      </c>
      <c r="AR3326" s="3"/>
      <c r="AS3326" s="13">
        <f t="shared" si="2759"/>
        <v>0.37189144320876166</v>
      </c>
      <c r="AT3326" s="3"/>
      <c r="AU3326" s="13" cm="1">
        <f t="array" ref="AU3326">$C3326*EXP(poly_from_str(100000000/$E3326,AU$4343))</f>
        <v>3.5026970318293911</v>
      </c>
      <c r="AV3326" s="13"/>
      <c r="AW3326" s="13"/>
      <c r="AX3326" s="13"/>
      <c r="AY3326" s="13"/>
    </row>
    <row r="3327" spans="1:51" x14ac:dyDescent="0.25">
      <c r="A3327" t="s">
        <v>3902</v>
      </c>
      <c r="B3327" s="2" t="str">
        <f t="shared" si="2688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2689"/>
        <v>2498.1819999999998</v>
      </c>
      <c r="AB3327" s="3">
        <f t="shared" si="2690"/>
        <v>40017.040000000001</v>
      </c>
      <c r="AC3327" s="3" cm="1">
        <f t="array" ref="AC3327">100000000/LvacE(AA3327)</f>
        <v>40017.044366728238</v>
      </c>
      <c r="AD3327" s="10">
        <f t="shared" si="2691"/>
        <v>1.3009233187719758E-2</v>
      </c>
      <c r="AE3327" s="10" t="b">
        <f t="shared" si="2692"/>
        <v>1</v>
      </c>
      <c r="AP3327"/>
      <c r="AQ3327"/>
      <c r="AU3327" s="13" cm="1">
        <f t="array" ref="AU3327">$C3327*EXP(poly_from_str(100000000/$E3327,AU$4343))</f>
        <v>31.529900703738871</v>
      </c>
    </row>
    <row r="3328" spans="1:51" x14ac:dyDescent="0.25">
      <c r="A3328" t="s">
        <v>3903</v>
      </c>
      <c r="B3328" s="2" t="str">
        <f t="shared" si="2688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2689"/>
        <v>2498.096</v>
      </c>
      <c r="AB3328" s="3">
        <f t="shared" si="2690"/>
        <v>40018.42</v>
      </c>
      <c r="AC3328" s="3" cm="1">
        <f t="array" ref="AC3328">100000000/LvacE(AA3328)</f>
        <v>40018.421907110074</v>
      </c>
      <c r="AD3328" s="10">
        <f t="shared" si="2691"/>
        <v>1.3009784633398812E-2</v>
      </c>
      <c r="AE3328" s="10" t="b">
        <f t="shared" si="2692"/>
        <v>1</v>
      </c>
      <c r="AJ3328" t="s">
        <v>4712</v>
      </c>
      <c r="AK3328" t="s">
        <v>4863</v>
      </c>
      <c r="AL3328">
        <v>27380.31</v>
      </c>
      <c r="AM3328">
        <v>67398.789999999994</v>
      </c>
      <c r="AN3328" s="10" cm="1">
        <f t="array" ref="AN3328">Lair(100000000/($AM3328-$AL3328))</f>
        <v>2498.0923743765215</v>
      </c>
      <c r="AO3328" s="10">
        <f>100000000/($AM3328-$AL3328)</f>
        <v>2498.8455333635861</v>
      </c>
      <c r="AP3328" s="12">
        <v>14200000</v>
      </c>
      <c r="AQ3328" s="3">
        <v>1.7000000000000001E-2</v>
      </c>
      <c r="AR3328" s="3"/>
      <c r="AS3328" s="13">
        <f>EXP(AR$4341*$AM3328+AR$4342)*$AP3328/(100000000/($AM3328-$AL3328))</f>
        <v>3.1941565668295566</v>
      </c>
      <c r="AT3328" s="3"/>
      <c r="AU3328" s="13" cm="1">
        <f t="array" ref="AU3328">$C3328*EXP(poly_from_str(100000000/$E3328,AU$4343))</f>
        <v>3.5037909598729593</v>
      </c>
      <c r="AV3328" s="13"/>
      <c r="AW3328" s="13"/>
      <c r="AX3328" s="13"/>
      <c r="AY3328" s="13"/>
    </row>
    <row r="3329" spans="1:51" x14ac:dyDescent="0.25">
      <c r="A3329" t="s">
        <v>3904</v>
      </c>
      <c r="B3329" s="2" t="str">
        <f t="shared" si="2688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2689"/>
        <v>2497.8470000000002</v>
      </c>
      <c r="AB3329" s="3">
        <f t="shared" si="2690"/>
        <v>40022.410000000003</v>
      </c>
      <c r="AC3329" s="3" cm="1">
        <f t="array" ref="AC3329">100000000/LvacE(AA3329)</f>
        <v>40022.410901895455</v>
      </c>
      <c r="AD3329" s="10">
        <f t="shared" si="2691"/>
        <v>1.3011381582197678E-2</v>
      </c>
      <c r="AE3329" s="10" t="b">
        <f t="shared" si="2692"/>
        <v>1</v>
      </c>
      <c r="AP3329"/>
      <c r="AQ3329"/>
      <c r="AU3329" s="13" cm="1">
        <f t="array" ref="AU3329">$C3329*EXP(poly_from_str(100000000/$E3329,AU$4343))</f>
        <v>3.50514459566732</v>
      </c>
    </row>
    <row r="3330" spans="1:51" x14ac:dyDescent="0.25">
      <c r="A3330" t="s">
        <v>3905</v>
      </c>
      <c r="B3330" s="2" t="str">
        <f t="shared" ref="B3330:B3393" si="2761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2689"/>
        <v>2497.6819999999998</v>
      </c>
      <c r="AB3330" s="3">
        <f t="shared" si="2690"/>
        <v>40025.050000000003</v>
      </c>
      <c r="AC3330" s="3" cm="1">
        <f t="array" ref="AC3330">100000000/LvacE(AA3330)</f>
        <v>40025.054649772646</v>
      </c>
      <c r="AD3330" s="10">
        <f t="shared" si="2691"/>
        <v>1.3012440064382225E-2</v>
      </c>
      <c r="AE3330" s="10" t="b">
        <f t="shared" si="2692"/>
        <v>1</v>
      </c>
      <c r="AP3330"/>
      <c r="AQ3330"/>
      <c r="AU3330" s="13" cm="1">
        <f t="array" ref="AU3330">$C3330*EXP(poly_from_str(100000000/$E3330,AU$4343))</f>
        <v>3.506039095588338</v>
      </c>
    </row>
    <row r="3331" spans="1:51" x14ac:dyDescent="0.25">
      <c r="A3331" t="s">
        <v>3906</v>
      </c>
      <c r="B3331" s="2" t="str">
        <f t="shared" si="2761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2762">ROUND($A3331,3)+0</f>
        <v>2497.2399999999998</v>
      </c>
      <c r="AB3331" s="3">
        <f t="shared" ref="AB3331:AB3394" si="2763">ROUND($E3331,2)+0</f>
        <v>40032.14</v>
      </c>
      <c r="AC3331" s="3" cm="1">
        <f t="array" ref="AC3331">100000000/LvacE(AA3331)</f>
        <v>40032.138410729538</v>
      </c>
      <c r="AD3331" s="10">
        <f t="shared" ref="AD3331:AD3394" si="2764">0.0005/$AA3331*AC3331+0.005</f>
        <v>1.3015276547454296E-2</v>
      </c>
      <c r="AE3331" s="10" t="b">
        <f t="shared" ref="AE3331:AE3394" si="2765">ABS(AB3331-AC3331)&lt;AD3331</f>
        <v>1</v>
      </c>
      <c r="AP3331"/>
      <c r="AQ3331"/>
      <c r="AU3331" s="13" cm="1">
        <f t="array" ref="AU3331">$C3331*EXP(poly_from_str(100000000/$E3331,AU$4343))</f>
        <v>7.0168738436468754</v>
      </c>
    </row>
    <row r="3332" spans="1:51" x14ac:dyDescent="0.25">
      <c r="A3332" t="s">
        <v>3907</v>
      </c>
      <c r="B3332" s="2" t="str">
        <f t="shared" si="2761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2762"/>
        <v>2497.143</v>
      </c>
      <c r="AB3332" s="3">
        <f t="shared" si="2763"/>
        <v>40033.69</v>
      </c>
      <c r="AC3332" s="3" cm="1">
        <f t="array" ref="AC3332">100000000/LvacE(AA3332)</f>
        <v>40033.693327260145</v>
      </c>
      <c r="AD3332" s="10">
        <f t="shared" si="2764"/>
        <v>1.30158992350979E-2</v>
      </c>
      <c r="AE3332" s="10" t="b">
        <f t="shared" si="2765"/>
        <v>1</v>
      </c>
      <c r="AJ3332" t="s">
        <v>4869</v>
      </c>
      <c r="AK3332" t="s">
        <v>4914</v>
      </c>
      <c r="AL3332">
        <v>68525.62</v>
      </c>
      <c r="AM3332">
        <v>108559.4</v>
      </c>
      <c r="AN3332" s="10" cm="1">
        <f t="array" ref="AN3332">Lair(100000000/($AM3332-$AL3332))</f>
        <v>2497.1375943458806</v>
      </c>
      <c r="AO3332" s="10">
        <f>100000000/($AM3332-$AL3332)</f>
        <v>2497.8905314461936</v>
      </c>
      <c r="AP3332" s="12">
        <v>519000000</v>
      </c>
      <c r="AQ3332" s="3">
        <v>0.47799999999999998</v>
      </c>
      <c r="AR3332" s="3">
        <f>LN(AU3332*100000000/($AM3332-$AL3332)/AP3332)</f>
        <v>-10.295745618485439</v>
      </c>
      <c r="AS3332" s="13">
        <f>EXP(AR$4341*$AM3332+AR$4342)*$AP3332/(100000000/($AM3332-$AL3332))</f>
        <v>5.3195931302602704</v>
      </c>
      <c r="AT3332" s="3">
        <f>LN(AS3332/$C3332)</f>
        <v>0.97824964059453356</v>
      </c>
      <c r="AU3332" s="13" cm="1">
        <f t="array" ref="AU3332">$C3332*EXP(poly_from_str(100000000/$E3332,AU$4343))</f>
        <v>7.0179205443234896</v>
      </c>
      <c r="AV3332" s="13">
        <f>LN(AS3332/AU3332)</f>
        <v>-0.27707013424446114</v>
      </c>
      <c r="AW3332" s="13"/>
      <c r="AX3332" s="13"/>
      <c r="AY3332" s="13"/>
    </row>
    <row r="3333" spans="1:51" x14ac:dyDescent="0.25">
      <c r="A3333" t="s">
        <v>3908</v>
      </c>
      <c r="B3333" s="2" t="str">
        <f t="shared" si="2761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2762"/>
        <v>2496.2959999999998</v>
      </c>
      <c r="AB3333" s="3">
        <f t="shared" si="2763"/>
        <v>40047.279999999999</v>
      </c>
      <c r="AC3333" s="3" cm="1">
        <f t="array" ref="AC3333">100000000/LvacE(AA3333)</f>
        <v>40047.275928054856</v>
      </c>
      <c r="AD3333" s="10">
        <f t="shared" si="2764"/>
        <v>1.3021339602365838E-2</v>
      </c>
      <c r="AE3333" s="10" t="b">
        <f t="shared" si="2765"/>
        <v>1</v>
      </c>
      <c r="AP3333"/>
      <c r="AQ3333"/>
      <c r="AU3333" s="13" cm="1">
        <f t="array" ref="AU3333">$C3333*EXP(poly_from_str(100000000/$E3333,AU$4343))</f>
        <v>3.5135358993396735</v>
      </c>
    </row>
    <row r="3334" spans="1:51" x14ac:dyDescent="0.25">
      <c r="A3334" t="s">
        <v>3909</v>
      </c>
      <c r="B3334" s="2" t="str">
        <f t="shared" si="2761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2762"/>
        <v>2496.2150000000001</v>
      </c>
      <c r="AB3334" s="3">
        <f t="shared" si="2763"/>
        <v>40048.57</v>
      </c>
      <c r="AC3334" s="3" cm="1">
        <f t="array" ref="AC3334">100000000/LvacE(AA3334)</f>
        <v>40048.575337286813</v>
      </c>
      <c r="AD3334" s="10">
        <f t="shared" si="2764"/>
        <v>1.3021860163745274E-2</v>
      </c>
      <c r="AE3334" s="10" t="b">
        <f t="shared" si="2765"/>
        <v>1</v>
      </c>
      <c r="AP3334"/>
      <c r="AQ3334"/>
      <c r="AU3334" s="13" cm="1">
        <f t="array" ref="AU3334">$C3334*EXP(poly_from_str(100000000/$E3334,AU$4343))</f>
        <v>3.5139690334954676</v>
      </c>
    </row>
    <row r="3335" spans="1:51" x14ac:dyDescent="0.25">
      <c r="A3335" t="s">
        <v>3910</v>
      </c>
      <c r="B3335" s="2" t="str">
        <f t="shared" si="2761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2766">$G3335&amp;""</f>
        <v>e</v>
      </c>
      <c r="N3335" t="str">
        <f t="shared" ref="N3335:N3338" si="2767">$H3335&amp;""</f>
        <v>11/2</v>
      </c>
      <c r="O3335">
        <v>66148.399999999994</v>
      </c>
      <c r="P3335" t="str">
        <f t="shared" ref="P3335:P3338" si="2768">$J3335&amp;""</f>
        <v>o</v>
      </c>
      <c r="Q3335" t="str">
        <f t="shared" ref="Q3335:Q3338" si="2769">$K3335&amp;""</f>
        <v>13/2</v>
      </c>
      <c r="R3335">
        <v>31</v>
      </c>
      <c r="AA3335" s="10">
        <f t="shared" si="2762"/>
        <v>2495.9340000000002</v>
      </c>
      <c r="AB3335" s="3">
        <f t="shared" si="2763"/>
        <v>40053.08</v>
      </c>
      <c r="AC3335" s="3" cm="1">
        <f t="array" ref="AC3335">100000000/LvacE(AA3335)</f>
        <v>40053.083818084328</v>
      </c>
      <c r="AD3335" s="10">
        <f t="shared" si="2764"/>
        <v>1.3023666454738854E-2</v>
      </c>
      <c r="AE3335" s="10" t="b">
        <f t="shared" si="2765"/>
        <v>1</v>
      </c>
      <c r="AJ3335" t="s">
        <v>4738</v>
      </c>
      <c r="AK3335" t="s">
        <v>4694</v>
      </c>
      <c r="AL3335">
        <v>26095.23</v>
      </c>
      <c r="AM3335">
        <v>66148.399999999994</v>
      </c>
      <c r="AN3335" s="10" cm="1">
        <f t="array" ref="AN3335">Lair(100000000/($AM3335-$AL3335))</f>
        <v>2495.9286301897209</v>
      </c>
      <c r="AO3335" s="10">
        <f t="shared" ref="AO3335:AO3338" si="2770">100000000/($AM3335-$AL3335)</f>
        <v>2496.6812864000526</v>
      </c>
      <c r="AP3335" s="12">
        <v>35400000</v>
      </c>
      <c r="AQ3335" s="3">
        <v>0.13800000000000001</v>
      </c>
      <c r="AR3335" s="3">
        <f>LN(AU3335*100000000/($AM3335-$AL3335)/AP3335)</f>
        <v>-6.356418024191866</v>
      </c>
      <c r="AS3335" s="13">
        <f t="shared" ref="AS3335:AS3338" si="2771">EXP(AR$4341*$AM3335+AR$4342)*$AP3335/(100000000/($AM3335-$AL3335))</f>
        <v>8.7538807407786159</v>
      </c>
      <c r="AT3335" s="3">
        <f t="shared" ref="AT3335:AT3338" si="2772">LN(AS3335/$C3335)</f>
        <v>0.22358696622312879</v>
      </c>
      <c r="AU3335" s="13" cm="1">
        <f t="array" ref="AU3335">$C3335*EXP(poly_from_str(100000000/$E3335,AU$4343))</f>
        <v>24.608372003471928</v>
      </c>
      <c r="AV3335" s="13">
        <f>LN(AS3335/AU3335)</f>
        <v>-1.033589595106728</v>
      </c>
      <c r="AW3335" s="13"/>
      <c r="AX3335" s="13"/>
      <c r="AY3335" s="13"/>
    </row>
    <row r="3336" spans="1:51" x14ac:dyDescent="0.25">
      <c r="A3336" t="s">
        <v>3911</v>
      </c>
      <c r="B3336" s="2" t="str">
        <f t="shared" si="2761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2766"/>
        <v>o</v>
      </c>
      <c r="N3336" t="str">
        <f t="shared" si="2767"/>
        <v>7/2</v>
      </c>
      <c r="O3336">
        <v>107299.07</v>
      </c>
      <c r="P3336" t="str">
        <f t="shared" si="2768"/>
        <v>e</v>
      </c>
      <c r="Q3336" t="str">
        <f t="shared" si="2769"/>
        <v>7/2</v>
      </c>
      <c r="R3336">
        <v>31</v>
      </c>
      <c r="AA3336" s="10">
        <f t="shared" si="2762"/>
        <v>2495.5839999999998</v>
      </c>
      <c r="AB3336" s="3">
        <f t="shared" si="2763"/>
        <v>40058.699999999997</v>
      </c>
      <c r="AC3336" s="3" cm="1">
        <f t="array" ref="AC3336">100000000/LvacE(AA3336)</f>
        <v>40058.700783242581</v>
      </c>
      <c r="AD3336" s="10">
        <f t="shared" si="2764"/>
        <v>1.3025917136678746E-2</v>
      </c>
      <c r="AE3336" s="10" t="b">
        <f t="shared" si="2765"/>
        <v>1</v>
      </c>
      <c r="AJ3336" t="s">
        <v>4852</v>
      </c>
      <c r="AK3336" t="s">
        <v>4891</v>
      </c>
      <c r="AL3336">
        <v>67240.350000000006</v>
      </c>
      <c r="AM3336">
        <v>107299.07</v>
      </c>
      <c r="AN3336" s="10" cm="1">
        <f t="array" ref="AN3336">Lair(100000000/($AM3336-$AL3336))</f>
        <v>2495.5828037873994</v>
      </c>
      <c r="AO3336" s="10">
        <f t="shared" si="2770"/>
        <v>2496.3353796626552</v>
      </c>
      <c r="AP3336" s="12">
        <v>13000000</v>
      </c>
      <c r="AQ3336" s="3">
        <v>0.02</v>
      </c>
      <c r="AR3336" s="3"/>
      <c r="AS3336" s="13">
        <f t="shared" si="2771"/>
        <v>0.14655547668910221</v>
      </c>
      <c r="AT3336" s="3"/>
      <c r="AU3336" s="13" cm="1">
        <f t="array" ref="AU3336">$C3336*EXP(poly_from_str(100000000/$E3336,AU$4343))</f>
        <v>7.0347264434431516</v>
      </c>
      <c r="AV3336" s="13"/>
      <c r="AW3336" s="13"/>
      <c r="AX3336" s="13"/>
      <c r="AY3336" s="13"/>
    </row>
    <row r="3337" spans="1:51" x14ac:dyDescent="0.25">
      <c r="A3337" t="s">
        <v>3912</v>
      </c>
      <c r="B3337" s="2" t="str">
        <f t="shared" si="2761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2766"/>
        <v>o</v>
      </c>
      <c r="N3337" t="str">
        <f t="shared" si="2767"/>
        <v>7/2</v>
      </c>
      <c r="O3337">
        <v>101665.58</v>
      </c>
      <c r="P3337" t="str">
        <f t="shared" si="2768"/>
        <v>e</v>
      </c>
      <c r="Q3337" t="str">
        <f t="shared" si="2769"/>
        <v>5/2</v>
      </c>
      <c r="R3337">
        <v>31</v>
      </c>
      <c r="AA3337" s="10">
        <f t="shared" si="2762"/>
        <v>2495.5079999999998</v>
      </c>
      <c r="AB3337" s="3">
        <f t="shared" si="2763"/>
        <v>40059.919999999998</v>
      </c>
      <c r="AC3337" s="3" cm="1">
        <f t="array" ref="AC3337">100000000/LvacE(AA3337)</f>
        <v>40059.920675285772</v>
      </c>
      <c r="AD3337" s="10">
        <f t="shared" si="2764"/>
        <v>1.3026405981324398E-2</v>
      </c>
      <c r="AE3337" s="10" t="b">
        <f t="shared" si="2765"/>
        <v>1</v>
      </c>
      <c r="AJ3337" t="s">
        <v>4822</v>
      </c>
      <c r="AK3337" t="s">
        <v>4946</v>
      </c>
      <c r="AL3337">
        <v>61605.66</v>
      </c>
      <c r="AM3337">
        <v>101665.58</v>
      </c>
      <c r="AN3337" s="10" cm="1">
        <f t="array" ref="AN3337">Lair(100000000/($AM3337-$AL3337))</f>
        <v>2495.5080431095184</v>
      </c>
      <c r="AO3337" s="10">
        <f t="shared" si="2770"/>
        <v>2496.2606016187751</v>
      </c>
      <c r="AP3337" s="12">
        <v>2070000000</v>
      </c>
      <c r="AQ3337" s="3">
        <v>0.60299999999999998</v>
      </c>
      <c r="AR3337" s="3">
        <f t="shared" ref="AR3337:AR3338" si="2773">LN(AU3337*100000000/($AM3337-$AL3337)/AP3337)</f>
        <v>-10.067852624351467</v>
      </c>
      <c r="AS3337" s="13">
        <f t="shared" si="2771"/>
        <v>35.616478642496709</v>
      </c>
      <c r="AT3337" s="3">
        <f t="shared" si="2772"/>
        <v>1.2702233209827507</v>
      </c>
      <c r="AU3337" s="13" cm="1">
        <f t="array" ref="AU3337">$C3337*EXP(poly_from_str(100000000/$E3337,AU$4343))</f>
        <v>35.177711574053326</v>
      </c>
      <c r="AV3337" s="13">
        <f t="shared" ref="AV3337:AV3338" si="2774">LN(AS3337/AU3337)</f>
        <v>1.2395725843617223E-2</v>
      </c>
      <c r="AW3337" s="13"/>
      <c r="AX3337" s="13"/>
      <c r="AY3337" s="13"/>
    </row>
    <row r="3338" spans="1:51" x14ac:dyDescent="0.25">
      <c r="A3338" t="s">
        <v>3913</v>
      </c>
      <c r="B3338" s="2" t="str">
        <f t="shared" si="2761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2766"/>
        <v>e</v>
      </c>
      <c r="N3338" t="str">
        <f t="shared" si="2767"/>
        <v>7/2</v>
      </c>
      <c r="O3338">
        <v>61357.04</v>
      </c>
      <c r="P3338" t="str">
        <f t="shared" si="2768"/>
        <v>o</v>
      </c>
      <c r="Q3338" t="str">
        <f t="shared" si="2769"/>
        <v>9/2</v>
      </c>
      <c r="R3338">
        <v>31</v>
      </c>
      <c r="AA3338" s="10">
        <f t="shared" si="2762"/>
        <v>2495.373</v>
      </c>
      <c r="AB3338" s="3">
        <f t="shared" si="2763"/>
        <v>40062.089999999997</v>
      </c>
      <c r="AC3338" s="3" cm="1">
        <f t="array" ref="AC3338">100000000/LvacE(AA3338)</f>
        <v>40062.087771985505</v>
      </c>
      <c r="AD3338" s="10">
        <f t="shared" si="2764"/>
        <v>1.3027274433919399E-2</v>
      </c>
      <c r="AE3338" s="10" t="b">
        <f t="shared" si="2765"/>
        <v>1</v>
      </c>
      <c r="AJ3338" t="s">
        <v>4791</v>
      </c>
      <c r="AK3338" t="s">
        <v>4903</v>
      </c>
      <c r="AL3338">
        <v>21294.89</v>
      </c>
      <c r="AM3338">
        <v>61357.04</v>
      </c>
      <c r="AN3338" s="10" cm="1">
        <f t="array" ref="AN3338">Lair(100000000/($AM3338-$AL3338))</f>
        <v>2495.3691247438023</v>
      </c>
      <c r="AO3338" s="10">
        <f t="shared" si="2770"/>
        <v>2496.1216509847823</v>
      </c>
      <c r="AP3338" s="12">
        <v>121000000</v>
      </c>
      <c r="AQ3338" s="3">
        <v>0.28399999999999997</v>
      </c>
      <c r="AR3338" s="3">
        <f t="shared" si="2773"/>
        <v>-7.2281888315476603</v>
      </c>
      <c r="AS3338" s="13">
        <f t="shared" si="2771"/>
        <v>42.878736956458027</v>
      </c>
      <c r="AT3338" s="3">
        <f t="shared" si="2772"/>
        <v>1.4557909680282022</v>
      </c>
      <c r="AU3338" s="13" cm="1">
        <f t="array" ref="AU3338">$C3338*EXP(poly_from_str(100000000/$E3338,AU$4343))</f>
        <v>35.184963052880242</v>
      </c>
      <c r="AV3338" s="13">
        <f t="shared" si="2774"/>
        <v>0.19775725568584893</v>
      </c>
      <c r="AW3338" s="13"/>
      <c r="AX3338" s="13"/>
      <c r="AY3338" s="13"/>
    </row>
    <row r="3339" spans="1:51" x14ac:dyDescent="0.25">
      <c r="A3339" t="s">
        <v>3914</v>
      </c>
      <c r="B3339" s="2" t="str">
        <f t="shared" si="2761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2762"/>
        <v>2495.2440000000001</v>
      </c>
      <c r="AB3339" s="3">
        <f t="shared" si="2763"/>
        <v>40064.160000000003</v>
      </c>
      <c r="AC3339" s="3" cm="1">
        <f t="array" ref="AC3339">100000000/LvacE(AA3339)</f>
        <v>40064.158772338204</v>
      </c>
      <c r="AD3339" s="10">
        <f t="shared" si="2764"/>
        <v>1.3028104420316853E-2</v>
      </c>
      <c r="AE3339" s="10" t="b">
        <f t="shared" si="2765"/>
        <v>1</v>
      </c>
      <c r="AP3339"/>
      <c r="AQ3339"/>
      <c r="AU3339" s="13" cm="1">
        <f t="array" ref="AU3339">$C3339*EXP(poly_from_str(100000000/$E3339,AU$4343))</f>
        <v>10.557562530480757</v>
      </c>
    </row>
    <row r="3340" spans="1:51" x14ac:dyDescent="0.25">
      <c r="A3340" t="s">
        <v>3915</v>
      </c>
      <c r="B3340" s="2" t="str">
        <f t="shared" si="2761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2762"/>
        <v>2495.174</v>
      </c>
      <c r="AB3340" s="3">
        <f t="shared" si="2763"/>
        <v>40065.279999999999</v>
      </c>
      <c r="AC3340" s="3" cm="1">
        <f t="array" ref="AC3340">100000000/LvacE(AA3340)</f>
        <v>40065.282660594537</v>
      </c>
      <c r="AD3340" s="10">
        <f t="shared" si="2764"/>
        <v>1.302855485440986E-2</v>
      </c>
      <c r="AE3340" s="10" t="b">
        <f t="shared" si="2765"/>
        <v>1</v>
      </c>
      <c r="AP3340"/>
      <c r="AQ3340"/>
      <c r="AU3340" s="13" cm="1">
        <f t="array" ref="AU3340">$C3340*EXP(poly_from_str(100000000/$E3340,AU$4343))</f>
        <v>7.0391225641540167</v>
      </c>
    </row>
    <row r="3341" spans="1:51" x14ac:dyDescent="0.25">
      <c r="A3341" t="s">
        <v>3916</v>
      </c>
      <c r="B3341" s="2" t="str">
        <f t="shared" si="2761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2775">$G3341&amp;""</f>
        <v>e</v>
      </c>
      <c r="N3341" t="str">
        <f t="shared" ref="N3341:N3342" si="2776">$H3341&amp;""</f>
        <v>9/2</v>
      </c>
      <c r="O3341">
        <v>61605.66</v>
      </c>
      <c r="P3341" t="str">
        <f t="shared" ref="P3341:P3342" si="2777">$J3341&amp;""</f>
        <v>o</v>
      </c>
      <c r="Q3341" t="str">
        <f t="shared" ref="Q3341:Q3342" si="2778">$K3341&amp;""</f>
        <v>7/2</v>
      </c>
      <c r="R3341">
        <v>31</v>
      </c>
      <c r="AA3341" s="10">
        <f t="shared" si="2762"/>
        <v>2494.855</v>
      </c>
      <c r="AB3341" s="3">
        <f t="shared" si="2763"/>
        <v>40070.400000000001</v>
      </c>
      <c r="AC3341" s="3" cm="1">
        <f t="array" ref="AC3341">100000000/LvacE(AA3341)</f>
        <v>40070.405178409674</v>
      </c>
      <c r="AD3341" s="10">
        <f t="shared" si="2764"/>
        <v>1.3030608027001504E-2</v>
      </c>
      <c r="AE3341" s="10" t="b">
        <f t="shared" si="2765"/>
        <v>1</v>
      </c>
      <c r="AJ3341" t="s">
        <v>4798</v>
      </c>
      <c r="AK3341" t="s">
        <v>4822</v>
      </c>
      <c r="AL3341">
        <v>21535.17</v>
      </c>
      <c r="AM3341">
        <v>61605.66</v>
      </c>
      <c r="AN3341" s="10" cm="1">
        <f t="array" ref="AN3341">Lair(100000000/($AM3341-$AL3341))</f>
        <v>2494.8497195536629</v>
      </c>
      <c r="AO3341" s="10">
        <f t="shared" ref="AO3341:AO3342" si="2779">100000000/($AM3341-$AL3341)</f>
        <v>2495.6021251549455</v>
      </c>
      <c r="AP3341" s="12">
        <v>7700000</v>
      </c>
      <c r="AQ3341" s="3">
        <v>0.02</v>
      </c>
      <c r="AR3341" s="3"/>
      <c r="AS3341" s="13">
        <f t="shared" ref="AS3341:AS3342" si="2780">EXP(AR$4341*$AM3341+AR$4342)*$AP3341/(100000000/($AM3341-$AL3341))</f>
        <v>2.678765016892656</v>
      </c>
      <c r="AT3341" s="3"/>
      <c r="AU3341" s="13" cm="1">
        <f t="array" ref="AU3341">$C3341*EXP(poly_from_str(100000000/$E3341,AU$4343))</f>
        <v>10.563804172317079</v>
      </c>
      <c r="AV3341" s="13"/>
      <c r="AW3341" s="13"/>
      <c r="AX3341" s="13"/>
      <c r="AY3341" s="13"/>
    </row>
    <row r="3342" spans="1:51" x14ac:dyDescent="0.25">
      <c r="A3342" t="s">
        <v>3917</v>
      </c>
      <c r="B3342" s="2" t="str">
        <f t="shared" si="2761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2775"/>
        <v>e</v>
      </c>
      <c r="N3342" t="str">
        <f t="shared" si="2776"/>
        <v>9/2</v>
      </c>
      <c r="O3342">
        <v>67679.210000000006</v>
      </c>
      <c r="P3342" t="str">
        <f t="shared" si="2777"/>
        <v>o</v>
      </c>
      <c r="Q3342" t="str">
        <f t="shared" si="2778"/>
        <v>7/2</v>
      </c>
      <c r="R3342">
        <v>31</v>
      </c>
      <c r="AA3342" s="10">
        <f t="shared" si="2762"/>
        <v>2494.5729999999999</v>
      </c>
      <c r="AB3342" s="3">
        <f t="shared" si="2763"/>
        <v>40074.93</v>
      </c>
      <c r="AC3342" s="3" cm="1">
        <f t="array" ref="AC3342">100000000/LvacE(AA3342)</f>
        <v>40074.934639232073</v>
      </c>
      <c r="AD3342" s="10">
        <f t="shared" si="2764"/>
        <v>1.3032423713243122E-2</v>
      </c>
      <c r="AE3342" s="10" t="b">
        <f t="shared" si="2765"/>
        <v>1</v>
      </c>
      <c r="AJ3342" t="s">
        <v>4718</v>
      </c>
      <c r="AK3342" t="s">
        <v>4861</v>
      </c>
      <c r="AL3342">
        <v>27604.26</v>
      </c>
      <c r="AM3342">
        <v>67679.210000000006</v>
      </c>
      <c r="AN3342" s="10" cm="1">
        <f t="array" ref="AN3342">Lair(100000000/($AM3342-$AL3342))</f>
        <v>2494.5720448189404</v>
      </c>
      <c r="AO3342" s="10">
        <f t="shared" si="2779"/>
        <v>2495.3243859318595</v>
      </c>
      <c r="AP3342" s="12">
        <v>24400000</v>
      </c>
      <c r="AQ3342" s="3">
        <v>3.5000000000000003E-2</v>
      </c>
      <c r="AR3342" s="3"/>
      <c r="AS3342" s="13">
        <f t="shared" si="2780"/>
        <v>5.3818367880848443</v>
      </c>
      <c r="AT3342" s="3"/>
      <c r="AU3342" s="13" cm="1">
        <f t="array" ref="AU3342">$C3342*EXP(poly_from_str(100000000/$E3342,AU$4343))</f>
        <v>10.568326737487689</v>
      </c>
      <c r="AV3342" s="13"/>
      <c r="AW3342" s="13"/>
      <c r="AX3342" s="13"/>
      <c r="AY3342" s="13"/>
    </row>
    <row r="3343" spans="1:51" x14ac:dyDescent="0.25">
      <c r="A3343" t="s">
        <v>3918</v>
      </c>
      <c r="B3343" s="2" t="str">
        <f t="shared" si="2761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2762"/>
        <v>2494.5160000000001</v>
      </c>
      <c r="AB3343" s="3">
        <f t="shared" si="2763"/>
        <v>40075.85</v>
      </c>
      <c r="AC3343" s="3" cm="1">
        <f t="array" ref="AC3343">100000000/LvacE(AA3343)</f>
        <v>40075.850292949188</v>
      </c>
      <c r="AD3343" s="10">
        <f t="shared" si="2764"/>
        <v>1.3032790788463412E-2</v>
      </c>
      <c r="AE3343" s="10" t="b">
        <f t="shared" si="2765"/>
        <v>1</v>
      </c>
      <c r="AP3343"/>
      <c r="AQ3343"/>
      <c r="AU3343" s="13" cm="1">
        <f t="array" ref="AU3343">$C3343*EXP(poly_from_str(100000000/$E3343,AU$4343))</f>
        <v>3.5230814494986542</v>
      </c>
    </row>
    <row r="3344" spans="1:51" x14ac:dyDescent="0.25">
      <c r="A3344" t="s">
        <v>3919</v>
      </c>
      <c r="B3344" s="2" t="str">
        <f t="shared" si="2761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2762"/>
        <v>2494.3150000000001</v>
      </c>
      <c r="AB3344" s="3">
        <f t="shared" si="2763"/>
        <v>40079.08</v>
      </c>
      <c r="AC3344" s="3" cm="1">
        <f t="array" ref="AC3344">100000000/LvacE(AA3344)</f>
        <v>40079.079511044874</v>
      </c>
      <c r="AD3344" s="10">
        <f t="shared" si="2764"/>
        <v>1.3034085412436856E-2</v>
      </c>
      <c r="AE3344" s="10" t="b">
        <f t="shared" si="2765"/>
        <v>1</v>
      </c>
      <c r="AP3344"/>
      <c r="AQ3344"/>
      <c r="AU3344" s="13" cm="1">
        <f t="array" ref="AU3344">$C3344*EXP(poly_from_str(100000000/$E3344,AU$4343))</f>
        <v>3.5241545419692768</v>
      </c>
    </row>
    <row r="3345" spans="1:51" x14ac:dyDescent="0.25">
      <c r="A3345" t="s">
        <v>3920</v>
      </c>
      <c r="B3345" s="2" t="str">
        <f t="shared" si="2761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2762"/>
        <v>2494.1990000000001</v>
      </c>
      <c r="AB3345" s="3">
        <f t="shared" si="2763"/>
        <v>40080.94</v>
      </c>
      <c r="AC3345" s="3" cm="1">
        <f t="array" ref="AC3345">100000000/LvacE(AA3345)</f>
        <v>40080.943376224379</v>
      </c>
      <c r="AD3345" s="10">
        <f t="shared" si="2764"/>
        <v>1.3034832701044378E-2</v>
      </c>
      <c r="AE3345" s="10" t="b">
        <f t="shared" si="2765"/>
        <v>1</v>
      </c>
      <c r="AJ3345" t="s">
        <v>4708</v>
      </c>
      <c r="AK3345" t="s">
        <v>4857</v>
      </c>
      <c r="AL3345">
        <v>28720.71</v>
      </c>
      <c r="AM3345">
        <v>68801.67</v>
      </c>
      <c r="AN3345" s="10" cm="1">
        <f t="array" ref="AN3345">Lair(100000000/($AM3345-$AL3345))</f>
        <v>2494.1979665114382</v>
      </c>
      <c r="AO3345" s="10">
        <f>100000000/($AM3345-$AL3345)</f>
        <v>2494.9502207531955</v>
      </c>
      <c r="AP3345" s="12">
        <v>118000000</v>
      </c>
      <c r="AQ3345" s="3">
        <v>0.1</v>
      </c>
      <c r="AR3345" s="3">
        <f>LN(AU3345*100000000/($AM3345-$AL3345)/AP3345)</f>
        <v>-7.2017702977602367</v>
      </c>
      <c r="AS3345" s="13">
        <f>EXP(AR$4341*$AM3345+AR$4342)*$AP3345/(100000000/($AM3345-$AL3345))</f>
        <v>23.927877221492199</v>
      </c>
      <c r="AT3345" s="3">
        <f>LN(AS3345/$C3345)</f>
        <v>0.8724590971557844</v>
      </c>
      <c r="AU3345" s="13" cm="1">
        <f t="array" ref="AU3345">$C3345*EXP(poly_from_str(100000000/$E3345,AU$4343))</f>
        <v>35.247719364474015</v>
      </c>
      <c r="AV3345" s="13">
        <f>LN(AS3345/AU3345)</f>
        <v>-0.38735663813521504</v>
      </c>
      <c r="AW3345" s="13"/>
      <c r="AX3345" s="13"/>
      <c r="AY3345" s="13"/>
    </row>
    <row r="3346" spans="1:51" x14ac:dyDescent="0.25">
      <c r="A3346" t="s">
        <v>3921</v>
      </c>
      <c r="B3346" s="2" t="str">
        <f t="shared" si="2761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2762"/>
        <v>2493.998</v>
      </c>
      <c r="AB3346" s="3">
        <f t="shared" si="2763"/>
        <v>40084.17</v>
      </c>
      <c r="AC3346" s="3" cm="1">
        <f t="array" ref="AC3346">100000000/LvacE(AA3346)</f>
        <v>40084.173415129088</v>
      </c>
      <c r="AD3346" s="10">
        <f t="shared" si="2764"/>
        <v>1.3036127818692934E-2</v>
      </c>
      <c r="AE3346" s="10" t="b">
        <f t="shared" si="2765"/>
        <v>1</v>
      </c>
      <c r="AP3346"/>
      <c r="AQ3346"/>
      <c r="AU3346" s="13" cm="1">
        <f t="array" ref="AU3346">$C3346*EXP(poly_from_str(100000000/$E3346,AU$4343))</f>
        <v>3.5258431338812199</v>
      </c>
    </row>
    <row r="3347" spans="1:51" x14ac:dyDescent="0.25">
      <c r="A3347" t="s">
        <v>3922</v>
      </c>
      <c r="B3347" s="2" t="str">
        <f t="shared" si="2761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2781">$G3347&amp;""</f>
        <v>o</v>
      </c>
      <c r="N3347" t="str">
        <f t="shared" ref="N3347:N3353" si="2782">$H3347&amp;""</f>
        <v>9/2</v>
      </c>
      <c r="O3347">
        <v>101446.27</v>
      </c>
      <c r="P3347" t="str">
        <f t="shared" ref="P3347:P3353" si="2783">$J3347&amp;""</f>
        <v>e</v>
      </c>
      <c r="Q3347" t="str">
        <f t="shared" ref="Q3347:Q3353" si="2784">$K3347&amp;""</f>
        <v>7/2</v>
      </c>
      <c r="R3347">
        <v>31</v>
      </c>
      <c r="AA3347" s="10">
        <f t="shared" si="2762"/>
        <v>2493.6849999999999</v>
      </c>
      <c r="AB3347" s="3">
        <f t="shared" si="2763"/>
        <v>40089.199999999997</v>
      </c>
      <c r="AC3347" s="3" cm="1">
        <f t="array" ref="AC3347">100000000/LvacE(AA3347)</f>
        <v>40089.204313325732</v>
      </c>
      <c r="AD3347" s="10">
        <f t="shared" si="2764"/>
        <v>1.3038145217484514E-2</v>
      </c>
      <c r="AE3347" s="10" t="b">
        <f t="shared" si="2765"/>
        <v>1</v>
      </c>
      <c r="AJ3347" t="s">
        <v>4903</v>
      </c>
      <c r="AK3347" t="s">
        <v>4908</v>
      </c>
      <c r="AL3347">
        <v>61357.04</v>
      </c>
      <c r="AM3347">
        <v>101446.27</v>
      </c>
      <c r="AN3347" s="10" cm="1">
        <f t="array" ref="AN3347">Lair(100000000/($AM3347-$AL3347))</f>
        <v>2493.6834031656549</v>
      </c>
      <c r="AO3347" s="10">
        <f t="shared" ref="AO3347:AO3353" si="2785">100000000/($AM3347-$AL3347)</f>
        <v>2494.4355379237763</v>
      </c>
      <c r="AP3347" s="12">
        <v>561000000</v>
      </c>
      <c r="AQ3347" s="3">
        <v>0.30299999999999999</v>
      </c>
      <c r="AR3347" s="3">
        <f>LN(AU3347*100000000/($AM3347-$AL3347)/AP3347)</f>
        <v>-9.2710623171235156</v>
      </c>
      <c r="AS3347" s="13">
        <f t="shared" ref="AS3347:AS3353" si="2786">EXP(AR$4341*$AM3347+AR$4342)*$AP3347/(100000000/($AM3347-$AL3347))</f>
        <v>9.8199430661408211</v>
      </c>
      <c r="AT3347" s="3">
        <f t="shared" ref="AT3347:AT3353" si="2787">LN(AS3347/$C3347)</f>
        <v>0.49265585537617862</v>
      </c>
      <c r="AU3347" s="13" cm="1">
        <f t="array" ref="AU3347">$C3347*EXP(poly_from_str(100000000/$E3347,AU$4343))</f>
        <v>21.165053486256912</v>
      </c>
      <c r="AV3347" s="13">
        <f>LN(AS3347/AU3347)</f>
        <v>-0.76793607647422057</v>
      </c>
      <c r="AW3347" s="13"/>
      <c r="AX3347" s="13"/>
      <c r="AY3347" s="13"/>
    </row>
    <row r="3348" spans="1:51" x14ac:dyDescent="0.25">
      <c r="A3348" t="s">
        <v>3923</v>
      </c>
      <c r="B3348" s="2" t="str">
        <f t="shared" si="2761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2781"/>
        <v>e</v>
      </c>
      <c r="N3348" t="str">
        <f t="shared" si="2782"/>
        <v>3/2</v>
      </c>
      <c r="O3348">
        <v>64401.03</v>
      </c>
      <c r="P3348" t="str">
        <f t="shared" si="2783"/>
        <v>o</v>
      </c>
      <c r="Q3348" t="str">
        <f t="shared" si="2784"/>
        <v>5/2</v>
      </c>
      <c r="R3348">
        <v>31</v>
      </c>
      <c r="S3348" t="s">
        <v>97</v>
      </c>
      <c r="AA3348" s="10">
        <f t="shared" si="2762"/>
        <v>2493.5230000000001</v>
      </c>
      <c r="AB3348" s="3">
        <f t="shared" si="2763"/>
        <v>40091.81</v>
      </c>
      <c r="AC3348" s="3" cm="1">
        <f t="array" ref="AC3348">100000000/LvacE(AA3348)</f>
        <v>40091.808660738519</v>
      </c>
      <c r="AD3348" s="10">
        <f t="shared" si="2764"/>
        <v>1.3039189664731089E-2</v>
      </c>
      <c r="AE3348" s="10" t="b">
        <f t="shared" si="2765"/>
        <v>1</v>
      </c>
      <c r="AJ3348" t="s">
        <v>4749</v>
      </c>
      <c r="AK3348" t="s">
        <v>4837</v>
      </c>
      <c r="AL3348">
        <v>24309.200000000001</v>
      </c>
      <c r="AM3348">
        <v>64401.03</v>
      </c>
      <c r="AN3348" s="10" cm="1">
        <f t="array" ref="AN3348">Lair(100000000/($AM3348-$AL3348))</f>
        <v>2493.5216737834608</v>
      </c>
      <c r="AO3348" s="10">
        <f t="shared" si="2785"/>
        <v>2494.273770990249</v>
      </c>
      <c r="AP3348" s="12">
        <v>13200000</v>
      </c>
      <c r="AQ3348" s="3">
        <v>2.9000000000000001E-2</v>
      </c>
      <c r="AR3348" s="3"/>
      <c r="AS3348" s="13">
        <f t="shared" si="2786"/>
        <v>3.7251284446121296</v>
      </c>
      <c r="AT3348" s="3"/>
      <c r="AU3348" s="13" cm="1">
        <f t="array" ref="AU3348">$C3348*EXP(poly_from_str(100000000/$E3348,AU$4343))</f>
        <v>28.226977103803907</v>
      </c>
      <c r="AV3348" s="13"/>
      <c r="AW3348" s="13"/>
      <c r="AX3348" s="13"/>
      <c r="AY3348" s="13"/>
    </row>
    <row r="3349" spans="1:51" x14ac:dyDescent="0.25">
      <c r="A3349" t="s">
        <v>3924</v>
      </c>
      <c r="B3349" s="2" t="str">
        <f t="shared" si="2761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2781"/>
        <v>e</v>
      </c>
      <c r="N3349" t="str">
        <f t="shared" si="2782"/>
        <v>7/2</v>
      </c>
      <c r="O3349">
        <v>67240.350000000006</v>
      </c>
      <c r="P3349" t="str">
        <f t="shared" si="2783"/>
        <v>o</v>
      </c>
      <c r="Q3349" t="str">
        <f t="shared" si="2784"/>
        <v>7/2</v>
      </c>
      <c r="R3349">
        <v>31</v>
      </c>
      <c r="AA3349" s="10">
        <f t="shared" si="2762"/>
        <v>2492.9070000000002</v>
      </c>
      <c r="AB3349" s="3">
        <f t="shared" si="2763"/>
        <v>40101.71</v>
      </c>
      <c r="AC3349" s="3" cm="1">
        <f t="array" ref="AC3349">100000000/LvacE(AA3349)</f>
        <v>40101.714701544406</v>
      </c>
      <c r="AD3349" s="10">
        <f t="shared" si="2764"/>
        <v>1.3043163002379232E-2</v>
      </c>
      <c r="AE3349" s="10" t="b">
        <f t="shared" si="2765"/>
        <v>1</v>
      </c>
      <c r="AJ3349" t="s">
        <v>4723</v>
      </c>
      <c r="AK3349" t="s">
        <v>4852</v>
      </c>
      <c r="AL3349">
        <v>27138.55</v>
      </c>
      <c r="AM3349">
        <v>67240.350000000006</v>
      </c>
      <c r="AN3349" s="10" cm="1">
        <f t="array" ref="AN3349">Lair(100000000/($AM3349-$AL3349))</f>
        <v>2492.9016981873283</v>
      </c>
      <c r="AO3349" s="10">
        <f t="shared" si="2785"/>
        <v>2493.6536514570416</v>
      </c>
      <c r="AP3349" s="12">
        <v>41900000</v>
      </c>
      <c r="AQ3349" s="3">
        <v>6.0999999999999999E-2</v>
      </c>
      <c r="AR3349" s="3">
        <f t="shared" ref="AR3349:AR3353" si="2788">LN(AU3349*100000000/($AM3349-$AL3349)/AP3349)</f>
        <v>-6.6757704544243888</v>
      </c>
      <c r="AS3349" s="13">
        <f t="shared" si="2786"/>
        <v>9.5576053783804351</v>
      </c>
      <c r="AT3349" s="3">
        <f t="shared" si="2787"/>
        <v>0.46557774302603139</v>
      </c>
      <c r="AU3349" s="13" cm="1">
        <f t="array" ref="AU3349">$C3349*EXP(poly_from_str(100000000/$E3349,AU$4343))</f>
        <v>21.189837140710384</v>
      </c>
      <c r="AV3349" s="13">
        <f t="shared" ref="AV3349:AV3353" si="2789">LN(AS3349/AU3349)</f>
        <v>-0.79618447432930872</v>
      </c>
      <c r="AW3349" s="13"/>
      <c r="AX3349" s="13"/>
      <c r="AY3349" s="13"/>
    </row>
    <row r="3350" spans="1:51" x14ac:dyDescent="0.25">
      <c r="A3350" t="s">
        <v>3925</v>
      </c>
      <c r="B3350" s="2" t="str">
        <f t="shared" si="2761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2781"/>
        <v>e</v>
      </c>
      <c r="N3350" t="str">
        <f t="shared" si="2782"/>
        <v>9/2</v>
      </c>
      <c r="O3350">
        <v>60419.73</v>
      </c>
      <c r="P3350" t="str">
        <f t="shared" si="2783"/>
        <v>o</v>
      </c>
      <c r="Q3350" t="str">
        <f t="shared" si="2784"/>
        <v>11/2</v>
      </c>
      <c r="R3350">
        <v>31</v>
      </c>
      <c r="AA3350" s="10">
        <f t="shared" si="2762"/>
        <v>2492.7640000000001</v>
      </c>
      <c r="AB3350" s="3">
        <f t="shared" si="2763"/>
        <v>40104.01</v>
      </c>
      <c r="AC3350" s="3" cm="1">
        <f t="array" ref="AC3350">100000000/LvacE(AA3350)</f>
        <v>40104.015018255799</v>
      </c>
      <c r="AD3350" s="10">
        <f t="shared" si="2764"/>
        <v>1.3044085805606908E-2</v>
      </c>
      <c r="AE3350" s="10" t="b">
        <f t="shared" si="2765"/>
        <v>1</v>
      </c>
      <c r="AJ3350" t="s">
        <v>4964</v>
      </c>
      <c r="AK3350" t="s">
        <v>4849</v>
      </c>
      <c r="AL3350">
        <v>20315.650000000001</v>
      </c>
      <c r="AM3350">
        <v>60419.73</v>
      </c>
      <c r="AN3350" s="10" cm="1">
        <f t="array" ref="AN3350">Lair(100000000/($AM3350-$AL3350))</f>
        <v>2492.7599617166215</v>
      </c>
      <c r="AO3350" s="10">
        <f t="shared" si="2785"/>
        <v>2493.5118820828202</v>
      </c>
      <c r="AP3350" s="12">
        <v>14600000</v>
      </c>
      <c r="AQ3350" s="3">
        <v>0.224</v>
      </c>
      <c r="AR3350" s="3">
        <f t="shared" si="2788"/>
        <v>-6.7199608201685512</v>
      </c>
      <c r="AS3350" s="13">
        <f t="shared" si="2786"/>
        <v>5.5566488355258778</v>
      </c>
      <c r="AT3350" s="3">
        <f t="shared" si="2787"/>
        <v>1.0218480185659495</v>
      </c>
      <c r="AU3350" s="13" cm="1">
        <f t="array" ref="AU3350">$C3350*EXP(poly_from_str(100000000/$E3350,AU$4343))</f>
        <v>7.0647941301429018</v>
      </c>
      <c r="AV3350" s="13">
        <f t="shared" si="2789"/>
        <v>-0.24012867718658759</v>
      </c>
      <c r="AW3350" s="13"/>
      <c r="AX3350" s="13"/>
      <c r="AY3350" s="13"/>
    </row>
    <row r="3351" spans="1:51" x14ac:dyDescent="0.25">
      <c r="A3351" t="s">
        <v>3926</v>
      </c>
      <c r="B3351" s="2" t="str">
        <f t="shared" si="2761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2781"/>
        <v>e</v>
      </c>
      <c r="N3351" t="str">
        <f t="shared" si="2782"/>
        <v>5/2</v>
      </c>
      <c r="O3351">
        <v>61717.98</v>
      </c>
      <c r="P3351" t="str">
        <f t="shared" si="2783"/>
        <v>o</v>
      </c>
      <c r="Q3351" t="str">
        <f t="shared" si="2784"/>
        <v>5/2</v>
      </c>
      <c r="R3351">
        <v>31</v>
      </c>
      <c r="AA3351" s="10">
        <f t="shared" si="2762"/>
        <v>2492.5949999999998</v>
      </c>
      <c r="AB3351" s="3">
        <f t="shared" si="2763"/>
        <v>40106.730000000003</v>
      </c>
      <c r="AC3351" s="3" cm="1">
        <f t="array" ref="AC3351">100000000/LvacE(AA3351)</f>
        <v>40106.733914607052</v>
      </c>
      <c r="AD3351" s="10">
        <f t="shared" si="2764"/>
        <v>1.3045176595998759E-2</v>
      </c>
      <c r="AE3351" s="10" t="b">
        <f t="shared" si="2765"/>
        <v>1</v>
      </c>
      <c r="AJ3351" t="s">
        <v>4796</v>
      </c>
      <c r="AK3351" t="s">
        <v>4880</v>
      </c>
      <c r="AL3351">
        <v>21611.19</v>
      </c>
      <c r="AM3351">
        <v>61717.98</v>
      </c>
      <c r="AN3351" s="10" cm="1">
        <f t="array" ref="AN3351">Lair(100000000/($AM3351-$AL3351))</f>
        <v>2492.591515203846</v>
      </c>
      <c r="AO3351" s="10">
        <f t="shared" si="2785"/>
        <v>2493.3433964672809</v>
      </c>
      <c r="AP3351" s="12">
        <v>13400000</v>
      </c>
      <c r="AQ3351" s="3">
        <v>8.4000000000000005E-2</v>
      </c>
      <c r="AR3351" s="3">
        <f t="shared" si="2788"/>
        <v>-5.5353959076753512</v>
      </c>
      <c r="AS3351" s="13">
        <f t="shared" si="2786"/>
        <v>4.6268046675145209</v>
      </c>
      <c r="AT3351" s="3">
        <f t="shared" si="2787"/>
        <v>-0.25989297598973954</v>
      </c>
      <c r="AU3351" s="13" cm="1">
        <f t="array" ref="AU3351">$C3351*EXP(poly_from_str(100000000/$E3351,AU$4343))</f>
        <v>21.199753175333264</v>
      </c>
      <c r="AV3351" s="13">
        <f t="shared" si="2789"/>
        <v>-1.5221230456989157</v>
      </c>
      <c r="AW3351" s="13"/>
      <c r="AX3351" s="13"/>
      <c r="AY3351" s="13"/>
    </row>
    <row r="3352" spans="1:51" x14ac:dyDescent="0.25">
      <c r="A3352" t="s">
        <v>3927</v>
      </c>
      <c r="B3352" s="2" t="str">
        <f t="shared" si="2761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2781"/>
        <v>e</v>
      </c>
      <c r="N3352" t="str">
        <f t="shared" si="2782"/>
        <v>9/2</v>
      </c>
      <c r="O3352">
        <v>58174.15</v>
      </c>
      <c r="P3352" t="str">
        <f t="shared" si="2783"/>
        <v>o</v>
      </c>
      <c r="Q3352" t="str">
        <f t="shared" si="2784"/>
        <v>9/2</v>
      </c>
      <c r="R3352">
        <v>31</v>
      </c>
      <c r="AA3352" s="10">
        <f t="shared" si="2762"/>
        <v>2492.346</v>
      </c>
      <c r="AB3352" s="3">
        <f t="shared" si="2763"/>
        <v>40110.74</v>
      </c>
      <c r="AC3352" s="3" cm="1">
        <f t="array" ref="AC3352">100000000/LvacE(AA3352)</f>
        <v>40110.740534246201</v>
      </c>
      <c r="AD3352" s="10">
        <f t="shared" si="2764"/>
        <v>1.3046784141175865E-2</v>
      </c>
      <c r="AE3352" s="10" t="b">
        <f t="shared" si="2765"/>
        <v>1</v>
      </c>
      <c r="AJ3352" t="s">
        <v>4744</v>
      </c>
      <c r="AK3352" t="s">
        <v>4698</v>
      </c>
      <c r="AL3352">
        <v>18063.36</v>
      </c>
      <c r="AM3352">
        <v>58174.15</v>
      </c>
      <c r="AN3352" s="10" cm="1">
        <f t="array" ref="AN3352">Lair(100000000/($AM3352-$AL3352))</f>
        <v>2492.3429272543758</v>
      </c>
      <c r="AO3352" s="10">
        <f t="shared" si="2785"/>
        <v>2493.0947508139329</v>
      </c>
      <c r="AP3352" s="12">
        <v>11500000</v>
      </c>
      <c r="AQ3352" s="3">
        <v>5.3999999999999999E-2</v>
      </c>
      <c r="AR3352" s="3">
        <f t="shared" si="2788"/>
        <v>-5.3822149549528122</v>
      </c>
      <c r="AS3352" s="13">
        <f t="shared" si="2786"/>
        <v>5.1810695380857981</v>
      </c>
      <c r="AT3352" s="3">
        <f t="shared" si="2787"/>
        <v>-0.14674795973565841</v>
      </c>
      <c r="AU3352" s="13" cm="1">
        <f t="array" ref="AU3352">$C3352*EXP(poly_from_str(100000000/$E3352,AU$4343))</f>
        <v>21.207662368107449</v>
      </c>
      <c r="AV3352" s="13">
        <f t="shared" si="2789"/>
        <v>-1.409351039342492</v>
      </c>
      <c r="AW3352" s="13"/>
      <c r="AX3352" s="13"/>
      <c r="AY3352" s="13"/>
    </row>
    <row r="3353" spans="1:51" x14ac:dyDescent="0.25">
      <c r="A3353" t="s">
        <v>3928</v>
      </c>
      <c r="B3353" s="2" t="str">
        <f t="shared" si="2761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2781"/>
        <v>e</v>
      </c>
      <c r="N3353" t="str">
        <f t="shared" si="2782"/>
        <v>7/2</v>
      </c>
      <c r="O3353">
        <v>63768.66</v>
      </c>
      <c r="P3353" t="str">
        <f t="shared" si="2783"/>
        <v>o</v>
      </c>
      <c r="Q3353" t="str">
        <f t="shared" si="2784"/>
        <v>7/2</v>
      </c>
      <c r="R3353">
        <v>31</v>
      </c>
      <c r="S3353" t="s">
        <v>2205</v>
      </c>
      <c r="AA3353" s="10">
        <f t="shared" si="2762"/>
        <v>2491.973</v>
      </c>
      <c r="AB3353" s="3">
        <f t="shared" si="2763"/>
        <v>40116.74</v>
      </c>
      <c r="AC3353" s="3" cm="1">
        <f t="array" ref="AC3353">100000000/LvacE(AA3353)</f>
        <v>40116.743916160347</v>
      </c>
      <c r="AD3353" s="10">
        <f t="shared" si="2764"/>
        <v>1.3049193132542037E-2</v>
      </c>
      <c r="AE3353" s="10" t="b">
        <f t="shared" si="2765"/>
        <v>1</v>
      </c>
      <c r="AJ3353" t="s">
        <v>4759</v>
      </c>
      <c r="AK3353" t="s">
        <v>4850</v>
      </c>
      <c r="AL3353">
        <v>23651.88</v>
      </c>
      <c r="AM3353">
        <v>63768.66</v>
      </c>
      <c r="AN3353" s="10" cm="1">
        <f t="array" ref="AN3353">Lair(100000000/($AM3353-$AL3353))</f>
        <v>2491.9707594953779</v>
      </c>
      <c r="AO3353" s="10">
        <f t="shared" si="2785"/>
        <v>2492.7224966709691</v>
      </c>
      <c r="AP3353" s="12">
        <v>74500000</v>
      </c>
      <c r="AQ3353" s="3">
        <v>0.1</v>
      </c>
      <c r="AR3353" s="3">
        <f t="shared" si="2788"/>
        <v>-6.7394337966494318</v>
      </c>
      <c r="AS3353" s="13">
        <f t="shared" si="2786"/>
        <v>22.059935193813512</v>
      </c>
      <c r="AT3353" s="3">
        <f t="shared" si="2787"/>
        <v>0.79117798310322007</v>
      </c>
      <c r="AU3353" s="13" cm="1">
        <f t="array" ref="AU3353">$C3353*EXP(poly_from_str(100000000/$E3353,AU$4343))</f>
        <v>35.365795434728341</v>
      </c>
      <c r="AV3353" s="13">
        <f t="shared" si="2789"/>
        <v>-0.47198204628332019</v>
      </c>
      <c r="AW3353" s="13"/>
      <c r="AX3353" s="13"/>
      <c r="AY3353" s="13"/>
    </row>
    <row r="3354" spans="1:51" x14ac:dyDescent="0.25">
      <c r="A3354" t="s">
        <v>3929</v>
      </c>
      <c r="B3354" s="2" t="str">
        <f t="shared" si="2761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2762"/>
        <v>2491.6190000000001</v>
      </c>
      <c r="AB3354" s="3">
        <f t="shared" si="2763"/>
        <v>40122.44</v>
      </c>
      <c r="AC3354" s="3" cm="1">
        <f t="array" ref="AC3354">100000000/LvacE(AA3354)</f>
        <v>40122.443157983151</v>
      </c>
      <c r="AD3354" s="10">
        <f t="shared" si="2764"/>
        <v>1.3051480414538328E-2</v>
      </c>
      <c r="AE3354" s="10" t="b">
        <f t="shared" si="2765"/>
        <v>1</v>
      </c>
      <c r="AP3354"/>
      <c r="AQ3354"/>
      <c r="AU3354" s="13" cm="1">
        <f t="array" ref="AU3354">$C3354*EXP(poly_from_str(100000000/$E3354,AU$4343))</f>
        <v>3.5384467061500198</v>
      </c>
    </row>
    <row r="3355" spans="1:51" x14ac:dyDescent="0.25">
      <c r="A3355" t="s">
        <v>3930</v>
      </c>
      <c r="B3355" s="2" t="str">
        <f t="shared" si="2761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3810</v>
      </c>
      <c r="AA3355" s="10">
        <f t="shared" si="2762"/>
        <v>2491.326</v>
      </c>
      <c r="AB3355" s="3">
        <f t="shared" si="2763"/>
        <v>40127.160000000003</v>
      </c>
      <c r="AC3355" s="3" cm="1">
        <f t="array" ref="AC3355">100000000/LvacE(AA3355)</f>
        <v>40127.161551950601</v>
      </c>
      <c r="AD3355" s="10">
        <f t="shared" si="2764"/>
        <v>1.3053374297853953E-2</v>
      </c>
      <c r="AE3355" s="10" t="b">
        <f t="shared" si="2765"/>
        <v>1</v>
      </c>
      <c r="AJ3355" t="s">
        <v>4850</v>
      </c>
      <c r="AK3355" t="s">
        <v>4952</v>
      </c>
      <c r="AL3355">
        <v>63768.66</v>
      </c>
      <c r="AM3355">
        <v>103895.83</v>
      </c>
      <c r="AN3355" s="10" cm="1">
        <f t="array" ref="AN3355">Lair(100000000/($AM3355-$AL3355))</f>
        <v>2491.3254765782294</v>
      </c>
      <c r="AO3355" s="10">
        <f>100000000/($AM3355-$AL3355)</f>
        <v>2492.0770639942962</v>
      </c>
      <c r="AP3355" s="12">
        <v>1110000000</v>
      </c>
      <c r="AQ3355" s="3">
        <v>0.58299999999999996</v>
      </c>
      <c r="AR3355" s="3">
        <f>LN(AU3355*100000000/($AM3355-$AL3355)/AP3355)</f>
        <v>-9.9508705975795007</v>
      </c>
      <c r="AS3355" s="13">
        <f>EXP(AR$4341*$AM3355+AR$4342)*$AP3355/(100000000/($AM3355-$AL3355))</f>
        <v>16.182398084699361</v>
      </c>
      <c r="AT3355" s="3">
        <f>LN(AS3355/$C3355)</f>
        <v>0.99216464431844498</v>
      </c>
      <c r="AU3355" s="13" cm="1">
        <f t="array" ref="AU3355">$C3355*EXP(poly_from_str(100000000/$E3355,AU$4343))</f>
        <v>21.239941682090187</v>
      </c>
      <c r="AV3355" s="13">
        <f>LN(AS3355/AU3355)</f>
        <v>-0.27195933715916493</v>
      </c>
      <c r="AW3355" s="13"/>
      <c r="AX3355" s="13"/>
      <c r="AY3355" s="13"/>
    </row>
    <row r="3356" spans="1:51" x14ac:dyDescent="0.25">
      <c r="A3356" t="s">
        <v>3931</v>
      </c>
      <c r="B3356" s="2" t="str">
        <f t="shared" si="2761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2762"/>
        <v>2491.2370000000001</v>
      </c>
      <c r="AB3356" s="3">
        <f t="shared" si="2763"/>
        <v>40128.589999999997</v>
      </c>
      <c r="AC3356" s="3" cm="1">
        <f t="array" ref="AC3356">100000000/LvacE(AA3356)</f>
        <v>40128.595003986382</v>
      </c>
      <c r="AD3356" s="10">
        <f t="shared" si="2764"/>
        <v>1.305394970530431E-2</v>
      </c>
      <c r="AE3356" s="10" t="b">
        <f t="shared" si="2765"/>
        <v>1</v>
      </c>
      <c r="AP3356"/>
      <c r="AQ3356"/>
      <c r="AU3356" s="13" cm="1">
        <f t="array" ref="AU3356">$C3356*EXP(poly_from_str(100000000/$E3356,AU$4343))</f>
        <v>7.080914952775001</v>
      </c>
    </row>
    <row r="3357" spans="1:51" x14ac:dyDescent="0.25">
      <c r="A3357" t="s">
        <v>3932</v>
      </c>
      <c r="B3357" s="2" t="str">
        <f t="shared" si="2761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2762"/>
        <v>2491.087</v>
      </c>
      <c r="AB3357" s="3">
        <f t="shared" si="2763"/>
        <v>40131.01</v>
      </c>
      <c r="AC3357" s="3" cm="1">
        <f t="array" ref="AC3357">100000000/LvacE(AA3357)</f>
        <v>40131.011166141718</v>
      </c>
      <c r="AD3357" s="10">
        <f t="shared" si="2764"/>
        <v>1.3054919632702857E-2</v>
      </c>
      <c r="AE3357" s="10" t="b">
        <f t="shared" si="2765"/>
        <v>1</v>
      </c>
      <c r="AP3357"/>
      <c r="AQ3357"/>
      <c r="AU3357" s="13" cm="1">
        <f t="array" ref="AU3357">$C3357*EXP(poly_from_str(100000000/$E3357,AU$4343))</f>
        <v>3.5412476376555153</v>
      </c>
    </row>
    <row r="3358" spans="1:51" x14ac:dyDescent="0.25">
      <c r="A3358" t="s">
        <v>3933</v>
      </c>
      <c r="B3358" s="2" t="str">
        <f t="shared" si="2761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2762"/>
        <v>2490.6179999999999</v>
      </c>
      <c r="AB3358" s="3">
        <f t="shared" si="2763"/>
        <v>40138.57</v>
      </c>
      <c r="AC3358" s="3" cm="1">
        <f t="array" ref="AC3358">100000000/LvacE(AA3358)</f>
        <v>40138.567577108486</v>
      </c>
      <c r="AD3358" s="10">
        <f t="shared" si="2764"/>
        <v>1.3057953402952297E-2</v>
      </c>
      <c r="AE3358" s="10" t="b">
        <f t="shared" si="2765"/>
        <v>1</v>
      </c>
      <c r="AP3358"/>
      <c r="AQ3358"/>
      <c r="AU3358" s="13" cm="1">
        <f t="array" ref="AU3358">$C3358*EXP(poly_from_str(100000000/$E3358,AU$4343))</f>
        <v>3.5437122401521415</v>
      </c>
    </row>
    <row r="3359" spans="1:51" x14ac:dyDescent="0.25">
      <c r="A3359" t="s">
        <v>3934</v>
      </c>
      <c r="B3359" s="2" t="str">
        <f t="shared" si="2761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2762"/>
        <v>2490.194</v>
      </c>
      <c r="AB3359" s="3">
        <f t="shared" si="2763"/>
        <v>40145.4</v>
      </c>
      <c r="AC3359" s="3" cm="1">
        <f t="array" ref="AC3359">100000000/LvacE(AA3359)</f>
        <v>40145.401408751371</v>
      </c>
      <c r="AD3359" s="10">
        <f t="shared" si="2764"/>
        <v>1.3060697561866941E-2</v>
      </c>
      <c r="AE3359" s="10" t="b">
        <f t="shared" si="2765"/>
        <v>1</v>
      </c>
      <c r="AJ3359" t="s">
        <v>4699</v>
      </c>
      <c r="AK3359" t="s">
        <v>4951</v>
      </c>
      <c r="AL3359">
        <v>29263.08</v>
      </c>
      <c r="AM3359">
        <v>69408.509999999995</v>
      </c>
      <c r="AN3359" s="10" cm="1">
        <f t="array" ref="AN3359">Lair(100000000/($AM3359-$AL3359))</f>
        <v>2490.1922275201091</v>
      </c>
      <c r="AO3359" s="10">
        <f>100000000/($AM3359-$AL3359)</f>
        <v>2490.9435519808858</v>
      </c>
      <c r="AP3359" s="12">
        <v>60400000</v>
      </c>
      <c r="AQ3359" s="3">
        <v>3.5000000000000003E-2</v>
      </c>
      <c r="AR3359" s="3"/>
      <c r="AS3359" s="13">
        <f>EXP(AR$4341*$AM3359+AR$4342)*$AP3359/(100000000/($AM3359-$AL3359))</f>
        <v>11.721379676083384</v>
      </c>
      <c r="AT3359" s="3"/>
      <c r="AU3359" s="13" cm="1">
        <f t="array" ref="AU3359">$C3359*EXP(poly_from_str(100000000/$E3359,AU$4343))</f>
        <v>31.913405405556531</v>
      </c>
      <c r="AV3359" s="13"/>
      <c r="AW3359" s="13"/>
      <c r="AX3359" s="13"/>
      <c r="AY3359" s="13"/>
    </row>
    <row r="3360" spans="1:51" x14ac:dyDescent="0.25">
      <c r="A3360" t="s">
        <v>3935</v>
      </c>
      <c r="B3360" s="2" t="str">
        <f t="shared" si="2761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2762"/>
        <v>2489.8710000000001</v>
      </c>
      <c r="AB3360" s="3">
        <f t="shared" si="2763"/>
        <v>40150.61</v>
      </c>
      <c r="AC3360" s="3" cm="1">
        <f t="array" ref="AC3360">100000000/LvacE(AA3360)</f>
        <v>40150.608931778479</v>
      </c>
      <c r="AD3360" s="10">
        <f t="shared" si="2764"/>
        <v>1.3062788982195962E-2</v>
      </c>
      <c r="AE3360" s="10" t="b">
        <f t="shared" si="2765"/>
        <v>1</v>
      </c>
      <c r="AP3360"/>
      <c r="AQ3360"/>
      <c r="AU3360" s="13" cm="1">
        <f t="array" ref="AU3360">$C3360*EXP(poly_from_str(100000000/$E3360,AU$4343))</f>
        <v>17.738127883709446</v>
      </c>
    </row>
    <row r="3361" spans="1:51" x14ac:dyDescent="0.25">
      <c r="A3361" t="s">
        <v>3936</v>
      </c>
      <c r="B3361" s="2" t="str">
        <f t="shared" si="2761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2762"/>
        <v>2489.2460000000001</v>
      </c>
      <c r="AB3361" s="3">
        <f t="shared" si="2763"/>
        <v>40160.69</v>
      </c>
      <c r="AC3361" s="3" cm="1">
        <f t="array" ref="AC3361">100000000/LvacE(AA3361)</f>
        <v>40160.689245210946</v>
      </c>
      <c r="AD3361" s="10">
        <f t="shared" si="2764"/>
        <v>1.3066838160071554E-2</v>
      </c>
      <c r="AE3361" s="10" t="b">
        <f t="shared" si="2765"/>
        <v>1</v>
      </c>
      <c r="AP3361"/>
      <c r="AQ3361"/>
      <c r="AU3361" s="13" cm="1">
        <f t="array" ref="AU3361">$C3361*EXP(poly_from_str(100000000/$E3361,AU$4343))</f>
        <v>7.1017820452099558</v>
      </c>
    </row>
    <row r="3362" spans="1:51" x14ac:dyDescent="0.25">
      <c r="A3362" t="s">
        <v>3937</v>
      </c>
      <c r="B3362" s="2" t="str">
        <f t="shared" si="2761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2762"/>
        <v>2489.09</v>
      </c>
      <c r="AB3362" s="3">
        <f t="shared" si="2763"/>
        <v>40163.21</v>
      </c>
      <c r="AC3362" s="3" cm="1">
        <f t="array" ref="AC3362">100000000/LvacE(AA3362)</f>
        <v>40163.206080794596</v>
      </c>
      <c r="AD3362" s="10">
        <f t="shared" si="2764"/>
        <v>1.3067849310550158E-2</v>
      </c>
      <c r="AE3362" s="10" t="b">
        <f t="shared" si="2765"/>
        <v>1</v>
      </c>
      <c r="AP3362"/>
      <c r="AQ3362"/>
      <c r="AU3362" s="13" cm="1">
        <f t="array" ref="AU3362">$C3362*EXP(poly_from_str(100000000/$E3362,AU$4343))</f>
        <v>17.758529374100544</v>
      </c>
    </row>
    <row r="3363" spans="1:51" x14ac:dyDescent="0.25">
      <c r="A3363" t="s">
        <v>3938</v>
      </c>
      <c r="B3363" s="2" t="str">
        <f t="shared" si="2761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2790">$G3363&amp;""</f>
        <v>e</v>
      </c>
      <c r="N3363" t="str">
        <f t="shared" ref="N3363:N3364" si="2791">$H3363&amp;""</f>
        <v>13/2</v>
      </c>
      <c r="O3363">
        <v>63816.91</v>
      </c>
      <c r="P3363" t="str">
        <f t="shared" ref="P3363:P3364" si="2792">$J3363&amp;""</f>
        <v>o</v>
      </c>
      <c r="Q3363" t="str">
        <f t="shared" ref="Q3363:Q3364" si="2793">$K3363&amp;""</f>
        <v>11/2</v>
      </c>
      <c r="R3363">
        <v>31</v>
      </c>
      <c r="AA3363" s="10">
        <f t="shared" si="2762"/>
        <v>2488.7190000000001</v>
      </c>
      <c r="AB3363" s="3">
        <f t="shared" si="2763"/>
        <v>40169.19</v>
      </c>
      <c r="AC3363" s="3" cm="1">
        <f t="array" ref="AC3363">100000000/LvacE(AA3363)</f>
        <v>40169.192899387985</v>
      </c>
      <c r="AD3363" s="10">
        <f t="shared" si="2764"/>
        <v>1.3070254797626406E-2</v>
      </c>
      <c r="AE3363" s="10" t="b">
        <f t="shared" si="2765"/>
        <v>1</v>
      </c>
      <c r="AJ3363" t="s">
        <v>4966</v>
      </c>
      <c r="AK3363" t="s">
        <v>4928</v>
      </c>
      <c r="AL3363">
        <v>23647.77</v>
      </c>
      <c r="AM3363">
        <v>63816.91</v>
      </c>
      <c r="AN3363" s="10" cm="1">
        <f t="array" ref="AN3363">Lair(100000000/($AM3363-$AL3363))</f>
        <v>2488.7222788303693</v>
      </c>
      <c r="AO3363" s="10">
        <f t="shared" ref="AO3363:AO3364" si="2794">100000000/($AM3363-$AL3363)</f>
        <v>2489.4732623103209</v>
      </c>
      <c r="AP3363" s="12">
        <v>744000000</v>
      </c>
      <c r="AQ3363" s="3">
        <v>0.45200000000000001</v>
      </c>
      <c r="AR3363" s="3">
        <f t="shared" ref="AR3363:AR3364" si="2795">LN(AU3363*100000000/($AM3363-$AL3363)/AP3363)</f>
        <v>-9.0371684437388407</v>
      </c>
      <c r="AS3363" s="13">
        <f t="shared" ref="AS3363:AS3364" si="2796">EXP(AR$4341*$AM3363+AR$4342)*$AP3363/(100000000/($AM3363-$AL3363))</f>
        <v>219.79346673789311</v>
      </c>
      <c r="AT3363" s="3">
        <f t="shared" ref="AT3363:AT3364" si="2797">LN(AS3363/$C3363)</f>
        <v>3.0901032248662621</v>
      </c>
      <c r="AU3363" s="13" cm="1">
        <f t="array" ref="AU3363">$C3363*EXP(poly_from_str(100000000/$E3363,AU$4343))</f>
        <v>35.536371568723112</v>
      </c>
      <c r="AV3363" s="13">
        <f t="shared" ref="AV3363:AV3364" si="2798">LN(AS3363/AU3363)</f>
        <v>1.8221315946416967</v>
      </c>
      <c r="AW3363" s="13"/>
      <c r="AX3363" s="13"/>
      <c r="AY3363" s="13"/>
    </row>
    <row r="3364" spans="1:51" x14ac:dyDescent="0.25">
      <c r="A3364">
        <v>2488.63</v>
      </c>
      <c r="B3364" s="2" t="str">
        <f t="shared" si="2761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2790"/>
        <v>e</v>
      </c>
      <c r="N3364" t="str">
        <f t="shared" si="2791"/>
        <v>3/2</v>
      </c>
      <c r="O3364">
        <v>63221.279999999999</v>
      </c>
      <c r="P3364" t="str">
        <f t="shared" si="2792"/>
        <v>o</v>
      </c>
      <c r="Q3364" t="str">
        <f t="shared" si="2793"/>
        <v>3/2</v>
      </c>
      <c r="R3364">
        <v>32</v>
      </c>
      <c r="S3364" t="s">
        <v>650</v>
      </c>
      <c r="AA3364" s="10">
        <f t="shared" si="2762"/>
        <v>2488.63</v>
      </c>
      <c r="AB3364" s="3">
        <f t="shared" si="2763"/>
        <v>40170.629999999997</v>
      </c>
      <c r="AC3364" s="3" cm="1">
        <f t="array" ref="AC3364">100000000/LvacE(AA3364)</f>
        <v>40170.629355801735</v>
      </c>
      <c r="AD3364" s="10">
        <f t="shared" si="2764"/>
        <v>1.3070832015165318E-2</v>
      </c>
      <c r="AE3364" s="10" t="b">
        <f t="shared" si="2765"/>
        <v>1</v>
      </c>
      <c r="AJ3364" t="s">
        <v>4769</v>
      </c>
      <c r="AK3364" t="s">
        <v>4707</v>
      </c>
      <c r="AL3364">
        <v>23050.61</v>
      </c>
      <c r="AM3364">
        <v>63221.279999999999</v>
      </c>
      <c r="AN3364" s="10" cm="1">
        <f t="array" ref="AN3364">Lair(100000000/($AM3364-$AL3364))</f>
        <v>2488.6274830275356</v>
      </c>
      <c r="AO3364" s="10">
        <f t="shared" si="2794"/>
        <v>2489.3784445218366</v>
      </c>
      <c r="AP3364" s="12">
        <v>90200000</v>
      </c>
      <c r="AQ3364" s="3">
        <v>0.14299999999999999</v>
      </c>
      <c r="AR3364" s="3">
        <f t="shared" si="2795"/>
        <v>-7.1502077551119632</v>
      </c>
      <c r="AS3364" s="13">
        <f t="shared" si="2796"/>
        <v>27.866211565313684</v>
      </c>
      <c r="AT3364" s="3">
        <f t="shared" si="2797"/>
        <v>1.2479733582210868</v>
      </c>
      <c r="AU3364" s="13" cm="1">
        <f t="array" ref="AU3364">$C3364*EXP(poly_from_str(100000000/$E3364,AU$4343))</f>
        <v>28.432813760625564</v>
      </c>
      <c r="AV3364" s="13">
        <f t="shared" si="2798"/>
        <v>-2.0128992395599829E-2</v>
      </c>
      <c r="AW3364" s="13"/>
      <c r="AX3364" s="13"/>
      <c r="AY3364" s="13"/>
    </row>
    <row r="3365" spans="1:51" x14ac:dyDescent="0.25">
      <c r="A3365">
        <v>2488.4870000000001</v>
      </c>
      <c r="B3365" s="2" t="str">
        <f t="shared" si="2761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2762"/>
        <v>2488.4870000000001</v>
      </c>
      <c r="AB3365" s="3">
        <f t="shared" si="2763"/>
        <v>40172.94</v>
      </c>
      <c r="AC3365" s="3" cm="1">
        <f t="array" ref="AC3365">100000000/LvacE(AA3365)</f>
        <v>40172.937585184969</v>
      </c>
      <c r="AD3365" s="10">
        <f t="shared" si="2764"/>
        <v>1.3071759584274496E-2</v>
      </c>
      <c r="AE3365" s="10" t="b">
        <f t="shared" si="2765"/>
        <v>1</v>
      </c>
      <c r="AP3365"/>
      <c r="AQ3365"/>
      <c r="AU3365" s="13" cm="1">
        <f t="array" ref="AU3365">$C3365*EXP(poly_from_str(100000000/$E3365,AU$4343))</f>
        <v>10.664539678463443</v>
      </c>
    </row>
    <row r="3366" spans="1:51" x14ac:dyDescent="0.25">
      <c r="A3366">
        <v>2488.35</v>
      </c>
      <c r="B3366" s="2" t="str">
        <f t="shared" si="2761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2762"/>
        <v>2488.35</v>
      </c>
      <c r="AB3366" s="3">
        <f t="shared" si="2763"/>
        <v>40175.15</v>
      </c>
      <c r="AC3366" s="3" cm="1">
        <f t="array" ref="AC3366">100000000/LvacE(AA3366)</f>
        <v>40175.149214583289</v>
      </c>
      <c r="AD3366" s="10">
        <f t="shared" si="2764"/>
        <v>1.3072648384387906E-2</v>
      </c>
      <c r="AE3366" s="10" t="b">
        <f t="shared" si="2765"/>
        <v>1</v>
      </c>
      <c r="AP3366"/>
      <c r="AQ3366"/>
      <c r="AU3366" s="13" cm="1">
        <f t="array" ref="AU3366">$C3366*EXP(poly_from_str(100000000/$E3366,AU$4343))</f>
        <v>10.66667609724762</v>
      </c>
    </row>
    <row r="3367" spans="1:51" x14ac:dyDescent="0.25">
      <c r="A3367">
        <v>2488.2130000000002</v>
      </c>
      <c r="B3367" s="2" t="str">
        <f t="shared" si="2761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2762"/>
        <v>2488.2130000000002</v>
      </c>
      <c r="AB3367" s="3">
        <f t="shared" si="2763"/>
        <v>40177.360000000001</v>
      </c>
      <c r="AC3367" s="3" cm="1">
        <f t="array" ref="AC3367">100000000/LvacE(AA3367)</f>
        <v>40177.361087491343</v>
      </c>
      <c r="AD3367" s="10">
        <f t="shared" si="2764"/>
        <v>1.3073537331307918E-2</v>
      </c>
      <c r="AE3367" s="10" t="b">
        <f t="shared" si="2765"/>
        <v>1</v>
      </c>
      <c r="AP3367"/>
      <c r="AQ3367"/>
      <c r="AU3367" s="13" cm="1">
        <f t="array" ref="AU3367">$C3367*EXP(poly_from_str(100000000/$E3367,AU$4343))</f>
        <v>10.668811187777054</v>
      </c>
    </row>
    <row r="3368" spans="1:51" x14ac:dyDescent="0.25">
      <c r="A3368">
        <v>2487.998</v>
      </c>
      <c r="B3368" s="2" t="str">
        <f t="shared" si="2761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2762"/>
        <v>2487.998</v>
      </c>
      <c r="AB3368" s="3">
        <f t="shared" si="2763"/>
        <v>40180.83</v>
      </c>
      <c r="AC3368" s="3" cm="1">
        <f t="array" ref="AC3368">100000000/LvacE(AA3368)</f>
        <v>40180.832765935898</v>
      </c>
      <c r="AD3368" s="10">
        <f t="shared" si="2764"/>
        <v>1.3074932690045549E-2</v>
      </c>
      <c r="AE3368" s="10" t="b">
        <f t="shared" si="2765"/>
        <v>1</v>
      </c>
      <c r="AP3368"/>
      <c r="AQ3368"/>
      <c r="AU3368" s="13" cm="1">
        <f t="array" ref="AU3368">$C3368*EXP(poly_from_str(100000000/$E3368,AU$4343))</f>
        <v>7.1147739399460894</v>
      </c>
    </row>
    <row r="3369" spans="1:51" x14ac:dyDescent="0.25">
      <c r="A3369">
        <v>2487.75</v>
      </c>
      <c r="B3369" s="2" t="str">
        <f t="shared" si="2761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2799">$G3369&amp;""</f>
        <v>o</v>
      </c>
      <c r="N3369" t="str">
        <f t="shared" ref="N3369:N3371" si="2800">$H3369&amp;""</f>
        <v>9/2</v>
      </c>
      <c r="O3369">
        <v>108559.4</v>
      </c>
      <c r="P3369" t="str">
        <f t="shared" ref="P3369:P3371" si="2801">$J3369&amp;""</f>
        <v>e</v>
      </c>
      <c r="Q3369" t="str">
        <f t="shared" ref="Q3369:Q3371" si="2802">$K3369&amp;""</f>
        <v>11/2</v>
      </c>
      <c r="R3369">
        <v>32</v>
      </c>
      <c r="S3369" t="s">
        <v>420</v>
      </c>
      <c r="AA3369" s="10">
        <f t="shared" si="2762"/>
        <v>2487.75</v>
      </c>
      <c r="AB3369" s="3">
        <f t="shared" si="2763"/>
        <v>40184.839999999997</v>
      </c>
      <c r="AC3369" s="3" cm="1">
        <f t="array" ref="AC3369">100000000/LvacE(AA3369)</f>
        <v>40184.83805184489</v>
      </c>
      <c r="AD3369" s="10">
        <f t="shared" si="2764"/>
        <v>1.3076542669449281E-2</v>
      </c>
      <c r="AE3369" s="10" t="b">
        <f t="shared" si="2765"/>
        <v>1</v>
      </c>
      <c r="AJ3369" t="s">
        <v>4739</v>
      </c>
      <c r="AK3369" t="s">
        <v>4914</v>
      </c>
      <c r="AL3369">
        <v>68374.539999999994</v>
      </c>
      <c r="AM3369">
        <v>108559.4</v>
      </c>
      <c r="AN3369" s="10" cm="1">
        <f t="array" ref="AN3369">Lair(100000000/($AM3369-$AL3369))</f>
        <v>2487.748642332167</v>
      </c>
      <c r="AO3369" s="10">
        <f t="shared" ref="AO3369:AO3371" si="2803">100000000/($AM3369-$AL3369)</f>
        <v>2488.4994000227948</v>
      </c>
      <c r="AP3369" s="12">
        <v>1710000000</v>
      </c>
      <c r="AQ3369" s="3">
        <v>0.39400000000000002</v>
      </c>
      <c r="AR3369" s="3">
        <f t="shared" ref="AR3369:AR3371" si="2804">LN(AU3369*100000000/($AM3369-$AL3369)/AP3369)</f>
        <v>-10.379176024408247</v>
      </c>
      <c r="AS3369" s="13">
        <f t="shared" ref="AS3369:AS3371" si="2805">EXP(AR$4341*$AM3369+AR$4342)*$AP3369/(100000000/($AM3369-$AL3369))</f>
        <v>17.593126703052494</v>
      </c>
      <c r="AT3369" s="3">
        <f t="shared" ref="AT3369:AT3371" si="2806">LN(AS3369/$C3369)</f>
        <v>1.0757488283043866</v>
      </c>
      <c r="AU3369" s="13" cm="1">
        <f t="array" ref="AU3369">$C3369*EXP(poly_from_str(100000000/$E3369,AU$4343))</f>
        <v>21.352055808902918</v>
      </c>
      <c r="AV3369" s="13">
        <f t="shared" ref="AV3369:AV3371" si="2807">LN(AS3369/AU3369)</f>
        <v>-0.19363972832165391</v>
      </c>
      <c r="AW3369" s="13"/>
      <c r="AX3369" s="13"/>
      <c r="AY3369" s="13"/>
    </row>
    <row r="3370" spans="1:51" x14ac:dyDescent="0.25">
      <c r="A3370">
        <v>2487.63</v>
      </c>
      <c r="B3370" s="2" t="str">
        <f t="shared" si="2761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2799"/>
        <v>e</v>
      </c>
      <c r="N3370" t="str">
        <f t="shared" si="2800"/>
        <v>5/2</v>
      </c>
      <c r="O3370">
        <v>61605.66</v>
      </c>
      <c r="P3370" t="str">
        <f t="shared" si="2801"/>
        <v>o</v>
      </c>
      <c r="Q3370" t="str">
        <f t="shared" si="2802"/>
        <v>7/2</v>
      </c>
      <c r="R3370">
        <v>32</v>
      </c>
      <c r="AA3370" s="10">
        <f t="shared" si="2762"/>
        <v>2487.63</v>
      </c>
      <c r="AB3370" s="3">
        <f t="shared" si="2763"/>
        <v>40186.78</v>
      </c>
      <c r="AC3370" s="3" cm="1">
        <f t="array" ref="AC3370">100000000/LvacE(AA3370)</f>
        <v>40186.776380073061</v>
      </c>
      <c r="AD3370" s="10">
        <f t="shared" si="2764"/>
        <v>1.3077321864600654E-2</v>
      </c>
      <c r="AE3370" s="10" t="b">
        <f t="shared" si="2765"/>
        <v>1</v>
      </c>
      <c r="AJ3370" t="s">
        <v>4792</v>
      </c>
      <c r="AK3370" t="s">
        <v>4822</v>
      </c>
      <c r="AL3370">
        <v>21418.84</v>
      </c>
      <c r="AM3370">
        <v>61605.66</v>
      </c>
      <c r="AN3370" s="10" cm="1">
        <f t="array" ref="AN3370">Lair(100000000/($AM3370-$AL3370))</f>
        <v>2487.6273008542853</v>
      </c>
      <c r="AO3370" s="10">
        <f t="shared" si="2803"/>
        <v>2488.3780304089746</v>
      </c>
      <c r="AP3370" s="12">
        <v>48400000</v>
      </c>
      <c r="AQ3370" s="3">
        <v>0.14899999999999999</v>
      </c>
      <c r="AR3370" s="3">
        <f t="shared" si="2804"/>
        <v>-6.5266188129818961</v>
      </c>
      <c r="AS3370" s="13">
        <f t="shared" si="2805"/>
        <v>16.886834363539759</v>
      </c>
      <c r="AT3370" s="3">
        <f t="shared" si="2806"/>
        <v>0.7470927449030661</v>
      </c>
      <c r="AU3370" s="13" cm="1">
        <f t="array" ref="AU3370">$C3370*EXP(poly_from_str(100000000/$E3370,AU$4343))</f>
        <v>28.474392508639518</v>
      </c>
      <c r="AV3370" s="13">
        <f t="shared" si="2807"/>
        <v>-0.52247088832222277</v>
      </c>
      <c r="AW3370" s="13"/>
      <c r="AX3370" s="13"/>
      <c r="AY3370" s="13"/>
    </row>
    <row r="3371" spans="1:51" x14ac:dyDescent="0.25">
      <c r="A3371">
        <v>2487.3380000000002</v>
      </c>
      <c r="B3371" s="2" t="str">
        <f t="shared" si="2761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2799"/>
        <v>e</v>
      </c>
      <c r="N3371" t="str">
        <f t="shared" si="2800"/>
        <v>9/2</v>
      </c>
      <c r="O3371">
        <v>64979.55</v>
      </c>
      <c r="P3371" t="str">
        <f t="shared" si="2801"/>
        <v>o</v>
      </c>
      <c r="Q3371" t="str">
        <f t="shared" si="2802"/>
        <v>7/2</v>
      </c>
      <c r="R3371">
        <v>32</v>
      </c>
      <c r="AA3371" s="10">
        <f t="shared" si="2762"/>
        <v>2487.3380000000002</v>
      </c>
      <c r="AB3371" s="3">
        <f t="shared" si="2763"/>
        <v>40191.49</v>
      </c>
      <c r="AC3371" s="3" cm="1">
        <f t="array" ref="AC3371">100000000/LvacE(AA3371)</f>
        <v>40191.493759907673</v>
      </c>
      <c r="AD3371" s="10">
        <f t="shared" si="2764"/>
        <v>1.3079218377218472E-2</v>
      </c>
      <c r="AE3371" s="10" t="b">
        <f t="shared" si="2765"/>
        <v>1</v>
      </c>
      <c r="AJ3371" t="s">
        <v>4705</v>
      </c>
      <c r="AK3371" t="s">
        <v>4912</v>
      </c>
      <c r="AL3371">
        <v>24788.02</v>
      </c>
      <c r="AM3371">
        <v>64979.55</v>
      </c>
      <c r="AN3371" s="10" cm="1">
        <f t="array" ref="AN3371">Lair(100000000/($AM3371-$AL3371))</f>
        <v>2487.3357582417589</v>
      </c>
      <c r="AO3371" s="10">
        <f t="shared" si="2803"/>
        <v>2488.0864201984846</v>
      </c>
      <c r="AP3371" s="12">
        <v>43200000</v>
      </c>
      <c r="AQ3371" s="3">
        <v>6.3E-2</v>
      </c>
      <c r="AR3371" s="3">
        <f t="shared" si="2804"/>
        <v>-6.700334217417792</v>
      </c>
      <c r="AS3371" s="13">
        <f t="shared" si="2805"/>
        <v>11.702384812292111</v>
      </c>
      <c r="AT3371" s="3">
        <f t="shared" si="2806"/>
        <v>0.66803318191555772</v>
      </c>
      <c r="AU3371" s="13" cm="1">
        <f t="array" ref="AU3371">$C3371*EXP(poly_from_str(100000000/$E3371,AU$4343))</f>
        <v>21.364862808046965</v>
      </c>
      <c r="AV3371" s="13">
        <f t="shared" si="2807"/>
        <v>-0.60195499659063845</v>
      </c>
      <c r="AW3371" s="13"/>
      <c r="AX3371" s="13"/>
      <c r="AY3371" s="13"/>
    </row>
    <row r="3372" spans="1:51" x14ac:dyDescent="0.25">
      <c r="A3372">
        <v>2487.297</v>
      </c>
      <c r="B3372" s="2" t="str">
        <f t="shared" si="2761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2762"/>
        <v>2487.297</v>
      </c>
      <c r="AB3372" s="3">
        <f t="shared" si="2763"/>
        <v>40192.160000000003</v>
      </c>
      <c r="AC3372" s="3" cm="1">
        <f t="array" ref="AC3372">100000000/LvacE(AA3372)</f>
        <v>40192.156220400218</v>
      </c>
      <c r="AD3372" s="10">
        <f t="shared" si="2764"/>
        <v>1.3079484721848701E-2</v>
      </c>
      <c r="AE3372" s="10" t="b">
        <f t="shared" si="2765"/>
        <v>1</v>
      </c>
      <c r="AP3372"/>
      <c r="AQ3372"/>
      <c r="AU3372" s="13" cm="1">
        <f t="array" ref="AU3372">$C3372*EXP(poly_from_str(100000000/$E3372,AU$4343))</f>
        <v>3.5610253097438926</v>
      </c>
    </row>
    <row r="3373" spans="1:51" x14ac:dyDescent="0.25">
      <c r="A3373">
        <v>2487.1439999999998</v>
      </c>
      <c r="B3373" s="2" t="str">
        <f t="shared" si="2761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2762"/>
        <v>2487.1439999999998</v>
      </c>
      <c r="AB3373" s="3">
        <f t="shared" si="2763"/>
        <v>40194.629999999997</v>
      </c>
      <c r="AC3373" s="3" cm="1">
        <f t="array" ref="AC3373">100000000/LvacE(AA3373)</f>
        <v>40194.628521868515</v>
      </c>
      <c r="AD3373" s="10">
        <f t="shared" si="2764"/>
        <v>1.3080478758340595E-2</v>
      </c>
      <c r="AE3373" s="10" t="b">
        <f t="shared" si="2765"/>
        <v>1</v>
      </c>
      <c r="AJ3373" t="s">
        <v>4794</v>
      </c>
      <c r="AK3373" t="s">
        <v>4877</v>
      </c>
      <c r="AL3373">
        <v>38694.51</v>
      </c>
      <c r="AM3373">
        <v>78889.14</v>
      </c>
      <c r="AN3373" s="10" cm="1">
        <f t="array" ref="AN3373">Lair(100000000/($AM3373-$AL3373))</f>
        <v>2487.1439097276498</v>
      </c>
      <c r="AO3373" s="10">
        <f>100000000/($AM3373-$AL3373)</f>
        <v>2487.8945272042561</v>
      </c>
      <c r="AP3373" s="12">
        <v>111000000</v>
      </c>
      <c r="AQ3373" s="3">
        <v>0.26500000000000001</v>
      </c>
      <c r="AR3373" s="3">
        <f>LN(AU3373*100000000/($AM3373-$AL3373)/AP3373)</f>
        <v>-7.8261399773110405</v>
      </c>
      <c r="AS3373" s="13">
        <f>EXP(AR$4341*$AM3373+AR$4342)*$AP3373/(100000000/($AM3373-$AL3373))</f>
        <v>10.587666903940143</v>
      </c>
      <c r="AT3373" s="3">
        <f>LN(AS3373/$C3373)</f>
        <v>0.75025191166445959</v>
      </c>
      <c r="AU3373" s="13" cm="1">
        <f t="array" ref="AU3373">$C3373*EXP(poly_from_str(100000000/$E3373,AU$4343))</f>
        <v>17.809085022399394</v>
      </c>
      <c r="AV3373" s="13">
        <f>LN(AS3373/AU3373)</f>
        <v>-0.52001889750932062</v>
      </c>
      <c r="AW3373" s="13"/>
      <c r="AX3373" s="13"/>
      <c r="AY3373" s="13"/>
    </row>
    <row r="3374" spans="1:51" x14ac:dyDescent="0.25">
      <c r="A3374">
        <v>2486.8519999999999</v>
      </c>
      <c r="B3374" s="2" t="str">
        <f t="shared" si="2761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2762"/>
        <v>2486.8519999999999</v>
      </c>
      <c r="AB3374" s="3">
        <f t="shared" si="2763"/>
        <v>40199.35</v>
      </c>
      <c r="AC3374" s="3" cm="1">
        <f t="array" ref="AC3374">100000000/LvacE(AA3374)</f>
        <v>40199.34774533828</v>
      </c>
      <c r="AD3374" s="10">
        <f t="shared" si="2764"/>
        <v>1.3082376382940821E-2</v>
      </c>
      <c r="AE3374" s="10" t="b">
        <f t="shared" si="2765"/>
        <v>1</v>
      </c>
      <c r="AP3374"/>
      <c r="AQ3374"/>
      <c r="AU3374" s="13" cm="1">
        <f t="array" ref="AU3374">$C3374*EXP(poly_from_str(100000000/$E3374,AU$4343))</f>
        <v>17.816642149047098</v>
      </c>
    </row>
    <row r="3375" spans="1:51" x14ac:dyDescent="0.25">
      <c r="A3375">
        <v>2486.5230000000001</v>
      </c>
      <c r="B3375" s="2" t="str">
        <f t="shared" si="2761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2808">$G3375&amp;""</f>
        <v>e</v>
      </c>
      <c r="N3375" t="str">
        <f t="shared" ref="N3375:N3376" si="2809">$H3375&amp;""</f>
        <v>9/2</v>
      </c>
      <c r="O3375">
        <v>60520.32</v>
      </c>
      <c r="P3375" t="str">
        <f t="shared" ref="P3375:P3376" si="2810">$J3375&amp;""</f>
        <v>o</v>
      </c>
      <c r="Q3375" t="str">
        <f t="shared" ref="Q3375:Q3376" si="2811">$K3375&amp;""</f>
        <v>7/2</v>
      </c>
      <c r="R3375">
        <v>32</v>
      </c>
      <c r="AA3375" s="10">
        <f t="shared" si="2762"/>
        <v>2486.5230000000001</v>
      </c>
      <c r="AB3375" s="3">
        <f t="shared" si="2763"/>
        <v>40204.67</v>
      </c>
      <c r="AC3375" s="3" cm="1">
        <f t="array" ref="AC3375">100000000/LvacE(AA3375)</f>
        <v>40204.666280376012</v>
      </c>
      <c r="AD3375" s="10">
        <f t="shared" si="2764"/>
        <v>1.30845152609439E-2</v>
      </c>
      <c r="AE3375" s="10" t="b">
        <f t="shared" si="2765"/>
        <v>1</v>
      </c>
      <c r="AJ3375" t="s">
        <v>4964</v>
      </c>
      <c r="AK3375" t="s">
        <v>4730</v>
      </c>
      <c r="AL3375">
        <v>20315.650000000001</v>
      </c>
      <c r="AM3375">
        <v>60520.32</v>
      </c>
      <c r="AN3375" s="10" cm="1">
        <f t="array" ref="AN3375">Lair(100000000/($AM3375-$AL3375))</f>
        <v>2486.5227711466346</v>
      </c>
      <c r="AO3375" s="10">
        <f t="shared" ref="AO3375:AO3376" si="2812">100000000/($AM3375-$AL3375)</f>
        <v>2487.2732446255623</v>
      </c>
      <c r="AP3375" s="12">
        <v>1900000</v>
      </c>
      <c r="AQ3375" s="3">
        <v>0.02</v>
      </c>
      <c r="AR3375" s="3"/>
      <c r="AS3375" s="13">
        <f t="shared" ref="AS3375:AS3376" si="2813">EXP(AR$4341*$AM3375+AR$4342)*$AP3375/(100000000/($AM3375-$AL3375))</f>
        <v>0.71948736491488785</v>
      </c>
      <c r="AT3375" s="3"/>
      <c r="AU3375" s="13" cm="1">
        <f t="array" ref="AU3375">$C3375*EXP(poly_from_str(100000000/$E3375,AU$4343))</f>
        <v>32.085267608186939</v>
      </c>
      <c r="AV3375" s="13"/>
      <c r="AW3375" s="13"/>
      <c r="AX3375" s="13"/>
      <c r="AY3375" s="13"/>
    </row>
    <row r="3376" spans="1:51" x14ac:dyDescent="0.25">
      <c r="A3376">
        <v>2485.1559999999999</v>
      </c>
      <c r="B3376" s="2" t="str">
        <f t="shared" si="2761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2808"/>
        <v>e</v>
      </c>
      <c r="N3376" t="str">
        <f t="shared" si="2809"/>
        <v>5/2</v>
      </c>
      <c r="O3376">
        <v>67679.210000000006</v>
      </c>
      <c r="P3376" t="str">
        <f t="shared" si="2810"/>
        <v>o</v>
      </c>
      <c r="Q3376" t="str">
        <f t="shared" si="2811"/>
        <v>7/2</v>
      </c>
      <c r="R3376">
        <v>32</v>
      </c>
      <c r="AA3376" s="10">
        <f t="shared" si="2762"/>
        <v>2485.1559999999999</v>
      </c>
      <c r="AB3376" s="3">
        <f t="shared" si="2763"/>
        <v>40226.78</v>
      </c>
      <c r="AC3376" s="3" cm="1">
        <f t="array" ref="AC3376">100000000/LvacE(AA3376)</f>
        <v>40226.779953462239</v>
      </c>
      <c r="AD3376" s="10">
        <f t="shared" si="2764"/>
        <v>1.3093411430401599E-2</v>
      </c>
      <c r="AE3376" s="10" t="b">
        <f t="shared" si="2765"/>
        <v>1</v>
      </c>
      <c r="AJ3376" t="s">
        <v>4783</v>
      </c>
      <c r="AK3376" t="s">
        <v>4861</v>
      </c>
      <c r="AL3376">
        <v>27452.45</v>
      </c>
      <c r="AM3376">
        <v>67679.210000000006</v>
      </c>
      <c r="AN3376" s="10" cm="1">
        <f t="array" ref="AN3376">Lair(100000000/($AM3376-$AL3376))</f>
        <v>2485.1572340197358</v>
      </c>
      <c r="AO3376" s="10">
        <f t="shared" si="2812"/>
        <v>2485.9073910004181</v>
      </c>
      <c r="AP3376" s="12">
        <v>280000000</v>
      </c>
      <c r="AQ3376" s="3">
        <v>0.57799999999999996</v>
      </c>
      <c r="AR3376" s="3">
        <f>LN(AU3376*100000000/($AM3376-$AL3376)/AP3376)</f>
        <v>-8.0561752027122751</v>
      </c>
      <c r="AS3376" s="13">
        <f t="shared" si="2813"/>
        <v>61.992734467652674</v>
      </c>
      <c r="AT3376" s="3">
        <f t="shared" ref="AT3376" si="2814">LN(AS3376/$C3376)</f>
        <v>1.8244320991786274</v>
      </c>
      <c r="AU3376" s="13" cm="1">
        <f t="array" ref="AU3376">$C3376*EXP(poly_from_str(100000000/$E3376,AU$4343))</f>
        <v>35.72075667364706</v>
      </c>
      <c r="AV3376" s="13">
        <f>LN(AS3376/AU3376)</f>
        <v>0.55128525291597941</v>
      </c>
      <c r="AW3376" s="13"/>
      <c r="AX3376" s="13"/>
      <c r="AY3376" s="13"/>
    </row>
    <row r="3377" spans="1:51" x14ac:dyDescent="0.25">
      <c r="A3377">
        <v>2485.056</v>
      </c>
      <c r="B3377" s="2" t="str">
        <f t="shared" si="2761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2762"/>
        <v>2485.056</v>
      </c>
      <c r="AB3377" s="3">
        <f t="shared" si="2763"/>
        <v>40228.400000000001</v>
      </c>
      <c r="AC3377" s="3" cm="1">
        <f t="array" ref="AC3377">100000000/LvacE(AA3377)</f>
        <v>40228.398587378964</v>
      </c>
      <c r="AD3377" s="10">
        <f t="shared" si="2764"/>
        <v>1.3094062787192516E-2</v>
      </c>
      <c r="AE3377" s="10" t="b">
        <f t="shared" si="2765"/>
        <v>1</v>
      </c>
      <c r="AP3377"/>
      <c r="AQ3377"/>
      <c r="AU3377" s="13" cm="1">
        <f t="array" ref="AU3377">$C3377*EXP(poly_from_str(100000000/$E3377,AU$4343))</f>
        <v>3.5725904050736368</v>
      </c>
    </row>
    <row r="3378" spans="1:51" x14ac:dyDescent="0.25">
      <c r="A3378">
        <v>2484.877</v>
      </c>
      <c r="B3378" s="2" t="str">
        <f t="shared" si="2761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2762"/>
        <v>2484.877</v>
      </c>
      <c r="AB3378" s="3">
        <f t="shared" si="2763"/>
        <v>40231.300000000003</v>
      </c>
      <c r="AC3378" s="3" cm="1">
        <f t="array" ref="AC3378">100000000/LvacE(AA3378)</f>
        <v>40231.296267358135</v>
      </c>
      <c r="AD3378" s="10">
        <f t="shared" si="2764"/>
        <v>1.3095228912207352E-2</v>
      </c>
      <c r="AE3378" s="10" t="b">
        <f t="shared" si="2765"/>
        <v>1</v>
      </c>
      <c r="AP3378"/>
      <c r="AQ3378"/>
      <c r="AU3378" s="13" cm="1">
        <f t="array" ref="AU3378">$C3378*EXP(poly_from_str(100000000/$E3378,AU$4343))</f>
        <v>32.161602120788558</v>
      </c>
    </row>
    <row r="3379" spans="1:51" x14ac:dyDescent="0.25">
      <c r="A3379">
        <v>2484.7020000000002</v>
      </c>
      <c r="B3379" s="2" t="str">
        <f t="shared" si="2761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2815">$G3379&amp;""</f>
        <v>e</v>
      </c>
      <c r="N3379" t="str">
        <f t="shared" ref="N3379:N3380" si="2816">$H3379&amp;""</f>
        <v>7/2</v>
      </c>
      <c r="O3379">
        <v>66681.14</v>
      </c>
      <c r="P3379" t="str">
        <f t="shared" ref="P3379:P3380" si="2817">$J3379&amp;""</f>
        <v>o</v>
      </c>
      <c r="Q3379" t="str">
        <f t="shared" ref="Q3379:Q3380" si="2818">$K3379&amp;""</f>
        <v>5/2</v>
      </c>
      <c r="R3379">
        <v>32</v>
      </c>
      <c r="AA3379" s="10">
        <f t="shared" si="2762"/>
        <v>2484.7020000000002</v>
      </c>
      <c r="AB3379" s="3">
        <f t="shared" si="2763"/>
        <v>40234.129999999997</v>
      </c>
      <c r="AC3379" s="3" cm="1">
        <f t="array" ref="AC3379">100000000/LvacE(AA3379)</f>
        <v>40234.129598269239</v>
      </c>
      <c r="AD3379" s="10">
        <f t="shared" si="2764"/>
        <v>1.3096369222198322E-2</v>
      </c>
      <c r="AE3379" s="10" t="b">
        <f t="shared" si="2765"/>
        <v>1</v>
      </c>
      <c r="AJ3379" t="s">
        <v>4736</v>
      </c>
      <c r="AK3379" t="s">
        <v>4851</v>
      </c>
      <c r="AL3379">
        <v>26446.97</v>
      </c>
      <c r="AM3379">
        <v>66681.14</v>
      </c>
      <c r="AN3379" s="10" cm="1">
        <f t="array" ref="AN3379">Lair(100000000/($AM3379-$AL3379))</f>
        <v>2484.6995060185741</v>
      </c>
      <c r="AO3379" s="10">
        <f t="shared" ref="AO3379:AO3380" si="2819">100000000/($AM3379-$AL3379)</f>
        <v>2485.4495569313349</v>
      </c>
      <c r="AP3379" s="12">
        <v>6060000</v>
      </c>
      <c r="AQ3379" s="3">
        <v>1.7999999999999999E-2</v>
      </c>
      <c r="AR3379" s="3"/>
      <c r="AS3379" s="13">
        <f t="shared" ref="AS3379:AS3380" si="2820">EXP(AR$4341*$AM3379+AR$4342)*$AP3379/(100000000/($AM3379-$AL3379))</f>
        <v>1.4463215882108174</v>
      </c>
      <c r="AT3379" s="3"/>
      <c r="AU3379" s="13" cm="1">
        <f t="array" ref="AU3379">$C3379*EXP(poly_from_str(100000000/$E3379,AU$4343))</f>
        <v>3.5744094425314921</v>
      </c>
      <c r="AV3379" s="13"/>
      <c r="AW3379" s="13"/>
      <c r="AX3379" s="13"/>
      <c r="AY3379" s="13"/>
    </row>
    <row r="3380" spans="1:51" x14ac:dyDescent="0.25">
      <c r="A3380">
        <v>2484.6019999999999</v>
      </c>
      <c r="B3380" s="2" t="str">
        <f t="shared" si="2761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2815"/>
        <v>e</v>
      </c>
      <c r="N3380" t="str">
        <f t="shared" si="2816"/>
        <v>5/2</v>
      </c>
      <c r="O3380">
        <v>63768.66</v>
      </c>
      <c r="P3380" t="str">
        <f t="shared" si="2817"/>
        <v>o</v>
      </c>
      <c r="Q3380" t="str">
        <f t="shared" si="2818"/>
        <v>7/2</v>
      </c>
      <c r="R3380">
        <v>32</v>
      </c>
      <c r="AA3380" s="10">
        <f t="shared" si="2762"/>
        <v>2484.6019999999999</v>
      </c>
      <c r="AB3380" s="3">
        <f t="shared" si="2763"/>
        <v>40235.75</v>
      </c>
      <c r="AC3380" s="3" cm="1">
        <f t="array" ref="AC3380">100000000/LvacE(AA3380)</f>
        <v>40235.748823678485</v>
      </c>
      <c r="AD3380" s="10">
        <f t="shared" si="2764"/>
        <v>1.3097020936085235E-2</v>
      </c>
      <c r="AE3380" s="10" t="b">
        <f t="shared" si="2765"/>
        <v>1</v>
      </c>
      <c r="AJ3380" t="s">
        <v>4756</v>
      </c>
      <c r="AK3380" t="s">
        <v>4850</v>
      </c>
      <c r="AL3380">
        <v>23532.86</v>
      </c>
      <c r="AM3380">
        <v>63768.66</v>
      </c>
      <c r="AN3380" s="10" cm="1">
        <f t="array" ref="AN3380">Lair(100000000/($AM3380-$AL3380))</f>
        <v>2484.5988408332346</v>
      </c>
      <c r="AO3380" s="10">
        <f t="shared" si="2819"/>
        <v>2485.34886842066</v>
      </c>
      <c r="AP3380" s="12">
        <v>120000000</v>
      </c>
      <c r="AQ3380" s="3">
        <v>0.26700000000000002</v>
      </c>
      <c r="AR3380" s="3">
        <f>LN(AU3380*100000000/($AM3380-$AL3380)/AP3380)</f>
        <v>-7.2083051749460836</v>
      </c>
      <c r="AS3380" s="13">
        <f t="shared" si="2820"/>
        <v>35.638201537908408</v>
      </c>
      <c r="AT3380" s="3">
        <f t="shared" ref="AT3380" si="2821">LN(AS3380/$C3380)</f>
        <v>1.2708330464360031</v>
      </c>
      <c r="AU3380" s="13" cm="1">
        <f t="array" ref="AU3380">$C3380*EXP(poly_from_str(100000000/$E3380,AU$4343))</f>
        <v>35.7492327516253</v>
      </c>
      <c r="AV3380" s="13">
        <f>LN(AS3380/AU3380)</f>
        <v>-3.1106679866679727E-3</v>
      </c>
      <c r="AW3380" s="13"/>
      <c r="AX3380" s="13"/>
      <c r="AY3380" s="13"/>
    </row>
    <row r="3381" spans="1:51" x14ac:dyDescent="0.25">
      <c r="A3381">
        <v>2484.203</v>
      </c>
      <c r="B3381" s="2" t="str">
        <f t="shared" si="2761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2762"/>
        <v>2484.203</v>
      </c>
      <c r="AB3381" s="3">
        <f t="shared" si="2763"/>
        <v>40242.21</v>
      </c>
      <c r="AC3381" s="3" cm="1">
        <f t="array" ref="AC3381">100000000/LvacE(AA3381)</f>
        <v>40242.210830641845</v>
      </c>
      <c r="AD3381" s="10">
        <f t="shared" si="2764"/>
        <v>1.3099622057988387E-2</v>
      </c>
      <c r="AE3381" s="10" t="b">
        <f t="shared" si="2765"/>
        <v>1</v>
      </c>
      <c r="AP3381"/>
      <c r="AQ3381"/>
      <c r="AU3381" s="13" cm="1">
        <f t="array" ref="AU3381">$C3381*EXP(poly_from_str(100000000/$E3381,AU$4343))</f>
        <v>10.730910959751686</v>
      </c>
    </row>
    <row r="3382" spans="1:51" x14ac:dyDescent="0.25">
      <c r="A3382">
        <v>2483.9879999999998</v>
      </c>
      <c r="B3382" s="2" t="str">
        <f t="shared" si="2761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2762"/>
        <v>2483.9879999999998</v>
      </c>
      <c r="AB3382" s="3">
        <f t="shared" si="2763"/>
        <v>40245.69</v>
      </c>
      <c r="AC3382" s="3" cm="1">
        <f t="array" ref="AC3382">100000000/LvacE(AA3382)</f>
        <v>40245.693725051664</v>
      </c>
      <c r="AD3382" s="10">
        <f t="shared" si="2764"/>
        <v>1.3101024184708557E-2</v>
      </c>
      <c r="AE3382" s="10" t="b">
        <f t="shared" si="2765"/>
        <v>1</v>
      </c>
      <c r="AP3382"/>
      <c r="AQ3382"/>
      <c r="AU3382" s="13" cm="1">
        <f t="array" ref="AU3382">$C3382*EXP(poly_from_str(100000000/$E3382,AU$4343))</f>
        <v>35.780717926548554</v>
      </c>
    </row>
    <row r="3383" spans="1:51" x14ac:dyDescent="0.25">
      <c r="A3383">
        <v>2483.8690000000001</v>
      </c>
      <c r="B3383" s="2" t="str">
        <f t="shared" si="2761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2762"/>
        <v>2483.8690000000001</v>
      </c>
      <c r="AB3383" s="3">
        <f t="shared" si="2763"/>
        <v>40247.620000000003</v>
      </c>
      <c r="AC3383" s="3" cm="1">
        <f t="array" ref="AC3383">100000000/LvacE(AA3383)</f>
        <v>40247.621725792116</v>
      </c>
      <c r="AD3383" s="10">
        <f t="shared" si="2764"/>
        <v>1.3101800402072757E-2</v>
      </c>
      <c r="AE3383" s="10" t="b">
        <f t="shared" si="2765"/>
        <v>1</v>
      </c>
      <c r="AP3383"/>
      <c r="AQ3383"/>
      <c r="AU3383" s="13" cm="1">
        <f t="array" ref="AU3383">$C3383*EXP(poly_from_str(100000000/$E3383,AU$4343))</f>
        <v>10.736046867223395</v>
      </c>
    </row>
    <row r="3384" spans="1:51" x14ac:dyDescent="0.25">
      <c r="A3384">
        <v>2483.489</v>
      </c>
      <c r="B3384" s="2" t="str">
        <f t="shared" si="2761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2762"/>
        <v>2483.489</v>
      </c>
      <c r="AB3384" s="3">
        <f t="shared" si="2763"/>
        <v>40253.78</v>
      </c>
      <c r="AC3384" s="3" cm="1">
        <f t="array" ref="AC3384">100000000/LvacE(AA3384)</f>
        <v>40253.779603678238</v>
      </c>
      <c r="AD3384" s="10">
        <f t="shared" si="2764"/>
        <v>1.3104279826421265E-2</v>
      </c>
      <c r="AE3384" s="10" t="b">
        <f t="shared" si="2765"/>
        <v>1</v>
      </c>
      <c r="AP3384"/>
      <c r="AQ3384"/>
      <c r="AU3384" s="13" cm="1">
        <f t="array" ref="AU3384">$C3384*EXP(poly_from_str(100000000/$E3384,AU$4343))</f>
        <v>17.903145191834792</v>
      </c>
    </row>
    <row r="3385" spans="1:51" x14ac:dyDescent="0.25">
      <c r="A3385">
        <v>2483.3049999999998</v>
      </c>
      <c r="B3385" s="2" t="str">
        <f t="shared" si="2761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2762"/>
        <v>2483.3049999999998</v>
      </c>
      <c r="AB3385" s="3">
        <f t="shared" si="2763"/>
        <v>40256.76</v>
      </c>
      <c r="AC3385" s="3" cm="1">
        <f t="array" ref="AC3385">100000000/LvacE(AA3385)</f>
        <v>40256.761990073705</v>
      </c>
      <c r="AD3385" s="10">
        <f t="shared" si="2764"/>
        <v>1.3105480798789055E-2</v>
      </c>
      <c r="AE3385" s="10" t="b">
        <f t="shared" si="2765"/>
        <v>1</v>
      </c>
      <c r="AJ3385" t="s">
        <v>4723</v>
      </c>
      <c r="AK3385" t="s">
        <v>4894</v>
      </c>
      <c r="AL3385">
        <v>27138.55</v>
      </c>
      <c r="AM3385">
        <v>67395.320000000007</v>
      </c>
      <c r="AN3385" s="10" cm="1">
        <f t="array" ref="AN3385">Lair(100000000/($AM3385-$AL3385))</f>
        <v>2483.3045071298548</v>
      </c>
      <c r="AO3385" s="10">
        <f>100000000/($AM3385-$AL3385)</f>
        <v>2484.0542348529202</v>
      </c>
      <c r="AP3385" s="12">
        <v>86000000</v>
      </c>
      <c r="AQ3385" s="3">
        <v>0.17100000000000001</v>
      </c>
      <c r="AR3385" s="3">
        <f>LN(AU3385*100000000/($AM3385-$AL3385)/AP3385)</f>
        <v>-6.8738242744977702</v>
      </c>
      <c r="AS3385" s="13">
        <f>EXP(AR$4341*$AM3385+AR$4342)*$AP3385/(100000000/($AM3385-$AL3385))</f>
        <v>19.465149326918979</v>
      </c>
      <c r="AT3385" s="3">
        <f>LN(AS3385/$C3385)</f>
        <v>0.666040559599131</v>
      </c>
      <c r="AU3385" s="13" cm="1">
        <f t="array" ref="AU3385">$C3385*EXP(poly_from_str(100000000/$E3385,AU$4343))</f>
        <v>35.81569851255432</v>
      </c>
      <c r="AV3385" s="13">
        <f>LN(AS3385/AU3385)</f>
        <v>-0.6097606506351182</v>
      </c>
      <c r="AW3385" s="13"/>
      <c r="AX3385" s="13"/>
      <c r="AY3385" s="13"/>
    </row>
    <row r="3386" spans="1:51" x14ac:dyDescent="0.25">
      <c r="A3386">
        <v>2483.239</v>
      </c>
      <c r="B3386" s="2" t="str">
        <f t="shared" si="2761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2762"/>
        <v>2483.239</v>
      </c>
      <c r="AB3386" s="3">
        <f t="shared" si="2763"/>
        <v>40257.83</v>
      </c>
      <c r="AC3386" s="3" cm="1">
        <f t="array" ref="AC3386">100000000/LvacE(AA3386)</f>
        <v>40257.831866791079</v>
      </c>
      <c r="AD3386" s="10">
        <f t="shared" si="2764"/>
        <v>1.3105911647407091E-2</v>
      </c>
      <c r="AE3386" s="10" t="b">
        <f t="shared" si="2765"/>
        <v>1</v>
      </c>
      <c r="AP3386"/>
      <c r="AQ3386"/>
      <c r="AU3386" s="13" cm="1">
        <f t="array" ref="AU3386">$C3386*EXP(poly_from_str(100000000/$E3386,AU$4343))</f>
        <v>21.491445055898573</v>
      </c>
    </row>
    <row r="3387" spans="1:51" x14ac:dyDescent="0.25">
      <c r="A3387">
        <v>2483.09</v>
      </c>
      <c r="B3387" s="2" t="str">
        <f t="shared" si="2761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2822">$G3387&amp;""</f>
        <v>e</v>
      </c>
      <c r="N3387" t="str">
        <f t="shared" ref="N3387:N3389" si="2823">$H3387&amp;""</f>
        <v>7/2</v>
      </c>
      <c r="O3387">
        <v>67398.789999999994</v>
      </c>
      <c r="P3387" t="str">
        <f t="shared" ref="P3387:P3389" si="2824">$J3387&amp;""</f>
        <v>o</v>
      </c>
      <c r="Q3387" t="str">
        <f t="shared" ref="Q3387:Q3389" si="2825">$K3387&amp;""</f>
        <v>9/2</v>
      </c>
      <c r="R3387">
        <v>32</v>
      </c>
      <c r="AA3387" s="10">
        <f t="shared" si="2762"/>
        <v>2483.09</v>
      </c>
      <c r="AB3387" s="3">
        <f t="shared" si="2763"/>
        <v>40260.25</v>
      </c>
      <c r="AC3387" s="3" cm="1">
        <f t="array" ref="AC3387">100000000/LvacE(AA3387)</f>
        <v>40260.247403635934</v>
      </c>
      <c r="AD3387" s="10">
        <f t="shared" si="2764"/>
        <v>1.3106884447127556E-2</v>
      </c>
      <c r="AE3387" s="10" t="b">
        <f t="shared" si="2765"/>
        <v>1</v>
      </c>
      <c r="AJ3387" t="s">
        <v>4723</v>
      </c>
      <c r="AK3387" t="s">
        <v>4863</v>
      </c>
      <c r="AL3387">
        <v>27138.55</v>
      </c>
      <c r="AM3387">
        <v>67398.789999999994</v>
      </c>
      <c r="AN3387" s="10" cm="1">
        <f t="array" ref="AN3387">Lair(100000000/($AM3387-$AL3387))</f>
        <v>2483.0904579327603</v>
      </c>
      <c r="AO3387" s="10">
        <f t="shared" ref="AO3387:AO3389" si="2826">100000000/($AM3387-$AL3387)</f>
        <v>2483.8401360746984</v>
      </c>
      <c r="AP3387" s="12">
        <v>1720000</v>
      </c>
      <c r="AQ3387" s="3">
        <v>5.0000000000000001E-3</v>
      </c>
      <c r="AR3387" s="3"/>
      <c r="AS3387" s="13">
        <f t="shared" ref="AS3387:AS3389" si="2827">EXP(AR$4341*$AM3387+AR$4342)*$AP3387/(100000000/($AM3387-$AL3387))</f>
        <v>0.3892351683564278</v>
      </c>
      <c r="AT3387" s="3"/>
      <c r="AU3387" s="13" cm="1">
        <f t="array" ref="AU3387">$C3387*EXP(poly_from_str(100000000/$E3387,AU$4343))</f>
        <v>14.33068357373555</v>
      </c>
      <c r="AV3387" s="13"/>
      <c r="AW3387" s="13"/>
      <c r="AX3387" s="13"/>
      <c r="AY3387" s="13"/>
    </row>
    <row r="3388" spans="1:51" x14ac:dyDescent="0.25">
      <c r="A3388">
        <v>2482.7020000000002</v>
      </c>
      <c r="B3388" s="2" t="str">
        <f t="shared" si="2761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2822"/>
        <v>e</v>
      </c>
      <c r="N3388" t="str">
        <f t="shared" si="2823"/>
        <v>9/2</v>
      </c>
      <c r="O3388">
        <v>67870.759999999995</v>
      </c>
      <c r="P3388" t="str">
        <f t="shared" si="2824"/>
        <v>o</v>
      </c>
      <c r="Q3388" t="str">
        <f t="shared" si="2825"/>
        <v>9/2</v>
      </c>
      <c r="R3388">
        <v>32</v>
      </c>
      <c r="AA3388" s="10">
        <f t="shared" si="2762"/>
        <v>2482.7020000000002</v>
      </c>
      <c r="AB3388" s="3">
        <f t="shared" si="2763"/>
        <v>40266.54</v>
      </c>
      <c r="AC3388" s="3" cm="1">
        <f t="array" ref="AC3388">100000000/LvacE(AA3388)</f>
        <v>40266.53888677236</v>
      </c>
      <c r="AD3388" s="10">
        <f t="shared" si="2764"/>
        <v>1.3109418465601663E-2</v>
      </c>
      <c r="AE3388" s="10" t="b">
        <f t="shared" si="2765"/>
        <v>1</v>
      </c>
      <c r="AJ3388" t="s">
        <v>4718</v>
      </c>
      <c r="AK3388" t="s">
        <v>4755</v>
      </c>
      <c r="AL3388">
        <v>27604.26</v>
      </c>
      <c r="AM3388">
        <v>67870.759999999995</v>
      </c>
      <c r="AN3388" s="10" cm="1">
        <f t="array" ref="AN3388">Lair(100000000/($AM3388-$AL3388))</f>
        <v>2482.7043990825396</v>
      </c>
      <c r="AO3388" s="10">
        <f t="shared" si="2826"/>
        <v>2483.453987806241</v>
      </c>
      <c r="AP3388" s="12">
        <v>4280000</v>
      </c>
      <c r="AQ3388" s="3">
        <v>1.0999999999999999E-2</v>
      </c>
      <c r="AR3388" s="3"/>
      <c r="AS3388" s="13">
        <f t="shared" si="2827"/>
        <v>0.93500145241176202</v>
      </c>
      <c r="AT3388" s="3"/>
      <c r="AU3388" s="13" cm="1">
        <f t="array" ref="AU3388">$C3388*EXP(poly_from_str(100000000/$E3388,AU$4343))</f>
        <v>17.923265981231218</v>
      </c>
      <c r="AV3388" s="13"/>
      <c r="AW3388" s="13"/>
      <c r="AX3388" s="13"/>
      <c r="AY3388" s="13"/>
    </row>
    <row r="3389" spans="1:51" x14ac:dyDescent="0.25">
      <c r="A3389">
        <v>2482.5770000000002</v>
      </c>
      <c r="B3389" s="2" t="str">
        <f t="shared" si="2761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2822"/>
        <v>o</v>
      </c>
      <c r="N3389" t="str">
        <f t="shared" si="2823"/>
        <v>7/2</v>
      </c>
      <c r="O3389">
        <v>100788.95</v>
      </c>
      <c r="P3389" t="str">
        <f t="shared" si="2824"/>
        <v>e</v>
      </c>
      <c r="Q3389" t="str">
        <f t="shared" si="2825"/>
        <v>7/2</v>
      </c>
      <c r="R3389">
        <v>32</v>
      </c>
      <c r="S3389" t="s">
        <v>2205</v>
      </c>
      <c r="AA3389" s="10">
        <f t="shared" si="2762"/>
        <v>2482.5770000000002</v>
      </c>
      <c r="AB3389" s="3">
        <f t="shared" si="2763"/>
        <v>40268.57</v>
      </c>
      <c r="AC3389" s="3" cm="1">
        <f t="array" ref="AC3389">100000000/LvacE(AA3389)</f>
        <v>40268.566200893198</v>
      </c>
      <c r="AD3389" s="10">
        <f t="shared" si="2764"/>
        <v>1.3110235090571853E-2</v>
      </c>
      <c r="AE3389" s="10" t="b">
        <f t="shared" si="2765"/>
        <v>1</v>
      </c>
      <c r="AJ3389" t="s">
        <v>4730</v>
      </c>
      <c r="AK3389" t="s">
        <v>4873</v>
      </c>
      <c r="AL3389">
        <v>60520.32</v>
      </c>
      <c r="AM3389">
        <v>100788.95</v>
      </c>
      <c r="AN3389" s="10" cm="1">
        <f t="array" ref="AN3389">Lair(100000000/($AM3389-$AL3389))</f>
        <v>2482.5730677671336</v>
      </c>
      <c r="AO3389" s="10">
        <f t="shared" si="2826"/>
        <v>2483.3226260739439</v>
      </c>
      <c r="AP3389" s="12">
        <v>138000000</v>
      </c>
      <c r="AQ3389" s="3">
        <v>0.35199999999999998</v>
      </c>
      <c r="AR3389" s="3">
        <f>LN(AU3389*100000000/($AM3389-$AL3389)/AP3389)</f>
        <v>-9.6485715029834012</v>
      </c>
      <c r="AS3389" s="13">
        <f t="shared" si="2827"/>
        <v>2.5491064211577492</v>
      </c>
      <c r="AT3389" s="3">
        <f t="shared" ref="AT3389" si="2828">LN(AS3389/$C3389)</f>
        <v>0.93574287468242912</v>
      </c>
      <c r="AU3389" s="13" cm="1">
        <f t="array" ref="AU3389">$C3389*EXP(poly_from_str(100000000/$E3389,AU$4343))</f>
        <v>3.5852923867351993</v>
      </c>
      <c r="AV3389" s="13">
        <f>LN(AS3389/AU3389)</f>
        <v>-0.34109715440752436</v>
      </c>
      <c r="AW3389" s="13"/>
      <c r="AX3389" s="13"/>
      <c r="AY3389" s="13"/>
    </row>
    <row r="3390" spans="1:51" x14ac:dyDescent="0.25">
      <c r="A3390">
        <v>2482.4520000000002</v>
      </c>
      <c r="B3390" s="2" t="str">
        <f t="shared" si="2761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2762"/>
        <v>2482.4520000000002</v>
      </c>
      <c r="AB3390" s="3">
        <f t="shared" si="2763"/>
        <v>40270.589999999997</v>
      </c>
      <c r="AC3390" s="3" cm="1">
        <f t="array" ref="AC3390">100000000/LvacE(AA3390)</f>
        <v>40270.593719150536</v>
      </c>
      <c r="AD3390" s="10">
        <f t="shared" si="2764"/>
        <v>1.3111051838897696E-2</v>
      </c>
      <c r="AE3390" s="10" t="b">
        <f t="shared" si="2765"/>
        <v>1</v>
      </c>
      <c r="AP3390"/>
      <c r="AQ3390"/>
      <c r="AU3390" s="13" cm="1">
        <f t="array" ref="AU3390">$C3390*EXP(poly_from_str(100000000/$E3390,AU$4343))</f>
        <v>21.515568945272108</v>
      </c>
    </row>
    <row r="3391" spans="1:51" x14ac:dyDescent="0.25">
      <c r="A3391">
        <v>2482.384</v>
      </c>
      <c r="B3391" s="2">
        <f t="shared" si="2761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2829">$G3391&amp;""</f>
        <v>e</v>
      </c>
      <c r="N3391" t="str">
        <f t="shared" ref="N3391:N3392" si="2830">$H3391&amp;""</f>
        <v>3/2</v>
      </c>
      <c r="O3391">
        <v>75409.58</v>
      </c>
      <c r="P3391" t="str">
        <f t="shared" ref="P3391:P3392" si="2831">$J3391&amp;""</f>
        <v>o</v>
      </c>
      <c r="Q3391" t="str">
        <f t="shared" ref="Q3391:Q3392" si="2832">$K3391&amp;""</f>
        <v>3/2</v>
      </c>
      <c r="R3391">
        <v>32</v>
      </c>
      <c r="AA3391" s="10">
        <f t="shared" si="2762"/>
        <v>2482.384</v>
      </c>
      <c r="AB3391" s="3">
        <f t="shared" si="2763"/>
        <v>40271.699999999997</v>
      </c>
      <c r="AC3391" s="3" cm="1">
        <f t="array" ref="AC3391">100000000/LvacE(AA3391)</f>
        <v>40271.696774824319</v>
      </c>
      <c r="AD3391" s="10">
        <f t="shared" si="2764"/>
        <v>1.3111496201801236E-2</v>
      </c>
      <c r="AE3391" s="10" t="b">
        <f t="shared" si="2765"/>
        <v>1</v>
      </c>
      <c r="AJ3391" t="s">
        <v>4740</v>
      </c>
      <c r="AK3391" t="s">
        <v>4905</v>
      </c>
      <c r="AL3391">
        <v>35137.82</v>
      </c>
      <c r="AM3391">
        <v>75409.58</v>
      </c>
      <c r="AN3391" s="10" cm="1">
        <f t="array" ref="AN3391">Lair(100000000/($AM3391-$AL3391))</f>
        <v>2482.3801037623166</v>
      </c>
      <c r="AO3391" s="10">
        <f t="shared" ref="AO3391:AO3392" si="2833">100000000/($AM3391-$AL3391)</f>
        <v>2483.1296173795236</v>
      </c>
      <c r="AP3391" s="12">
        <v>140000000</v>
      </c>
      <c r="AQ3391" s="3">
        <v>0.437</v>
      </c>
      <c r="AR3391" s="3">
        <f>LN(AU3391*100000000/($AM3391-$AL3391)/AP3391)</f>
        <v>-7.7168531161828922</v>
      </c>
      <c r="AS3391" s="13">
        <f t="shared" ref="AS3391:AS3392" si="2834">EXP(AR$4341*$AM3391+AR$4342)*$AP3391/(100000000/($AM3391-$AL3391))</f>
        <v>17.371810799647349</v>
      </c>
      <c r="AT3391" s="3">
        <f t="shared" ref="AT3391" si="2835">LN(AS3391/$C3391)</f>
        <v>0.9089386744485447</v>
      </c>
      <c r="AU3391" s="13" cm="1">
        <f t="array" ref="AU3391">$C3391*EXP(poly_from_str(100000000/$E3391,AU$4343))</f>
        <v>25.103941817265124</v>
      </c>
      <c r="AV3391" s="13">
        <f>LN(AS3391/AU3391)</f>
        <v>-0.36817605481623633</v>
      </c>
      <c r="AW3391" s="13"/>
      <c r="AX3391" s="13"/>
      <c r="AY3391" s="13"/>
    </row>
    <row r="3392" spans="1:51" x14ac:dyDescent="0.25">
      <c r="A3392">
        <v>2482.384</v>
      </c>
      <c r="B3392" s="2">
        <f t="shared" si="2761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2829"/>
        <v>o</v>
      </c>
      <c r="N3392" t="str">
        <f t="shared" si="2830"/>
        <v>11/2</v>
      </c>
      <c r="O3392">
        <v>102830.43</v>
      </c>
      <c r="P3392" t="str">
        <f t="shared" si="2831"/>
        <v>e</v>
      </c>
      <c r="Q3392" t="str">
        <f t="shared" si="2832"/>
        <v>9/2</v>
      </c>
      <c r="R3392">
        <v>32</v>
      </c>
      <c r="AA3392" s="10">
        <f t="shared" si="2762"/>
        <v>2482.384</v>
      </c>
      <c r="AB3392" s="3">
        <f t="shared" si="2763"/>
        <v>40271.699999999997</v>
      </c>
      <c r="AC3392" s="3" cm="1">
        <f t="array" ref="AC3392">100000000/LvacE(AA3392)</f>
        <v>40271.696774824319</v>
      </c>
      <c r="AD3392" s="10">
        <f t="shared" si="2764"/>
        <v>1.3111496201801236E-2</v>
      </c>
      <c r="AE3392" s="10" t="b">
        <f t="shared" si="2765"/>
        <v>1</v>
      </c>
      <c r="AJ3392" t="s">
        <v>4821</v>
      </c>
      <c r="AK3392" t="s">
        <v>4866</v>
      </c>
      <c r="AL3392">
        <v>62558.67</v>
      </c>
      <c r="AM3392">
        <v>102830.43</v>
      </c>
      <c r="AN3392" s="10" cm="1">
        <f t="array" ref="AN3392">Lair(100000000/($AM3392-$AL3392))</f>
        <v>2482.380103762317</v>
      </c>
      <c r="AO3392" s="10">
        <f t="shared" si="2833"/>
        <v>2483.129617379524</v>
      </c>
      <c r="AP3392" s="12">
        <v>15500000</v>
      </c>
      <c r="AQ3392" s="3">
        <v>1.0999999999999999E-2</v>
      </c>
      <c r="AR3392" s="3"/>
      <c r="AS3392" s="13">
        <f t="shared" si="2834"/>
        <v>0.24566179134244623</v>
      </c>
      <c r="AT3392" s="3"/>
      <c r="AU3392" s="13" cm="1">
        <f t="array" ref="AU3392">$C3392*EXP(poly_from_str(100000000/$E3392,AU$4343))</f>
        <v>25.103941817265124</v>
      </c>
      <c r="AV3392" s="13"/>
      <c r="AW3392" s="13"/>
      <c r="AX3392" s="13"/>
      <c r="AY3392" s="13"/>
    </row>
    <row r="3393" spans="1:51" x14ac:dyDescent="0.25">
      <c r="A3393">
        <v>2482.2829999999999</v>
      </c>
      <c r="B3393" s="2" t="str">
        <f t="shared" si="2761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2762"/>
        <v>2482.2829999999999</v>
      </c>
      <c r="AB3393" s="3">
        <f t="shared" si="2763"/>
        <v>40273.33</v>
      </c>
      <c r="AC3393" s="3" cm="1">
        <f t="array" ref="AC3393">100000000/LvacE(AA3393)</f>
        <v>40273.335248456482</v>
      </c>
      <c r="AD3393" s="10">
        <f t="shared" si="2764"/>
        <v>1.3112156278807952E-2</v>
      </c>
      <c r="AE3393" s="10" t="b">
        <f t="shared" si="2765"/>
        <v>1</v>
      </c>
      <c r="AP3393"/>
      <c r="AQ3393"/>
      <c r="AU3393" s="13" cm="1">
        <f t="array" ref="AU3393">$C3393*EXP(poly_from_str(100000000/$E3393,AU$4343))</f>
        <v>3.5867901116402541</v>
      </c>
    </row>
    <row r="3394" spans="1:51" x14ac:dyDescent="0.25">
      <c r="A3394">
        <v>2482.192</v>
      </c>
      <c r="B3394" s="2" t="str">
        <f t="shared" ref="B3394:B3457" si="2836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2762"/>
        <v>2482.192</v>
      </c>
      <c r="AB3394" s="3">
        <f t="shared" si="2763"/>
        <v>40274.81</v>
      </c>
      <c r="AC3394" s="3" cm="1">
        <f t="array" ref="AC3394">100000000/LvacE(AA3394)</f>
        <v>40274.811611150166</v>
      </c>
      <c r="AD3394" s="10">
        <f t="shared" si="2764"/>
        <v>1.3112751070656535E-2</v>
      </c>
      <c r="AE3394" s="10" t="b">
        <f t="shared" si="2765"/>
        <v>1</v>
      </c>
      <c r="AP3394"/>
      <c r="AQ3394"/>
      <c r="AU3394" s="13" cm="1">
        <f t="array" ref="AU3394">$C3394*EXP(poly_from_str(100000000/$E3394,AU$4343))</f>
        <v>21.523532936330096</v>
      </c>
    </row>
    <row r="3395" spans="1:51" x14ac:dyDescent="0.25">
      <c r="A3395">
        <v>2482.096</v>
      </c>
      <c r="B3395" s="2" t="str">
        <f t="shared" si="2836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2837">ROUND($A3395,3)+0</f>
        <v>2482.096</v>
      </c>
      <c r="AB3395" s="3">
        <f t="shared" ref="AB3395:AB3458" si="2838">ROUND($E3395,2)+0</f>
        <v>40276.370000000003</v>
      </c>
      <c r="AC3395" s="3" cm="1">
        <f t="array" ref="AC3395">100000000/LvacE(AA3395)</f>
        <v>40276.369209997043</v>
      </c>
      <c r="AD3395" s="10">
        <f t="shared" ref="AD3395:AD3458" si="2839">0.0005/$AA3395*AC3395+0.005</f>
        <v>1.3113378614283463E-2</v>
      </c>
      <c r="AE3395" s="10" t="b">
        <f t="shared" ref="AE3395:AE3458" si="2840">ABS(AB3395-AC3395)&lt;AD3395</f>
        <v>1</v>
      </c>
      <c r="AP3395"/>
      <c r="AQ3395"/>
      <c r="AU3395" s="13" cm="1">
        <f t="array" ref="AU3395">$C3395*EXP(poly_from_str(100000000/$E3395,AU$4343))</f>
        <v>3.5877458695281326</v>
      </c>
    </row>
    <row r="3396" spans="1:51" x14ac:dyDescent="0.25">
      <c r="A3396">
        <v>2481.9899999999998</v>
      </c>
      <c r="B3396" s="2" t="str">
        <f t="shared" si="2836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2837"/>
        <v>2481.9899999999998</v>
      </c>
      <c r="AB3396" s="3">
        <f t="shared" si="2838"/>
        <v>40278.089999999997</v>
      </c>
      <c r="AC3396" s="3" cm="1">
        <f t="array" ref="AC3396">100000000/LvacE(AA3396)</f>
        <v>40278.089198676746</v>
      </c>
      <c r="AD3396" s="10">
        <f t="shared" si="2839"/>
        <v>1.3114071611625502E-2</v>
      </c>
      <c r="AE3396" s="10" t="b">
        <f t="shared" si="2840"/>
        <v>1</v>
      </c>
      <c r="AP3396"/>
      <c r="AQ3396"/>
      <c r="AU3396" s="13" cm="1">
        <f t="array" ref="AU3396">$C3396*EXP(poly_from_str(100000000/$E3396,AU$4343))</f>
        <v>3.5882863640298757</v>
      </c>
    </row>
    <row r="3397" spans="1:51" x14ac:dyDescent="0.25">
      <c r="A3397">
        <v>2481.77</v>
      </c>
      <c r="B3397" s="2" t="str">
        <f t="shared" si="2836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2837"/>
        <v>2481.77</v>
      </c>
      <c r="AB3397" s="3">
        <f t="shared" si="2838"/>
        <v>40281.660000000003</v>
      </c>
      <c r="AC3397" s="3" cm="1">
        <f t="array" ref="AC3397">100000000/LvacE(AA3397)</f>
        <v>40281.659455357891</v>
      </c>
      <c r="AD3397" s="10">
        <f t="shared" si="2839"/>
        <v>1.3115510191387174E-2</v>
      </c>
      <c r="AE3397" s="10" t="b">
        <f t="shared" si="2840"/>
        <v>1</v>
      </c>
      <c r="AJ3397" t="s">
        <v>4735</v>
      </c>
      <c r="AK3397" t="s">
        <v>4860</v>
      </c>
      <c r="AL3397">
        <v>31254.71</v>
      </c>
      <c r="AM3397">
        <v>71536.38</v>
      </c>
      <c r="AN3397" s="10" cm="1">
        <f t="array" ref="AN3397">Lair(100000000/($AM3397-$AL3397))</f>
        <v>2481.7693515939159</v>
      </c>
      <c r="AO3397" s="10">
        <f>100000000/($AM3397-$AL3397)</f>
        <v>2482.5187237768441</v>
      </c>
      <c r="AP3397" s="12">
        <v>146000000</v>
      </c>
      <c r="AQ3397" s="3">
        <v>0.32500000000000001</v>
      </c>
      <c r="AR3397" s="3">
        <f>LN(AU3397*100000000/($AM3397-$AL3397)/AP3397)</f>
        <v>-7.5068764880640311</v>
      </c>
      <c r="AS3397" s="13">
        <f>EXP(AR$4341*$AM3397+AR$4342)*$AP3397/(100000000/($AM3397-$AL3397))</f>
        <v>24.233359626180608</v>
      </c>
      <c r="AT3397" s="3">
        <f>LN(AS3397/$C3397)</f>
        <v>0.99050560352137618</v>
      </c>
      <c r="AU3397" s="13" cm="1">
        <f t="array" ref="AU3397">$C3397*EXP(poly_from_str(100000000/$E3397,AU$4343))</f>
        <v>32.304668436125482</v>
      </c>
      <c r="AV3397" s="13">
        <f>LN(AS3397/AU3397)</f>
        <v>-0.28748157255321294</v>
      </c>
      <c r="AW3397" s="13"/>
      <c r="AX3397" s="13"/>
      <c r="AY3397" s="13"/>
    </row>
    <row r="3398" spans="1:51" x14ac:dyDescent="0.25">
      <c r="A3398">
        <v>2481.6869999999999</v>
      </c>
      <c r="B3398" s="2" t="str">
        <f t="shared" si="2836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2837"/>
        <v>2481.6869999999999</v>
      </c>
      <c r="AB3398" s="3">
        <f t="shared" si="2838"/>
        <v>40283.01</v>
      </c>
      <c r="AC3398" s="3" cm="1">
        <f t="array" ref="AC3398">100000000/LvacE(AA3398)</f>
        <v>40283.006580266774</v>
      </c>
      <c r="AD3398" s="10">
        <f t="shared" si="2839"/>
        <v>1.3116053027691803E-2</v>
      </c>
      <c r="AE3398" s="10" t="b">
        <f t="shared" si="2840"/>
        <v>1</v>
      </c>
      <c r="AP3398"/>
      <c r="AQ3398"/>
      <c r="AU3398" s="13" cm="1">
        <f t="array" ref="AU3398">$C3398*EXP(poly_from_str(100000000/$E3398,AU$4343))</f>
        <v>3.589831393114872</v>
      </c>
    </row>
    <row r="3399" spans="1:51" x14ac:dyDescent="0.25">
      <c r="A3399">
        <v>2481.0250000000001</v>
      </c>
      <c r="B3399" s="2" t="str">
        <f t="shared" si="2836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2841">$G3399&amp;""</f>
        <v>e</v>
      </c>
      <c r="N3399" t="str">
        <f t="shared" ref="N3399:N3401" si="2842">$H3399&amp;""</f>
        <v>7/2</v>
      </c>
      <c r="O3399">
        <v>60166.2</v>
      </c>
      <c r="P3399" t="str">
        <f t="shared" ref="P3399:P3401" si="2843">$J3399&amp;""</f>
        <v>o</v>
      </c>
      <c r="Q3399" t="str">
        <f t="shared" ref="Q3399:Q3401" si="2844">$K3399&amp;""</f>
        <v>9/2</v>
      </c>
      <c r="R3399">
        <v>32</v>
      </c>
      <c r="AA3399" s="10">
        <f t="shared" si="2837"/>
        <v>2481.0250000000001</v>
      </c>
      <c r="AB3399" s="3">
        <f t="shared" si="2838"/>
        <v>40293.75</v>
      </c>
      <c r="AC3399" s="3" cm="1">
        <f t="array" ref="AC3399">100000000/LvacE(AA3399)</f>
        <v>40293.754344614157</v>
      </c>
      <c r="AD3399" s="10">
        <f t="shared" si="2839"/>
        <v>1.3120384587945337E-2</v>
      </c>
      <c r="AE3399" s="10" t="b">
        <f t="shared" si="2840"/>
        <v>1</v>
      </c>
      <c r="AJ3399" t="s">
        <v>4785</v>
      </c>
      <c r="AK3399" t="s">
        <v>4726</v>
      </c>
      <c r="AL3399">
        <v>19872.43</v>
      </c>
      <c r="AM3399">
        <v>60166.2</v>
      </c>
      <c r="AN3399" s="10" cm="1">
        <f t="array" ref="AN3399">Lair(100000000/($AM3399-$AL3399))</f>
        <v>2481.0240372900853</v>
      </c>
      <c r="AO3399" s="10">
        <f t="shared" ref="AO3399:AO3401" si="2845">100000000/($AM3399-$AL3399)</f>
        <v>2481.7732369048617</v>
      </c>
      <c r="AP3399" s="12">
        <v>193000000</v>
      </c>
      <c r="AQ3399" s="3">
        <v>0.311</v>
      </c>
      <c r="AR3399" s="3">
        <f t="shared" ref="AR3399:AR3401" si="2846">LN(AU3399*100000000/($AM3399-$AL3399)/AP3399)</f>
        <v>-7.6798441994829449</v>
      </c>
      <c r="AS3399" s="13">
        <f t="shared" ref="AS3399:AS3401" si="2847">EXP(AR$4341*$AM3399+AR$4342)*$AP3399/(100000000/($AM3399-$AL3399))</f>
        <v>75.219405987485743</v>
      </c>
      <c r="AT3399" s="3">
        <f t="shared" ref="AT3399:AT3401" si="2848">LN(AS3399/$C3399)</f>
        <v>2.0178241630146463</v>
      </c>
      <c r="AU3399" s="13" cm="1">
        <f t="array" ref="AU3399">$C3399*EXP(poly_from_str(100000000/$E3399,AU$4343))</f>
        <v>35.931988698690319</v>
      </c>
      <c r="AV3399" s="13">
        <f t="shared" ref="AV3399:AV3401" si="2849">LN(AS3399/AU3399)</f>
        <v>0.73878130716114243</v>
      </c>
      <c r="AW3399" s="13"/>
      <c r="AX3399" s="13"/>
      <c r="AY3399" s="13"/>
    </row>
    <row r="3400" spans="1:51" x14ac:dyDescent="0.25">
      <c r="A3400">
        <v>2480.6930000000002</v>
      </c>
      <c r="B3400" s="2" t="str">
        <f t="shared" si="2836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2841"/>
        <v>e</v>
      </c>
      <c r="N3400" t="str">
        <f t="shared" si="2842"/>
        <v>5/2</v>
      </c>
      <c r="O3400">
        <v>61717.98</v>
      </c>
      <c r="P3400" t="str">
        <f t="shared" si="2843"/>
        <v>o</v>
      </c>
      <c r="Q3400" t="str">
        <f t="shared" si="2844"/>
        <v>5/2</v>
      </c>
      <c r="R3400">
        <v>32</v>
      </c>
      <c r="AA3400" s="10">
        <f t="shared" si="2837"/>
        <v>2480.6930000000002</v>
      </c>
      <c r="AB3400" s="3">
        <f t="shared" si="2838"/>
        <v>40299.15</v>
      </c>
      <c r="AC3400" s="3" cm="1">
        <f t="array" ref="AC3400">100000000/LvacE(AA3400)</f>
        <v>40299.146621575048</v>
      </c>
      <c r="AD3400" s="10">
        <f t="shared" si="2839"/>
        <v>1.3122558216912581E-2</v>
      </c>
      <c r="AE3400" s="10" t="b">
        <f t="shared" si="2840"/>
        <v>1</v>
      </c>
      <c r="AJ3400" t="s">
        <v>4792</v>
      </c>
      <c r="AK3400" t="s">
        <v>4880</v>
      </c>
      <c r="AL3400">
        <v>21418.84</v>
      </c>
      <c r="AM3400">
        <v>61717.98</v>
      </c>
      <c r="AN3400" s="10" cm="1">
        <f t="array" ref="AN3400">Lair(100000000/($AM3400-$AL3400))</f>
        <v>2480.693408952724</v>
      </c>
      <c r="AO3400" s="10">
        <f t="shared" si="2845"/>
        <v>2481.4425320242567</v>
      </c>
      <c r="AP3400" s="12">
        <v>47000000</v>
      </c>
      <c r="AQ3400" s="3">
        <v>9.9000000000000005E-2</v>
      </c>
      <c r="AR3400" s="3">
        <f t="shared" si="2846"/>
        <v>-6.3723250215544915</v>
      </c>
      <c r="AS3400" s="13">
        <f t="shared" si="2847"/>
        <v>16.306174994708236</v>
      </c>
      <c r="AT3400" s="3">
        <f t="shared" si="2848"/>
        <v>0.5943192927681834</v>
      </c>
      <c r="AU3400" s="13" cm="1">
        <f t="array" ref="AU3400">$C3400*EXP(poly_from_str(100000000/$E3400,AU$4343))</f>
        <v>32.354004562453845</v>
      </c>
      <c r="AV3400" s="13">
        <f t="shared" si="2849"/>
        <v>-0.68519393181977506</v>
      </c>
      <c r="AW3400" s="13"/>
      <c r="AX3400" s="13"/>
      <c r="AY3400" s="13"/>
    </row>
    <row r="3401" spans="1:51" x14ac:dyDescent="0.25">
      <c r="A3401">
        <v>2480.4870000000001</v>
      </c>
      <c r="B3401" s="2" t="str">
        <f t="shared" si="2836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2841"/>
        <v>o</v>
      </c>
      <c r="N3401" t="str">
        <f t="shared" si="2842"/>
        <v>9/2</v>
      </c>
      <c r="O3401">
        <v>103895.83</v>
      </c>
      <c r="P3401" t="str">
        <f t="shared" si="2843"/>
        <v>e</v>
      </c>
      <c r="Q3401" t="str">
        <f t="shared" si="2844"/>
        <v>7/2</v>
      </c>
      <c r="R3401">
        <v>32</v>
      </c>
      <c r="S3401" t="s">
        <v>3939</v>
      </c>
      <c r="AA3401" s="10">
        <f t="shared" si="2837"/>
        <v>2480.4870000000001</v>
      </c>
      <c r="AB3401" s="3">
        <f t="shared" si="2838"/>
        <v>40302.49</v>
      </c>
      <c r="AC3401" s="3" cm="1">
        <f t="array" ref="AC3401">100000000/LvacE(AA3401)</f>
        <v>40302.49315756125</v>
      </c>
      <c r="AD3401" s="10">
        <f t="shared" si="2839"/>
        <v>1.3123907353185332E-2</v>
      </c>
      <c r="AE3401" s="10" t="b">
        <f t="shared" si="2840"/>
        <v>1</v>
      </c>
      <c r="AJ3401" t="s">
        <v>4840</v>
      </c>
      <c r="AK3401" t="s">
        <v>4952</v>
      </c>
      <c r="AL3401">
        <v>63593.35</v>
      </c>
      <c r="AM3401">
        <v>103895.83</v>
      </c>
      <c r="AN3401" s="10" cm="1">
        <f t="array" ref="AN3401">Lair(100000000/($AM3401-$AL3401))</f>
        <v>2480.4878111861599</v>
      </c>
      <c r="AO3401" s="10">
        <f t="shared" si="2845"/>
        <v>2481.2368866630536</v>
      </c>
      <c r="AP3401" s="12">
        <v>2050000000</v>
      </c>
      <c r="AQ3401" s="3">
        <v>0.59199999999999997</v>
      </c>
      <c r="AR3401" s="3">
        <f t="shared" si="2846"/>
        <v>-10.147564784646546</v>
      </c>
      <c r="AS3401" s="13">
        <f t="shared" si="2847"/>
        <v>30.016980431164683</v>
      </c>
      <c r="AT3401" s="3">
        <f t="shared" si="2848"/>
        <v>1.204538658572377</v>
      </c>
      <c r="AU3401" s="13" cm="1">
        <f t="array" ref="AU3401">$C3401*EXP(poly_from_str(100000000/$E3401,AU$4343))</f>
        <v>32.363407487095856</v>
      </c>
      <c r="AV3401" s="13">
        <f t="shared" si="2849"/>
        <v>-7.5265150092119759E-2</v>
      </c>
      <c r="AW3401" s="13"/>
      <c r="AX3401" s="13"/>
      <c r="AY3401" s="13"/>
    </row>
    <row r="3402" spans="1:51" x14ac:dyDescent="0.25">
      <c r="A3402">
        <v>2480.4090000000001</v>
      </c>
      <c r="B3402" s="2" t="str">
        <f t="shared" si="2836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2837"/>
        <v>2480.4090000000001</v>
      </c>
      <c r="AB3402" s="3">
        <f t="shared" si="2838"/>
        <v>40303.760000000002</v>
      </c>
      <c r="AC3402" s="3" cm="1">
        <f t="array" ref="AC3402">100000000/LvacE(AA3402)</f>
        <v>40303.760437609832</v>
      </c>
      <c r="AD3402" s="10">
        <f t="shared" si="2839"/>
        <v>1.3124418278922918E-2</v>
      </c>
      <c r="AE3402" s="10" t="b">
        <f t="shared" si="2840"/>
        <v>1</v>
      </c>
      <c r="AP3402"/>
      <c r="AQ3402"/>
      <c r="AU3402" s="13" cm="1">
        <f t="array" ref="AU3402">$C3402*EXP(poly_from_str(100000000/$E3402,AU$4343))</f>
        <v>10.788993778502302</v>
      </c>
    </row>
    <row r="3403" spans="1:51" x14ac:dyDescent="0.25">
      <c r="A3403">
        <v>2480.248</v>
      </c>
      <c r="B3403" s="2" t="str">
        <f t="shared" si="2836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2837"/>
        <v>2480.248</v>
      </c>
      <c r="AB3403" s="3">
        <f t="shared" si="2838"/>
        <v>40306.379999999997</v>
      </c>
      <c r="AC3403" s="3" cm="1">
        <f t="array" ref="AC3403">100000000/LvacE(AA3403)</f>
        <v>40306.376485634471</v>
      </c>
      <c r="AD3403" s="10">
        <f t="shared" si="2839"/>
        <v>1.3125473034477697E-2</v>
      </c>
      <c r="AE3403" s="10" t="b">
        <f t="shared" si="2840"/>
        <v>1</v>
      </c>
      <c r="AJ3403" t="s">
        <v>4763</v>
      </c>
      <c r="AK3403" t="s">
        <v>4931</v>
      </c>
      <c r="AL3403">
        <v>23844.58</v>
      </c>
      <c r="AM3403">
        <v>64150.94</v>
      </c>
      <c r="AN3403" s="10" cm="1">
        <f t="array" ref="AN3403">Lair(100000000/($AM3403-$AL3403))</f>
        <v>2480.2490158418736</v>
      </c>
      <c r="AO3403" s="10">
        <f>100000000/($AM3403-$AL3403)</f>
        <v>2480.9980360419545</v>
      </c>
      <c r="AP3403" s="12">
        <v>5980000</v>
      </c>
      <c r="AQ3403" s="3">
        <v>4.5999999999999999E-2</v>
      </c>
      <c r="AR3403" s="3"/>
      <c r="AS3403" s="13">
        <f>EXP(AR$4341*$AM3403+AR$4342)*$AP3403/(100000000/($AM3403-$AL3403))</f>
        <v>1.7287700735606875</v>
      </c>
      <c r="AT3403" s="3"/>
      <c r="AU3403" s="13" cm="1">
        <f t="array" ref="AU3403">$C3403*EXP(poly_from_str(100000000/$E3403,AU$4343))</f>
        <v>17.985750860080007</v>
      </c>
      <c r="AV3403" s="13"/>
      <c r="AW3403" s="13"/>
      <c r="AX3403" s="13"/>
      <c r="AY3403" s="13"/>
    </row>
    <row r="3404" spans="1:51" x14ac:dyDescent="0.25">
      <c r="A3404">
        <v>2480.23</v>
      </c>
      <c r="B3404" s="2" t="str">
        <f t="shared" si="2836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2837"/>
        <v>2480.23</v>
      </c>
      <c r="AB3404" s="3">
        <f t="shared" si="2838"/>
        <v>40306.67</v>
      </c>
      <c r="AC3404" s="3" cm="1">
        <f t="array" ref="AC3404">100000000/LvacE(AA3404)</f>
        <v>40306.668984158779</v>
      </c>
      <c r="AD3404" s="10">
        <f t="shared" si="2839"/>
        <v>1.3125590970224289E-2</v>
      </c>
      <c r="AE3404" s="10" t="b">
        <f t="shared" si="2840"/>
        <v>1</v>
      </c>
      <c r="AP3404"/>
      <c r="AQ3404"/>
      <c r="AU3404" s="13" cm="1">
        <f t="array" ref="AU3404">$C3404*EXP(poly_from_str(100000000/$E3404,AU$4343))</f>
        <v>17.986203955796164</v>
      </c>
    </row>
    <row r="3405" spans="1:51" x14ac:dyDescent="0.25">
      <c r="A3405">
        <v>2479.9769999999999</v>
      </c>
      <c r="B3405" s="2" t="str">
        <f t="shared" si="2836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2850">$G3405&amp;""</f>
        <v>e</v>
      </c>
      <c r="N3405" t="str">
        <f t="shared" ref="N3405:N3406" si="2851">$H3405&amp;""</f>
        <v>7/2</v>
      </c>
      <c r="O3405">
        <v>61605.66</v>
      </c>
      <c r="P3405" t="str">
        <f t="shared" ref="P3405:P3406" si="2852">$J3405&amp;""</f>
        <v>o</v>
      </c>
      <c r="Q3405" t="str">
        <f t="shared" ref="Q3405:Q3406" si="2853">$K3405&amp;""</f>
        <v>7/2</v>
      </c>
      <c r="R3405">
        <v>32</v>
      </c>
      <c r="AA3405" s="10">
        <f t="shared" si="2837"/>
        <v>2479.9769999999999</v>
      </c>
      <c r="AB3405" s="3">
        <f t="shared" si="2838"/>
        <v>40310.78</v>
      </c>
      <c r="AC3405" s="3" cm="1">
        <f t="array" ref="AC3405">100000000/LvacE(AA3405)</f>
        <v>40310.780662610749</v>
      </c>
      <c r="AD3405" s="10">
        <f t="shared" si="2839"/>
        <v>1.3127248894366915E-2</v>
      </c>
      <c r="AE3405" s="10" t="b">
        <f t="shared" si="2840"/>
        <v>1</v>
      </c>
      <c r="AJ3405" t="s">
        <v>4791</v>
      </c>
      <c r="AK3405" t="s">
        <v>4822</v>
      </c>
      <c r="AL3405">
        <v>21294.89</v>
      </c>
      <c r="AM3405">
        <v>61605.66</v>
      </c>
      <c r="AN3405" s="10" cm="1">
        <f t="array" ref="AN3405">Lair(100000000/($AM3405-$AL3405))</f>
        <v>2479.9776573591375</v>
      </c>
      <c r="AO3405" s="10">
        <f t="shared" ref="AO3405:AO3406" si="2854">100000000/($AM3405-$AL3405)</f>
        <v>2480.726614748366</v>
      </c>
      <c r="AP3405" s="12">
        <v>133000000</v>
      </c>
      <c r="AQ3405" s="3">
        <v>0.23699999999999999</v>
      </c>
      <c r="AR3405" s="3">
        <f t="shared" ref="AR3405:AR3406" si="2855">LN(AU3405*100000000/($AM3405-$AL3405)/AP3405)</f>
        <v>-7.306443885178747</v>
      </c>
      <c r="AS3405" s="13">
        <f t="shared" ref="AS3405:AS3406" si="2856">EXP(AR$4341*$AM3405+AR$4342)*$AP3405/(100000000/($AM3405-$AL3405))</f>
        <v>46.547029976426622</v>
      </c>
      <c r="AT3405" s="3">
        <f t="shared" ref="AT3405:AT3406" si="2857">LN(AS3405/$C3405)</f>
        <v>1.5378781058240805</v>
      </c>
      <c r="AU3405" s="13" cm="1">
        <f t="array" ref="AU3405">$C3405*EXP(poly_from_str(100000000/$E3405,AU$4343))</f>
        <v>35.985245777803868</v>
      </c>
      <c r="AV3405" s="13">
        <f t="shared" ref="AV3405:AV3406" si="2858">LN(AS3405/AU3405)</f>
        <v>0.257354183874628</v>
      </c>
      <c r="AW3405" s="13"/>
      <c r="AX3405" s="13"/>
      <c r="AY3405" s="13"/>
    </row>
    <row r="3406" spans="1:51" x14ac:dyDescent="0.25">
      <c r="A3406">
        <v>2479.2840000000001</v>
      </c>
      <c r="B3406" s="2" t="str">
        <f t="shared" si="2836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2850"/>
        <v>e</v>
      </c>
      <c r="N3406" t="str">
        <f t="shared" si="2851"/>
        <v>15/2</v>
      </c>
      <c r="O3406">
        <v>66301.350000000006</v>
      </c>
      <c r="P3406" t="str">
        <f t="shared" si="2852"/>
        <v>o</v>
      </c>
      <c r="Q3406" t="str">
        <f t="shared" si="2853"/>
        <v>15/2</v>
      </c>
      <c r="R3406">
        <v>32</v>
      </c>
      <c r="S3406" t="s">
        <v>3940</v>
      </c>
      <c r="AA3406" s="10">
        <f t="shared" si="2837"/>
        <v>2479.2840000000001</v>
      </c>
      <c r="AB3406" s="3">
        <f t="shared" si="2838"/>
        <v>40322.050000000003</v>
      </c>
      <c r="AC3406" s="3" cm="1">
        <f t="array" ref="AC3406">100000000/LvacE(AA3406)</f>
        <v>40322.047382915327</v>
      </c>
      <c r="AD3406" s="10">
        <f t="shared" si="2839"/>
        <v>1.3131792764143866E-2</v>
      </c>
      <c r="AE3406" s="10" t="b">
        <f t="shared" si="2840"/>
        <v>1</v>
      </c>
      <c r="AJ3406" t="s">
        <v>4963</v>
      </c>
      <c r="AK3406" t="s">
        <v>4824</v>
      </c>
      <c r="AL3406">
        <v>25979.34</v>
      </c>
      <c r="AM3406">
        <v>66301.350000000006</v>
      </c>
      <c r="AN3406" s="10" cm="1">
        <f t="array" ref="AN3406">Lair(100000000/($AM3406-$AL3406))</f>
        <v>2479.2863000766829</v>
      </c>
      <c r="AO3406" s="10">
        <f t="shared" si="2854"/>
        <v>2480.0350974566986</v>
      </c>
      <c r="AP3406" s="12">
        <v>20800000</v>
      </c>
      <c r="AQ3406" s="3">
        <v>0.40799999999999997</v>
      </c>
      <c r="AR3406" s="3">
        <f t="shared" si="2855"/>
        <v>-6.1434972575702762</v>
      </c>
      <c r="AS3406" s="13">
        <f t="shared" si="2856"/>
        <v>5.1189509843462044</v>
      </c>
      <c r="AT3406" s="3">
        <f t="shared" si="2857"/>
        <v>2.3511619755456903E-2</v>
      </c>
      <c r="AU3406" s="13" cm="1">
        <f t="array" ref="AU3406">$C3406*EXP(poly_from_str(100000000/$E3406,AU$4343))</f>
        <v>18.010200572259663</v>
      </c>
      <c r="AV3406" s="13">
        <f t="shared" si="2858"/>
        <v>-1.2579887636525449</v>
      </c>
      <c r="AW3406" s="13"/>
      <c r="AX3406" s="13"/>
      <c r="AY3406" s="13"/>
    </row>
    <row r="3407" spans="1:51" x14ac:dyDescent="0.25">
      <c r="A3407">
        <v>2478.6590000000001</v>
      </c>
      <c r="B3407" s="2" t="str">
        <f t="shared" si="2836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2837"/>
        <v>2478.6590000000001</v>
      </c>
      <c r="AB3407" s="3">
        <f t="shared" si="2838"/>
        <v>40332.21</v>
      </c>
      <c r="AC3407" s="3" cm="1">
        <f t="array" ref="AC3407">100000000/LvacE(AA3407)</f>
        <v>40332.213968805823</v>
      </c>
      <c r="AD3407" s="10">
        <f t="shared" si="2839"/>
        <v>1.3135894039641157E-2</v>
      </c>
      <c r="AE3407" s="10" t="b">
        <f t="shared" si="2840"/>
        <v>1</v>
      </c>
      <c r="AP3407"/>
      <c r="AQ3407"/>
      <c r="AU3407" s="13" cm="1">
        <f t="array" ref="AU3407">$C3407*EXP(poly_from_str(100000000/$E3407,AU$4343))</f>
        <v>7.2104074185471347</v>
      </c>
    </row>
    <row r="3408" spans="1:51" x14ac:dyDescent="0.25">
      <c r="A3408">
        <v>2478.5529999999999</v>
      </c>
      <c r="B3408" s="2" t="str">
        <f t="shared" si="2836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2837"/>
        <v>2478.5529999999999</v>
      </c>
      <c r="AB3408" s="3">
        <f t="shared" si="2838"/>
        <v>40333.94</v>
      </c>
      <c r="AC3408" s="3" cm="1">
        <f t="array" ref="AC3408">100000000/LvacE(AA3408)</f>
        <v>40333.938730236936</v>
      </c>
      <c r="AD3408" s="10">
        <f t="shared" si="2839"/>
        <v>1.3136589923684695E-2</v>
      </c>
      <c r="AE3408" s="10" t="b">
        <f t="shared" si="2840"/>
        <v>1</v>
      </c>
      <c r="AP3408"/>
      <c r="AQ3408"/>
      <c r="AU3408" s="13" cm="1">
        <f t="array" ref="AU3408">$C3408*EXP(poly_from_str(100000000/$E3408,AU$4343))</f>
        <v>7.211483751005396</v>
      </c>
    </row>
    <row r="3409" spans="1:51" x14ac:dyDescent="0.25">
      <c r="A3409">
        <v>2478.3240000000001</v>
      </c>
      <c r="B3409" s="2" t="str">
        <f t="shared" si="2836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2859">$G3409&amp;""</f>
        <v>e</v>
      </c>
      <c r="N3409" t="str">
        <f t="shared" ref="N3409:N3411" si="2860">$H3409&amp;""</f>
        <v>7/2</v>
      </c>
      <c r="O3409">
        <v>71592.34</v>
      </c>
      <c r="P3409" t="str">
        <f t="shared" ref="P3409:P3411" si="2861">$J3409&amp;""</f>
        <v>o</v>
      </c>
      <c r="Q3409" t="str">
        <f t="shared" ref="Q3409:Q3411" si="2862">$K3409&amp;""</f>
        <v>9/2</v>
      </c>
      <c r="R3409">
        <v>32</v>
      </c>
      <c r="AA3409" s="10">
        <f t="shared" si="2837"/>
        <v>2478.3240000000001</v>
      </c>
      <c r="AB3409" s="3">
        <f t="shared" si="2838"/>
        <v>40337.660000000003</v>
      </c>
      <c r="AC3409" s="3" cm="1">
        <f t="array" ref="AC3409">100000000/LvacE(AA3409)</f>
        <v>40337.665369381219</v>
      </c>
      <c r="AD3409" s="10">
        <f t="shared" si="2839"/>
        <v>1.3138093600631156E-2</v>
      </c>
      <c r="AE3409" s="10" t="b">
        <f t="shared" si="2840"/>
        <v>1</v>
      </c>
      <c r="AJ3409" t="s">
        <v>4735</v>
      </c>
      <c r="AK3409" t="s">
        <v>4881</v>
      </c>
      <c r="AL3409">
        <v>31254.71</v>
      </c>
      <c r="AM3409">
        <v>71592.34</v>
      </c>
      <c r="AN3409" s="10" cm="1">
        <f t="array" ref="AN3409">Lair(100000000/($AM3409-$AL3409))</f>
        <v>2478.3261745961336</v>
      </c>
      <c r="AO3409" s="10">
        <f t="shared" ref="AO3409:AO3411" si="2863">100000000/($AM3409-$AL3409)</f>
        <v>2479.0747498055789</v>
      </c>
      <c r="AP3409" s="12">
        <v>218000000</v>
      </c>
      <c r="AQ3409" s="3">
        <v>0.45600000000000002</v>
      </c>
      <c r="AR3409" s="3">
        <f>LN(AU3409*100000000/($AM3409-$AL3409)/AP3409)</f>
        <v>-7.7989315553835024</v>
      </c>
      <c r="AS3409" s="13">
        <f>EXP(AR$4341*$AM3409+AR$4342)*$AP3409/(100000000/($AM3409-$AL3409))</f>
        <v>36.082473854762085</v>
      </c>
      <c r="AT3409" s="3">
        <f>LN(AS3409/$C3409)</f>
        <v>1.2832221656691971</v>
      </c>
      <c r="AU3409" s="13" cm="1">
        <f t="array" ref="AU3409">$C3409*EXP(poly_from_str(100000000/$E3409,AU$4343))</f>
        <v>36.068985930178314</v>
      </c>
      <c r="AV3409" s="13">
        <f>LN(AS3409/AU3409)</f>
        <v>3.7387808316259943E-4</v>
      </c>
      <c r="AW3409" s="13"/>
      <c r="AX3409" s="13"/>
      <c r="AY3409" s="13"/>
    </row>
    <row r="3410" spans="1:51" x14ac:dyDescent="0.25">
      <c r="A3410">
        <v>2478.2289999999998</v>
      </c>
      <c r="B3410" s="2" t="str">
        <f t="shared" si="2836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2859"/>
        <v>e</v>
      </c>
      <c r="N3410" t="str">
        <f t="shared" si="2860"/>
        <v>1/2</v>
      </c>
      <c r="O3410">
        <v>78889.14</v>
      </c>
      <c r="P3410" t="str">
        <f t="shared" si="2861"/>
        <v>o</v>
      </c>
      <c r="Q3410" t="str">
        <f t="shared" si="2862"/>
        <v>3/2</v>
      </c>
      <c r="R3410">
        <v>32</v>
      </c>
      <c r="AA3410" s="10">
        <f t="shared" si="2837"/>
        <v>2478.2289999999998</v>
      </c>
      <c r="AB3410" s="3">
        <f t="shared" si="2838"/>
        <v>40339.21</v>
      </c>
      <c r="AC3410" s="3" cm="1">
        <f t="array" ref="AC3410">100000000/LvacE(AA3410)</f>
        <v>40339.211557144437</v>
      </c>
      <c r="AD3410" s="10">
        <f t="shared" si="2839"/>
        <v>1.3138717519071974E-2</v>
      </c>
      <c r="AE3410" s="10" t="b">
        <f t="shared" si="2840"/>
        <v>1</v>
      </c>
      <c r="AJ3410" t="s">
        <v>4704</v>
      </c>
      <c r="AK3410" t="s">
        <v>4877</v>
      </c>
      <c r="AL3410">
        <v>38549.9</v>
      </c>
      <c r="AM3410">
        <v>78889.14</v>
      </c>
      <c r="AN3410" s="10" cm="1">
        <f t="array" ref="AN3410">Lair(100000000/($AM3410-$AL3410))</f>
        <v>2478.2272538654397</v>
      </c>
      <c r="AO3410" s="10">
        <f t="shared" si="2863"/>
        <v>2478.9758061877219</v>
      </c>
      <c r="AU3410" s="13" cm="1">
        <f t="array" ref="AU3410">$C3410*EXP(poly_from_str(100000000/$E3410,AU$4343))</f>
        <v>3.6073803615540045</v>
      </c>
    </row>
    <row r="3411" spans="1:51" x14ac:dyDescent="0.25">
      <c r="A3411">
        <v>2477.7730000000001</v>
      </c>
      <c r="B3411" s="2" t="str">
        <f t="shared" si="2836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2859"/>
        <v>e</v>
      </c>
      <c r="N3411" t="str">
        <f t="shared" si="2860"/>
        <v>7/2</v>
      </c>
      <c r="O3411">
        <v>64817.53</v>
      </c>
      <c r="P3411" t="str">
        <f t="shared" si="2861"/>
        <v>o</v>
      </c>
      <c r="Q3411" t="str">
        <f t="shared" si="2862"/>
        <v>5/2</v>
      </c>
      <c r="R3411">
        <v>32</v>
      </c>
      <c r="AA3411" s="10">
        <f t="shared" si="2837"/>
        <v>2477.7730000000001</v>
      </c>
      <c r="AB3411" s="3">
        <f t="shared" si="2838"/>
        <v>40346.629999999997</v>
      </c>
      <c r="AC3411" s="3" cm="1">
        <f t="array" ref="AC3411">100000000/LvacE(AA3411)</f>
        <v>40346.634908596578</v>
      </c>
      <c r="AD3411" s="10">
        <f t="shared" si="2839"/>
        <v>1.3141713326563123E-2</v>
      </c>
      <c r="AE3411" s="10" t="b">
        <f t="shared" si="2840"/>
        <v>1</v>
      </c>
      <c r="AJ3411" t="s">
        <v>4747</v>
      </c>
      <c r="AK3411" t="s">
        <v>4882</v>
      </c>
      <c r="AL3411">
        <v>24470.9</v>
      </c>
      <c r="AM3411">
        <v>64817.53</v>
      </c>
      <c r="AN3411" s="10" cm="1">
        <f t="array" ref="AN3411">Lair(100000000/($AM3411-$AL3411))</f>
        <v>2477.7733028446655</v>
      </c>
      <c r="AO3411" s="10">
        <f t="shared" si="2863"/>
        <v>2478.5217501436923</v>
      </c>
      <c r="AP3411" s="12">
        <v>15200000</v>
      </c>
      <c r="AQ3411" s="3">
        <v>5.6000000000000001E-2</v>
      </c>
      <c r="AR3411" s="3">
        <f>LN(AU3411*100000000/($AM3411-$AL3411)/AP3411)</f>
        <v>-7.4377678638464353</v>
      </c>
      <c r="AS3411" s="13">
        <f>EXP(AR$4341*$AM3411+AR$4342)*$AP3411/(100000000/($AM3411-$AL3411))</f>
        <v>4.1839603698948649</v>
      </c>
      <c r="AT3411" s="3">
        <f>LN(AS3411/$C3411)</f>
        <v>1.4312582548953128</v>
      </c>
      <c r="AU3411" s="13" cm="1">
        <f t="array" ref="AU3411">$C3411*EXP(poly_from_str(100000000/$E3411,AU$4343))</f>
        <v>3.6096850653390633</v>
      </c>
      <c r="AV3411" s="13">
        <f>LN(AS3411/AU3411)</f>
        <v>0.1476377258743764</v>
      </c>
      <c r="AW3411" s="13"/>
      <c r="AX3411" s="13"/>
      <c r="AY3411" s="13"/>
    </row>
    <row r="3412" spans="1:51" x14ac:dyDescent="0.25">
      <c r="A3412">
        <v>2477.2750000000001</v>
      </c>
      <c r="B3412" s="2" t="str">
        <f t="shared" si="2836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2837"/>
        <v>2477.2750000000001</v>
      </c>
      <c r="AB3412" s="3">
        <f t="shared" si="2838"/>
        <v>40354.74</v>
      </c>
      <c r="AC3412" s="3" cm="1">
        <f t="array" ref="AC3412">100000000/LvacE(AA3412)</f>
        <v>40354.745111398202</v>
      </c>
      <c r="AD3412" s="10">
        <f t="shared" si="2839"/>
        <v>1.3144986953688671E-2</v>
      </c>
      <c r="AE3412" s="10" t="b">
        <f t="shared" si="2840"/>
        <v>1</v>
      </c>
      <c r="AP3412"/>
      <c r="AQ3412"/>
      <c r="AU3412" s="13" cm="1">
        <f t="array" ref="AU3412">$C3412*EXP(poly_from_str(100000000/$E3412,AU$4343))</f>
        <v>3.6122012137785982</v>
      </c>
    </row>
    <row r="3413" spans="1:51" x14ac:dyDescent="0.25">
      <c r="A3413">
        <v>2477.1790000000001</v>
      </c>
      <c r="B3413" s="2" t="str">
        <f t="shared" si="2836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2864">$G3413&amp;""</f>
        <v>e</v>
      </c>
      <c r="N3413" t="str">
        <f t="shared" ref="N3413:N3414" si="2865">$H3413&amp;""</f>
        <v>5/2</v>
      </c>
      <c r="O3413">
        <v>64817.53</v>
      </c>
      <c r="P3413" t="str">
        <f t="shared" ref="P3413:P3414" si="2866">$J3413&amp;""</f>
        <v>o</v>
      </c>
      <c r="Q3413" t="str">
        <f t="shared" ref="Q3413:Q3414" si="2867">$K3413&amp;""</f>
        <v>5/2</v>
      </c>
      <c r="R3413">
        <v>32</v>
      </c>
      <c r="AA3413" s="10">
        <f t="shared" si="2837"/>
        <v>2477.1790000000001</v>
      </c>
      <c r="AB3413" s="3">
        <f t="shared" si="2838"/>
        <v>40356.31</v>
      </c>
      <c r="AC3413" s="3" cm="1">
        <f t="array" ref="AC3413">100000000/LvacE(AA3413)</f>
        <v>40356.308898823649</v>
      </c>
      <c r="AD3413" s="10">
        <f t="shared" si="2839"/>
        <v>1.3145618241318782E-2</v>
      </c>
      <c r="AE3413" s="10" t="b">
        <f t="shared" si="2840"/>
        <v>1</v>
      </c>
      <c r="AJ3413" t="s">
        <v>4717</v>
      </c>
      <c r="AK3413" t="s">
        <v>4882</v>
      </c>
      <c r="AL3413">
        <v>24461.24</v>
      </c>
      <c r="AM3413">
        <v>64817.53</v>
      </c>
      <c r="AN3413" s="10" cm="1">
        <f t="array" ref="AN3413">Lair(100000000/($AM3413-$AL3413))</f>
        <v>2477.1801615307013</v>
      </c>
      <c r="AO3413" s="10">
        <f t="shared" ref="AO3413:AO3414" si="2868">100000000/($AM3413-$AL3413)</f>
        <v>2477.9284716211528</v>
      </c>
      <c r="AP3413" s="12">
        <v>64100000</v>
      </c>
      <c r="AQ3413" s="3">
        <v>0.12</v>
      </c>
      <c r="AR3413" s="3">
        <f t="shared" ref="AR3413:AR3414" si="2869">LN(AU3413*100000000/($AM3413-$AL3413)/AP3413)</f>
        <v>-6.6791000614767526</v>
      </c>
      <c r="AS3413" s="13">
        <f t="shared" ref="AS3413:AS3414" si="2870">EXP(AR$4341*$AM3413+AR$4342)*$AP3413/(100000000/($AM3413-$AL3413))</f>
        <v>17.648425763170764</v>
      </c>
      <c r="AT3413" s="3">
        <f t="shared" ref="AT3413:AT3414" si="2871">LN(AS3413/$C3413)</f>
        <v>0.67342201017691139</v>
      </c>
      <c r="AU3413" s="13" cm="1">
        <f t="array" ref="AU3413">$C3413*EXP(poly_from_str(100000000/$E3413,AU$4343))</f>
        <v>32.514191774523475</v>
      </c>
      <c r="AV3413" s="13">
        <f t="shared" ref="AV3413:AV3414" si="2872">LN(AS3413/AU3413)</f>
        <v>-0.6110300764953065</v>
      </c>
      <c r="AW3413" s="13"/>
      <c r="AX3413" s="13"/>
      <c r="AY3413" s="13"/>
    </row>
    <row r="3414" spans="1:51" x14ac:dyDescent="0.25">
      <c r="A3414">
        <v>2476.259</v>
      </c>
      <c r="B3414" s="2" t="str">
        <f t="shared" si="2836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2864"/>
        <v>e</v>
      </c>
      <c r="N3414" t="str">
        <f t="shared" si="2865"/>
        <v>9/2</v>
      </c>
      <c r="O3414">
        <v>79395.55</v>
      </c>
      <c r="P3414" t="str">
        <f t="shared" si="2866"/>
        <v>o</v>
      </c>
      <c r="Q3414" t="str">
        <f t="shared" si="2867"/>
        <v>7/2</v>
      </c>
      <c r="R3414">
        <v>32</v>
      </c>
      <c r="AA3414" s="10">
        <f t="shared" si="2837"/>
        <v>2476.259</v>
      </c>
      <c r="AB3414" s="3">
        <f t="shared" si="2838"/>
        <v>40371.300000000003</v>
      </c>
      <c r="AC3414" s="3" cm="1">
        <f t="array" ref="AC3414">100000000/LvacE(AA3414)</f>
        <v>40371.301342956438</v>
      </c>
      <c r="AD3414" s="10">
        <f t="shared" si="2839"/>
        <v>1.3151671804717609E-2</v>
      </c>
      <c r="AE3414" s="10" t="b">
        <f t="shared" si="2840"/>
        <v>1</v>
      </c>
      <c r="AJ3414" t="s">
        <v>4702</v>
      </c>
      <c r="AK3414" t="s">
        <v>4917</v>
      </c>
      <c r="AL3414">
        <v>39024.269999999997</v>
      </c>
      <c r="AM3414">
        <v>79395.55</v>
      </c>
      <c r="AN3414" s="10" cm="1">
        <f t="array" ref="AN3414">Lair(100000000/($AM3414-$AL3414))</f>
        <v>2476.2603106137894</v>
      </c>
      <c r="AO3414" s="10">
        <f t="shared" si="2868"/>
        <v>2477.0084079573394</v>
      </c>
      <c r="AP3414" s="12">
        <v>59200000</v>
      </c>
      <c r="AQ3414" s="3">
        <v>5.8999999999999997E-2</v>
      </c>
      <c r="AR3414" s="3">
        <f t="shared" si="2869"/>
        <v>-7.1864511097004611</v>
      </c>
      <c r="AS3414" s="13">
        <f t="shared" si="2870"/>
        <v>5.460071972606543</v>
      </c>
      <c r="AT3414" s="3">
        <f t="shared" si="2871"/>
        <v>8.8024059031904286E-2</v>
      </c>
      <c r="AU3414" s="13" cm="1">
        <f t="array" ref="AU3414">$C3414*EXP(poly_from_str(100000000/$E3414,AU$4343))</f>
        <v>18.086651251334473</v>
      </c>
      <c r="AV3414" s="13">
        <f t="shared" si="2872"/>
        <v>-1.1977121947926483</v>
      </c>
      <c r="AW3414" s="13"/>
      <c r="AX3414" s="13"/>
      <c r="AY3414" s="13"/>
    </row>
    <row r="3415" spans="1:51" x14ac:dyDescent="0.25">
      <c r="A3415">
        <v>2476.0639999999999</v>
      </c>
      <c r="B3415" s="2" t="str">
        <f t="shared" si="2836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2837"/>
        <v>2476.0639999999999</v>
      </c>
      <c r="AB3415" s="3">
        <f t="shared" si="2838"/>
        <v>40374.480000000003</v>
      </c>
      <c r="AC3415" s="3" cm="1">
        <f t="array" ref="AC3415">100000000/LvacE(AA3415)</f>
        <v>40374.480520044825</v>
      </c>
      <c r="AD3415" s="10">
        <f t="shared" si="2839"/>
        <v>1.3152955763672675E-2</v>
      </c>
      <c r="AE3415" s="10" t="b">
        <f t="shared" si="2840"/>
        <v>1</v>
      </c>
      <c r="AP3415"/>
      <c r="AQ3415"/>
      <c r="AU3415" s="13" cm="1">
        <f t="array" ref="AU3415">$C3415*EXP(poly_from_str(100000000/$E3415,AU$4343))</f>
        <v>18.091569534827002</v>
      </c>
    </row>
    <row r="3416" spans="1:51" x14ac:dyDescent="0.25">
      <c r="A3416">
        <v>2475.9459999999999</v>
      </c>
      <c r="B3416" s="2" t="str">
        <f t="shared" si="2836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2873">$G3416&amp;""</f>
        <v>o</v>
      </c>
      <c r="N3416" t="str">
        <f t="shared" ref="N3416:N3417" si="2874">$H3416&amp;""</f>
        <v>11/2</v>
      </c>
      <c r="O3416">
        <v>102617.24</v>
      </c>
      <c r="P3416" t="str">
        <f t="shared" ref="P3416:P3417" si="2875">$J3416&amp;""</f>
        <v>e</v>
      </c>
      <c r="Q3416" t="str">
        <f t="shared" ref="Q3416:Q3417" si="2876">$K3416&amp;""</f>
        <v>11/2</v>
      </c>
      <c r="R3416">
        <v>32</v>
      </c>
      <c r="AA3416" s="10">
        <f t="shared" si="2837"/>
        <v>2475.9459999999999</v>
      </c>
      <c r="AB3416" s="3">
        <f t="shared" si="2838"/>
        <v>40376.400000000001</v>
      </c>
      <c r="AC3416" s="3" cm="1">
        <f t="array" ref="AC3416">100000000/LvacE(AA3416)</f>
        <v>40376.404572937405</v>
      </c>
      <c r="AD3416" s="10">
        <f t="shared" si="2839"/>
        <v>1.3153732870776948E-2</v>
      </c>
      <c r="AE3416" s="10" t="b">
        <f t="shared" si="2840"/>
        <v>1</v>
      </c>
      <c r="AJ3416" t="s">
        <v>4892</v>
      </c>
      <c r="AK3416" t="s">
        <v>4845</v>
      </c>
      <c r="AL3416">
        <v>62240.83</v>
      </c>
      <c r="AM3416">
        <v>102617.24</v>
      </c>
      <c r="AN3416" s="10" cm="1">
        <f t="array" ref="AN3416">Lair(100000000/($AM3416-$AL3416))</f>
        <v>2475.9456685913801</v>
      </c>
      <c r="AO3416" s="10">
        <f t="shared" ref="AO3416:AO3417" si="2877">100000000/($AM3416-$AL3416)</f>
        <v>2476.693693173811</v>
      </c>
      <c r="AU3416" s="13" cm="1">
        <f t="array" ref="AU3416">$C3416*EXP(poly_from_str(100000000/$E3416,AU$4343))</f>
        <v>3.6189076245971021</v>
      </c>
    </row>
    <row r="3417" spans="1:51" x14ac:dyDescent="0.25">
      <c r="A3417">
        <v>2475.692</v>
      </c>
      <c r="B3417" s="2" t="str">
        <f t="shared" si="2836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2873"/>
        <v>e</v>
      </c>
      <c r="N3417" t="str">
        <f t="shared" si="2874"/>
        <v>7/2</v>
      </c>
      <c r="O3417">
        <v>81404.52</v>
      </c>
      <c r="P3417" t="str">
        <f t="shared" si="2875"/>
        <v>o</v>
      </c>
      <c r="Q3417" t="str">
        <f t="shared" si="2876"/>
        <v>5/2</v>
      </c>
      <c r="R3417">
        <v>32</v>
      </c>
      <c r="AA3417" s="10">
        <f t="shared" si="2837"/>
        <v>2475.692</v>
      </c>
      <c r="AB3417" s="3">
        <f t="shared" si="2838"/>
        <v>40380.550000000003</v>
      </c>
      <c r="AC3417" s="3" cm="1">
        <f t="array" ref="AC3417">100000000/LvacE(AA3417)</f>
        <v>40380.546800552016</v>
      </c>
      <c r="AD3417" s="10">
        <f t="shared" si="2839"/>
        <v>1.3155406003766221E-2</v>
      </c>
      <c r="AE3417" s="10" t="b">
        <f t="shared" si="2840"/>
        <v>1</v>
      </c>
      <c r="AJ3417" t="s">
        <v>4711</v>
      </c>
      <c r="AK3417" t="s">
        <v>4916</v>
      </c>
      <c r="AL3417">
        <v>41023.980000000003</v>
      </c>
      <c r="AM3417">
        <v>81404.52</v>
      </c>
      <c r="AN3417" s="10" cm="1">
        <f t="array" ref="AN3417">Lair(100000000/($AM3417-$AL3417))</f>
        <v>2475.6924183808615</v>
      </c>
      <c r="AO3417" s="10">
        <f t="shared" si="2877"/>
        <v>2476.4403844029821</v>
      </c>
      <c r="AP3417" s="12">
        <v>55100000</v>
      </c>
      <c r="AQ3417" s="3">
        <v>0.115</v>
      </c>
      <c r="AR3417" s="3">
        <f>LN(AU3417*100000000/($AM3417-$AL3417)/AP3417)</f>
        <v>-8.0304089803962153</v>
      </c>
      <c r="AS3417" s="13">
        <f>EXP(AR$4341*$AM3417+AR$4342)*$AP3417/(100000000/($AM3417-$AL3417))</f>
        <v>4.3717037235077205</v>
      </c>
      <c r="AT3417" s="3">
        <f>LN(AS3417/$C3417)</f>
        <v>0.78200562064831081</v>
      </c>
      <c r="AU3417" s="13" cm="1">
        <f t="array" ref="AU3417">$C3417*EXP(poly_from_str(100000000/$E3417,AU$4343))</f>
        <v>7.2403808927444464</v>
      </c>
      <c r="AV3417" s="13">
        <f>LN(AS3417/AU3417)</f>
        <v>-0.50452101330062715</v>
      </c>
      <c r="AW3417" s="13"/>
      <c r="AX3417" s="13"/>
      <c r="AY3417" s="13"/>
    </row>
    <row r="3418" spans="1:51" x14ac:dyDescent="0.25">
      <c r="A3418">
        <v>2475.5360000000001</v>
      </c>
      <c r="B3418" s="2" t="str">
        <f t="shared" si="2836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2837"/>
        <v>2475.5360000000001</v>
      </c>
      <c r="AB3418" s="3">
        <f t="shared" si="2838"/>
        <v>40383.089999999997</v>
      </c>
      <c r="AC3418" s="3" cm="1">
        <f t="array" ref="AC3418">100000000/LvacE(AA3418)</f>
        <v>40383.09126714684</v>
      </c>
      <c r="AD3418" s="10">
        <f t="shared" si="2839"/>
        <v>1.3156433852536752E-2</v>
      </c>
      <c r="AE3418" s="10" t="b">
        <f t="shared" si="2840"/>
        <v>1</v>
      </c>
      <c r="AP3418"/>
      <c r="AQ3418"/>
      <c r="AU3418" s="13" cm="1">
        <f t="array" ref="AU3418">$C3418*EXP(poly_from_str(100000000/$E3418,AU$4343))</f>
        <v>3.6209752817192342</v>
      </c>
    </row>
    <row r="3419" spans="1:51" x14ac:dyDescent="0.25">
      <c r="A3419">
        <v>2475.3429999999998</v>
      </c>
      <c r="B3419" s="2" t="str">
        <f t="shared" si="2836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2878">$G3419&amp;""</f>
        <v>e</v>
      </c>
      <c r="N3419" t="str">
        <f t="shared" ref="N3419:N3421" si="2879">$H3419&amp;""</f>
        <v>7/2</v>
      </c>
      <c r="O3419">
        <v>64857.15</v>
      </c>
      <c r="P3419" t="str">
        <f t="shared" ref="P3419:P3421" si="2880">$J3419&amp;""</f>
        <v>o</v>
      </c>
      <c r="Q3419" t="str">
        <f t="shared" ref="Q3419:Q3421" si="2881">$K3419&amp;""</f>
        <v>9/2</v>
      </c>
      <c r="R3419">
        <v>32</v>
      </c>
      <c r="AA3419" s="10">
        <f t="shared" si="2837"/>
        <v>2475.3429999999998</v>
      </c>
      <c r="AB3419" s="3">
        <f t="shared" si="2838"/>
        <v>40386.239999999998</v>
      </c>
      <c r="AC3419" s="3" cm="1">
        <f t="array" ref="AC3419">100000000/LvacE(AA3419)</f>
        <v>40386.239672795207</v>
      </c>
      <c r="AD3419" s="10">
        <f t="shared" si="2839"/>
        <v>1.3157705754878256E-2</v>
      </c>
      <c r="AE3419" s="10" t="b">
        <f t="shared" si="2840"/>
        <v>1</v>
      </c>
      <c r="AJ3419" t="s">
        <v>4747</v>
      </c>
      <c r="AK3419" t="s">
        <v>4854</v>
      </c>
      <c r="AL3419">
        <v>24470.9</v>
      </c>
      <c r="AM3419">
        <v>64857.15</v>
      </c>
      <c r="AN3419" s="10" cm="1">
        <f t="array" ref="AN3419">Lair(100000000/($AM3419-$AL3419))</f>
        <v>2475.3423684056588</v>
      </c>
      <c r="AO3419" s="10">
        <f t="shared" ref="AO3419:AO3421" si="2882">100000000/($AM3419-$AL3419)</f>
        <v>2476.0902534897396</v>
      </c>
      <c r="AP3419" s="12">
        <v>30700000</v>
      </c>
      <c r="AQ3419" s="3">
        <v>0.11700000000000001</v>
      </c>
      <c r="AR3419" s="3">
        <f t="shared" ref="AR3419:AR3420" si="2883">LN(AU3419*100000000/($AM3419-$AL3419)/AP3419)</f>
        <v>-6.5288871361552436</v>
      </c>
      <c r="AS3419" s="13">
        <f t="shared" ref="AS3419:AS3420" si="2884">EXP(AR$4341*$AM3419+AR$4342)*$AP3419/(100000000/($AM3419-$AL3419))</f>
        <v>8.4336835805203769</v>
      </c>
      <c r="AT3419" s="3">
        <f t="shared" ref="AT3419:AT3420" si="2885">LN(AS3419/$C3419)</f>
        <v>0.52279572505586569</v>
      </c>
      <c r="AU3419" s="13" cm="1">
        <f t="array" ref="AU3419">$C3419*EXP(poly_from_str(100000000/$E3419,AU$4343))</f>
        <v>18.10974139173565</v>
      </c>
      <c r="AV3419" s="13">
        <f t="shared" ref="AV3419:AV3420" si="2886">LN(AS3419/AU3419)</f>
        <v>-0.76421635444341163</v>
      </c>
      <c r="AW3419" s="13"/>
      <c r="AX3419" s="13"/>
      <c r="AY3419" s="13"/>
    </row>
    <row r="3420" spans="1:51" x14ac:dyDescent="0.25">
      <c r="A3420">
        <v>2475.047</v>
      </c>
      <c r="B3420" s="2">
        <f t="shared" si="2836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2878"/>
        <v>e</v>
      </c>
      <c r="N3420" t="str">
        <f t="shared" si="2879"/>
        <v>9/2</v>
      </c>
      <c r="O3420">
        <v>64235.61</v>
      </c>
      <c r="P3420" t="str">
        <f t="shared" si="2880"/>
        <v>o</v>
      </c>
      <c r="Q3420" t="str">
        <f t="shared" si="2881"/>
        <v>9/2</v>
      </c>
      <c r="R3420">
        <v>32</v>
      </c>
      <c r="AA3420" s="10">
        <f t="shared" si="2837"/>
        <v>2475.047</v>
      </c>
      <c r="AB3420" s="3">
        <f t="shared" si="2838"/>
        <v>40391.07</v>
      </c>
      <c r="AC3420" s="3" cm="1">
        <f t="array" ref="AC3420">100000000/LvacE(AA3420)</f>
        <v>40391.069269527317</v>
      </c>
      <c r="AD3420" s="10">
        <f t="shared" si="2839"/>
        <v>1.3159657022579232E-2</v>
      </c>
      <c r="AE3420" s="10" t="b">
        <f t="shared" si="2840"/>
        <v>1</v>
      </c>
      <c r="AJ3420" t="s">
        <v>4763</v>
      </c>
      <c r="AK3420" t="s">
        <v>4842</v>
      </c>
      <c r="AL3420">
        <v>23844.58</v>
      </c>
      <c r="AM3420">
        <v>64235.61</v>
      </c>
      <c r="AN3420" s="10" cm="1">
        <f t="array" ref="AN3420">Lair(100000000/($AM3420-$AL3420))</f>
        <v>2475.0494079236842</v>
      </c>
      <c r="AO3420" s="10">
        <f t="shared" si="2882"/>
        <v>2475.7972252750178</v>
      </c>
      <c r="AP3420" s="12">
        <v>42500000</v>
      </c>
      <c r="AQ3420" s="3">
        <v>9.9000000000000005E-2</v>
      </c>
      <c r="AR3420" s="3">
        <f t="shared" si="2883"/>
        <v>-6.3838316366536718</v>
      </c>
      <c r="AS3420" s="13">
        <f t="shared" si="2884"/>
        <v>12.234232585910025</v>
      </c>
      <c r="AT3420" s="3">
        <f t="shared" si="2885"/>
        <v>0.42479643039598569</v>
      </c>
      <c r="AU3420" s="13" cm="1">
        <f t="array" ref="AU3420">$C3420*EXP(poly_from_str(100000000/$E3420,AU$4343))</f>
        <v>28.987516241729356</v>
      </c>
      <c r="AV3420" s="13">
        <f t="shared" si="2886"/>
        <v>-0.86262729080681355</v>
      </c>
      <c r="AW3420" s="13"/>
      <c r="AX3420" s="13"/>
      <c r="AY3420" s="13"/>
    </row>
    <row r="3421" spans="1:51" x14ac:dyDescent="0.25">
      <c r="A3421">
        <v>2475.047</v>
      </c>
      <c r="B3421" s="2">
        <f t="shared" si="2836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2878"/>
        <v>e</v>
      </c>
      <c r="N3421" t="str">
        <f t="shared" si="2879"/>
        <v>9/2</v>
      </c>
      <c r="O3421">
        <v>71385.600000000006</v>
      </c>
      <c r="P3421" t="str">
        <f t="shared" si="2880"/>
        <v>o</v>
      </c>
      <c r="Q3421" t="str">
        <f t="shared" si="2881"/>
        <v>7/2</v>
      </c>
      <c r="R3421">
        <v>32</v>
      </c>
      <c r="AA3421" s="10">
        <f t="shared" si="2837"/>
        <v>2475.047</v>
      </c>
      <c r="AB3421" s="3">
        <f t="shared" si="2838"/>
        <v>40391.07</v>
      </c>
      <c r="AC3421" s="3" cm="1">
        <f t="array" ref="AC3421">100000000/LvacE(AA3421)</f>
        <v>40391.069269527317</v>
      </c>
      <c r="AD3421" s="10">
        <f t="shared" si="2839"/>
        <v>1.3159657022579232E-2</v>
      </c>
      <c r="AE3421" s="10" t="b">
        <f t="shared" si="2840"/>
        <v>1</v>
      </c>
      <c r="AJ3421" t="s">
        <v>4788</v>
      </c>
      <c r="AK3421" t="s">
        <v>4874</v>
      </c>
      <c r="AL3421">
        <v>30994.55</v>
      </c>
      <c r="AM3421">
        <v>71385.600000000006</v>
      </c>
      <c r="AN3421" s="10" cm="1">
        <f t="array" ref="AN3421">Lair(100000000/($AM3421-$AL3421))</f>
        <v>2475.0481822932679</v>
      </c>
      <c r="AO3421" s="10">
        <f t="shared" si="2882"/>
        <v>2475.7959993612444</v>
      </c>
      <c r="AU3421" s="13" cm="1">
        <f t="array" ref="AU3421">$C3421*EXP(poly_from_str(100000000/$E3421,AU$4343))</f>
        <v>28.987516241729356</v>
      </c>
    </row>
    <row r="3422" spans="1:51" x14ac:dyDescent="0.25">
      <c r="A3422">
        <v>2474.7139999999999</v>
      </c>
      <c r="B3422" s="2" t="str">
        <f t="shared" si="2836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2837"/>
        <v>2474.7139999999999</v>
      </c>
      <c r="AB3422" s="3">
        <f t="shared" si="2838"/>
        <v>40396.5</v>
      </c>
      <c r="AC3422" s="3" cm="1">
        <f t="array" ref="AC3422">100000000/LvacE(AA3422)</f>
        <v>40396.503946644691</v>
      </c>
      <c r="AD3422" s="10">
        <f t="shared" si="2839"/>
        <v>1.3161853035672948E-2</v>
      </c>
      <c r="AE3422" s="10" t="b">
        <f t="shared" si="2840"/>
        <v>1</v>
      </c>
      <c r="AP3422"/>
      <c r="AQ3422"/>
      <c r="AU3422" s="13" cm="1">
        <f t="array" ref="AU3422">$C3422*EXP(poly_from_str(100000000/$E3422,AU$4343))</f>
        <v>10.875345258439079</v>
      </c>
    </row>
    <row r="3423" spans="1:51" x14ac:dyDescent="0.25">
      <c r="A3423">
        <v>2474.3200000000002</v>
      </c>
      <c r="B3423" s="2" t="str">
        <f t="shared" si="2836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AA3423" s="10">
        <f t="shared" si="2837"/>
        <v>2474.3200000000002</v>
      </c>
      <c r="AB3423" s="3">
        <f t="shared" si="2838"/>
        <v>40402.94</v>
      </c>
      <c r="AC3423" s="3" cm="1">
        <f t="array" ref="AC3423">100000000/LvacE(AA3423)</f>
        <v>40402.93605426851</v>
      </c>
      <c r="AD3423" s="10">
        <f t="shared" si="2839"/>
        <v>1.316445246659052E-2</v>
      </c>
      <c r="AE3423" s="10" t="b">
        <f t="shared" si="2840"/>
        <v>1</v>
      </c>
      <c r="AJ3423" t="s">
        <v>4765</v>
      </c>
      <c r="AK3423" t="s">
        <v>4929</v>
      </c>
      <c r="AL3423">
        <v>44903.42</v>
      </c>
      <c r="AM3423">
        <v>85306.1</v>
      </c>
      <c r="AN3423" s="10" cm="1">
        <f t="array" ref="AN3423">Lair(100000000/($AM3423-$AL3423))</f>
        <v>2474.3356836986795</v>
      </c>
      <c r="AO3423" s="10">
        <f>100000000/($AM3423-$AL3423)</f>
        <v>2475.0833360559245</v>
      </c>
      <c r="AP3423" s="12">
        <v>27700000</v>
      </c>
      <c r="AQ3423" s="3">
        <v>0.129</v>
      </c>
      <c r="AR3423" s="3">
        <f>LN(AU3423*100000000/($AM3423-$AL3423)/AP3423)</f>
        <v>-8.034479901927952</v>
      </c>
      <c r="AS3423" s="13">
        <f>EXP(AR$4341*$AM3423+AR$4342)*$AP3423/(100000000/($AM3423-$AL3423))</f>
        <v>1.6407979763823706</v>
      </c>
      <c r="AT3423" s="3">
        <f>LN(AS3423/$C3423)</f>
        <v>0.4951826944637</v>
      </c>
      <c r="AU3423" s="13" cm="1">
        <f t="array" ref="AU3423">$C3423*EXP(poly_from_str(100000000/$E3423,AU$4343))</f>
        <v>3.6271010618118176</v>
      </c>
      <c r="AV3423" s="13">
        <f>LN(AS3423/AU3423)</f>
        <v>-0.79325102919627777</v>
      </c>
      <c r="AW3423" s="13"/>
      <c r="AX3423" s="13"/>
      <c r="AY3423" s="13"/>
    </row>
    <row r="3424" spans="1:51" x14ac:dyDescent="0.25">
      <c r="A3424">
        <v>2474.0700000000002</v>
      </c>
      <c r="B3424" s="2" t="str">
        <f t="shared" si="2836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2837"/>
        <v>2474.0700000000002</v>
      </c>
      <c r="AB3424" s="3">
        <f t="shared" si="2838"/>
        <v>40407.019999999997</v>
      </c>
      <c r="AC3424" s="3" cm="1">
        <f t="array" ref="AC3424">100000000/LvacE(AA3424)</f>
        <v>40407.018403042624</v>
      </c>
      <c r="AD3424" s="10">
        <f t="shared" si="2839"/>
        <v>1.316610249569386E-2</v>
      </c>
      <c r="AE3424" s="10" t="b">
        <f t="shared" si="2840"/>
        <v>1</v>
      </c>
      <c r="AP3424"/>
      <c r="AQ3424"/>
      <c r="AU3424" s="13" cm="1">
        <f t="array" ref="AU3424">$C3424*EXP(poly_from_str(100000000/$E3424,AU$4343))</f>
        <v>3.6283585916032952</v>
      </c>
    </row>
    <row r="3425" spans="1:51" x14ac:dyDescent="0.25">
      <c r="A3425">
        <v>2473.4209999999998</v>
      </c>
      <c r="B3425" s="2" t="str">
        <f t="shared" si="2836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2837"/>
        <v>2473.4209999999998</v>
      </c>
      <c r="AB3425" s="3">
        <f t="shared" si="2838"/>
        <v>40417.620000000003</v>
      </c>
      <c r="AC3425" s="3" cm="1">
        <f t="array" ref="AC3425">100000000/LvacE(AA3425)</f>
        <v>40417.620031838043</v>
      </c>
      <c r="AD3425" s="10">
        <f t="shared" si="2839"/>
        <v>1.3170388306689006E-2</v>
      </c>
      <c r="AE3425" s="10" t="b">
        <f t="shared" si="2840"/>
        <v>1</v>
      </c>
      <c r="AJ3425" t="s">
        <v>4708</v>
      </c>
      <c r="AK3425" t="s">
        <v>4879</v>
      </c>
      <c r="AL3425">
        <v>28720.71</v>
      </c>
      <c r="AM3425">
        <v>69138.28</v>
      </c>
      <c r="AN3425" s="10" cm="1">
        <f t="array" ref="AN3425">Lair(100000000/($AM3425-$AL3425))</f>
        <v>2473.4240634598086</v>
      </c>
      <c r="AO3425" s="10">
        <f>100000000/($AM3425-$AL3425)</f>
        <v>2474.171505115226</v>
      </c>
      <c r="AP3425" s="12">
        <v>105000000</v>
      </c>
      <c r="AQ3425" s="3">
        <v>9.5000000000000001E-2</v>
      </c>
      <c r="AR3425" s="3">
        <f>LN(AU3425*100000000/($AM3425-$AL3425)/AP3425)</f>
        <v>-7.0635451663115951</v>
      </c>
      <c r="AS3425" s="13">
        <f>EXP(AR$4341*$AM3425+AR$4342)*$AP3425/(100000000/($AM3425-$AL3425))</f>
        <v>20.934983447868269</v>
      </c>
      <c r="AT3425" s="3">
        <f>LN(AS3425/$C3425)</f>
        <v>0.73883651583276799</v>
      </c>
      <c r="AU3425" s="13" cm="1">
        <f t="array" ref="AU3425">$C3425*EXP(poly_from_str(100000000/$E3425,AU$4343))</f>
        <v>36.316234338666774</v>
      </c>
      <c r="AV3425" s="13">
        <f>LN(AS3425/AU3425)</f>
        <v>-0.55084325942833856</v>
      </c>
      <c r="AW3425" s="13"/>
      <c r="AX3425" s="13"/>
      <c r="AY3425" s="13"/>
    </row>
    <row r="3426" spans="1:51" x14ac:dyDescent="0.25">
      <c r="A3426">
        <v>2473.009</v>
      </c>
      <c r="B3426" s="2" t="str">
        <f t="shared" si="2836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2837"/>
        <v>2473.009</v>
      </c>
      <c r="AB3426" s="3">
        <f t="shared" si="2838"/>
        <v>40424.35</v>
      </c>
      <c r="AC3426" s="3" cm="1">
        <f t="array" ref="AC3426">100000000/LvacE(AA3426)</f>
        <v>40424.35307461115</v>
      </c>
      <c r="AD3426" s="10">
        <f t="shared" si="2839"/>
        <v>1.3173110788236346E-2</v>
      </c>
      <c r="AE3426" s="10" t="b">
        <f t="shared" si="2840"/>
        <v>1</v>
      </c>
      <c r="AP3426"/>
      <c r="AQ3426"/>
      <c r="AU3426" s="13" cm="1">
        <f t="array" ref="AU3426">$C3426*EXP(poly_from_str(100000000/$E3426,AU$4343))</f>
        <v>7.2673894197612503</v>
      </c>
    </row>
    <row r="3427" spans="1:51" x14ac:dyDescent="0.25">
      <c r="A3427">
        <v>2472.3760000000002</v>
      </c>
      <c r="B3427" s="2" t="str">
        <f t="shared" si="2836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2887">$G3427&amp;""</f>
        <v>e</v>
      </c>
      <c r="N3427" t="str">
        <f t="shared" ref="N3427:N3428" si="2888">$H3427&amp;""</f>
        <v>13/2</v>
      </c>
      <c r="O3427">
        <v>79136.23</v>
      </c>
      <c r="P3427" t="str">
        <f t="shared" ref="P3427:P3428" si="2889">$J3427&amp;""</f>
        <v>o</v>
      </c>
      <c r="Q3427" t="str">
        <f t="shared" ref="Q3427:Q3428" si="2890">$K3427&amp;""</f>
        <v>13/2</v>
      </c>
      <c r="R3427">
        <v>32</v>
      </c>
      <c r="AA3427" s="10">
        <f t="shared" si="2837"/>
        <v>2472.3760000000002</v>
      </c>
      <c r="AB3427" s="3">
        <f t="shared" si="2838"/>
        <v>40434.699999999997</v>
      </c>
      <c r="AC3427" s="3" cm="1">
        <f t="array" ref="AC3427">100000000/LvacE(AA3427)</f>
        <v>40434.702145612595</v>
      </c>
      <c r="AD3427" s="10">
        <f t="shared" si="2839"/>
        <v>1.3177296282121446E-2</v>
      </c>
      <c r="AE3427" s="10" t="b">
        <f t="shared" si="2840"/>
        <v>1</v>
      </c>
      <c r="AJ3427" t="s">
        <v>4751</v>
      </c>
      <c r="AK3427" t="s">
        <v>4865</v>
      </c>
      <c r="AL3427">
        <v>38701.589999999997</v>
      </c>
      <c r="AM3427">
        <v>79136.23</v>
      </c>
      <c r="AN3427" s="10" cm="1">
        <f t="array" ref="AN3427">Lair(100000000/($AM3427-$AL3427))</f>
        <v>2472.3798016439964</v>
      </c>
      <c r="AO3427" s="10">
        <f t="shared" ref="AO3427:AO3428" si="2891">100000000/($AM3427-$AL3427)</f>
        <v>2473.1270019963081</v>
      </c>
      <c r="AP3427" s="12">
        <v>89900000</v>
      </c>
      <c r="AQ3427" s="3">
        <v>0.121</v>
      </c>
      <c r="AR3427" s="3">
        <f t="shared" ref="AR3427:AR3428" si="2892">LN(AU3427*100000000/($AM3427-$AL3427)/AP3427)</f>
        <v>-7.6004063689607042</v>
      </c>
      <c r="AS3427" s="13">
        <f t="shared" ref="AS3427:AS3428" si="2893">EXP(AR$4341*$AM3427+AR$4342)*$AP3427/(100000000/($AM3427-$AL3427))</f>
        <v>8.4677742953200461</v>
      </c>
      <c r="AT3427" s="3">
        <f t="shared" ref="AT3427:AT3428" si="2894">LN(AS3427/$C3427)</f>
        <v>0.52682978664768765</v>
      </c>
      <c r="AU3427" s="13" cm="1">
        <f t="array" ref="AU3427">$C3427*EXP(poly_from_str(100000000/$E3427,AU$4343))</f>
        <v>18.184389547109955</v>
      </c>
      <c r="AV3427" s="13">
        <f t="shared" ref="AV3427:AV3428" si="2895">LN(AS3427/AU3427)</f>
        <v>-0.76429580975934031</v>
      </c>
      <c r="AW3427" s="13"/>
      <c r="AX3427" s="13"/>
      <c r="AY3427" s="13"/>
    </row>
    <row r="3428" spans="1:51" x14ac:dyDescent="0.25">
      <c r="A3428">
        <v>2471.152</v>
      </c>
      <c r="B3428" s="2" t="str">
        <f t="shared" si="2836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2887"/>
        <v>e</v>
      </c>
      <c r="N3428" t="str">
        <f t="shared" si="2888"/>
        <v>7/2</v>
      </c>
      <c r="O3428">
        <v>62535.62</v>
      </c>
      <c r="P3428" t="str">
        <f t="shared" si="2889"/>
        <v>o</v>
      </c>
      <c r="Q3428" t="str">
        <f t="shared" si="2890"/>
        <v>9/2</v>
      </c>
      <c r="R3428">
        <v>32</v>
      </c>
      <c r="AA3428" s="10">
        <f t="shared" si="2837"/>
        <v>2471.152</v>
      </c>
      <c r="AB3428" s="3">
        <f t="shared" si="2838"/>
        <v>40454.730000000003</v>
      </c>
      <c r="AC3428" s="3" cm="1">
        <f t="array" ref="AC3428">100000000/LvacE(AA3428)</f>
        <v>40454.728655352745</v>
      </c>
      <c r="AD3428" s="10">
        <f t="shared" si="2839"/>
        <v>1.3185398683559883E-2</v>
      </c>
      <c r="AE3428" s="10" t="b">
        <f t="shared" si="2840"/>
        <v>1</v>
      </c>
      <c r="AJ3428" t="s">
        <v>4790</v>
      </c>
      <c r="AK3428" t="s">
        <v>4839</v>
      </c>
      <c r="AL3428">
        <v>22080.94</v>
      </c>
      <c r="AM3428">
        <v>62535.62</v>
      </c>
      <c r="AN3428" s="10" cm="1">
        <f t="array" ref="AN3428">Lair(100000000/($AM3428-$AL3428))</f>
        <v>2471.1549738014146</v>
      </c>
      <c r="AO3428" s="10">
        <f t="shared" si="2891"/>
        <v>2471.9018912026986</v>
      </c>
      <c r="AP3428" s="12">
        <v>66000000</v>
      </c>
      <c r="AQ3428" s="3">
        <v>0.40100000000000002</v>
      </c>
      <c r="AR3428" s="3">
        <f t="shared" si="2892"/>
        <v>-6.8201644124607412</v>
      </c>
      <c r="AS3428" s="13">
        <f t="shared" si="2893"/>
        <v>21.618339040040851</v>
      </c>
      <c r="AT3428" s="3">
        <f t="shared" si="2894"/>
        <v>0.99410044242002493</v>
      </c>
      <c r="AU3428" s="13" cm="1">
        <f t="array" ref="AU3428">$C3428*EXP(poly_from_str(100000000/$E3428,AU$4343))</f>
        <v>29.144253497319475</v>
      </c>
      <c r="AV3428" s="13">
        <f t="shared" si="2895"/>
        <v>-0.29871577366490482</v>
      </c>
      <c r="AW3428" s="13"/>
      <c r="AX3428" s="13"/>
      <c r="AY3428" s="13"/>
    </row>
    <row r="3429" spans="1:51" x14ac:dyDescent="0.25">
      <c r="A3429">
        <v>2470.9780000000001</v>
      </c>
      <c r="B3429" s="2" t="str">
        <f t="shared" si="2836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2837"/>
        <v>2470.9780000000001</v>
      </c>
      <c r="AB3429" s="3">
        <f t="shared" si="2838"/>
        <v>40457.58</v>
      </c>
      <c r="AC3429" s="3" cm="1">
        <f t="array" ref="AC3429">100000000/LvacE(AA3429)</f>
        <v>40457.577171612495</v>
      </c>
      <c r="AD3429" s="10">
        <f t="shared" si="2839"/>
        <v>1.3186551473062993E-2</v>
      </c>
      <c r="AE3429" s="10" t="b">
        <f t="shared" si="2840"/>
        <v>1</v>
      </c>
      <c r="AP3429"/>
      <c r="AQ3429"/>
      <c r="AU3429" s="13" cm="1">
        <f t="array" ref="AU3429">$C3429*EXP(poly_from_str(100000000/$E3429,AU$4343))</f>
        <v>21.863440079754557</v>
      </c>
    </row>
    <row r="3430" spans="1:51" x14ac:dyDescent="0.25">
      <c r="A3430">
        <v>2469.7959999999998</v>
      </c>
      <c r="B3430" s="2" t="str">
        <f t="shared" si="2836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2896">$G3430&amp;""</f>
        <v>e</v>
      </c>
      <c r="N3430" t="str">
        <f t="shared" ref="N3430:N3433" si="2897">$H3430&amp;""</f>
        <v>3/2</v>
      </c>
      <c r="O3430">
        <v>75614.81</v>
      </c>
      <c r="P3430" t="str">
        <f t="shared" ref="P3430:P3433" si="2898">$J3430&amp;""</f>
        <v>o</v>
      </c>
      <c r="Q3430" t="str">
        <f t="shared" ref="Q3430:Q3433" si="2899">$K3430&amp;""</f>
        <v>5/2</v>
      </c>
      <c r="R3430">
        <v>32</v>
      </c>
      <c r="AA3430" s="10">
        <f t="shared" si="2837"/>
        <v>2469.7959999999998</v>
      </c>
      <c r="AB3430" s="3">
        <f t="shared" si="2838"/>
        <v>40476.94</v>
      </c>
      <c r="AC3430" s="3" cm="1">
        <f t="array" ref="AC3430">100000000/LvacE(AA3430)</f>
        <v>40476.938059694359</v>
      </c>
      <c r="AD3430" s="10">
        <f t="shared" si="2839"/>
        <v>1.3194388941372964E-2</v>
      </c>
      <c r="AE3430" s="10" t="b">
        <f t="shared" si="2840"/>
        <v>1</v>
      </c>
      <c r="AJ3430" t="s">
        <v>4740</v>
      </c>
      <c r="AK3430" t="s">
        <v>4947</v>
      </c>
      <c r="AL3430">
        <v>35137.82</v>
      </c>
      <c r="AM3430">
        <v>75614.81</v>
      </c>
      <c r="AN3430" s="10" cm="1">
        <f t="array" ref="AN3430">Lair(100000000/($AM3430-$AL3430))</f>
        <v>2469.7928320478477</v>
      </c>
      <c r="AO3430" s="10">
        <f t="shared" ref="AO3430:AO3433" si="2900">100000000/($AM3430-$AL3430)</f>
        <v>2470.5394348739865</v>
      </c>
      <c r="AP3430" s="12">
        <v>20700000</v>
      </c>
      <c r="AQ3430" s="3">
        <v>7.6999999999999999E-2</v>
      </c>
      <c r="AR3430" s="3">
        <f t="shared" ref="AR3430:AR3432" si="2901">LN(AU3430*100000000/($AM3430-$AL3430)/AP3430)</f>
        <v>-7.738767129362202</v>
      </c>
      <c r="AS3430" s="13">
        <f t="shared" ref="AS3430:AS3433" si="2902">EXP(AR$4341*$AM3430+AR$4342)*$AP3430/(100000000/($AM3430-$AL3430))</f>
        <v>2.5421786261973303</v>
      </c>
      <c r="AT3430" s="3">
        <f t="shared" ref="AT3430:AT3432" si="2903">LN(AS3430/$C3430)</f>
        <v>0.93302144024232048</v>
      </c>
      <c r="AU3430" s="13" cm="1">
        <f t="array" ref="AU3430">$C3430*EXP(poly_from_str(100000000/$E3430,AU$4343))</f>
        <v>3.6498472901723051</v>
      </c>
      <c r="AV3430" s="13">
        <f t="shared" ref="AV3430:AV3432" si="2904">LN(AS3430/AU3430)</f>
        <v>-0.36166388816787565</v>
      </c>
      <c r="AW3430" s="13"/>
      <c r="AX3430" s="13"/>
      <c r="AY3430" s="13"/>
    </row>
    <row r="3431" spans="1:51" x14ac:dyDescent="0.25">
      <c r="A3431">
        <v>2469.3069999999998</v>
      </c>
      <c r="B3431" s="2" t="str">
        <f t="shared" si="2836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2896"/>
        <v>e</v>
      </c>
      <c r="N3431" t="str">
        <f t="shared" si="2897"/>
        <v>11/2</v>
      </c>
      <c r="O3431">
        <v>62240.83</v>
      </c>
      <c r="P3431" t="str">
        <f t="shared" si="2898"/>
        <v>o</v>
      </c>
      <c r="Q3431" t="str">
        <f t="shared" si="2899"/>
        <v>11/2</v>
      </c>
      <c r="R3431">
        <v>32</v>
      </c>
      <c r="AA3431" s="10">
        <f t="shared" si="2837"/>
        <v>2469.3069999999998</v>
      </c>
      <c r="AB3431" s="3">
        <f t="shared" si="2838"/>
        <v>40484.949999999997</v>
      </c>
      <c r="AC3431" s="3" cm="1">
        <f t="array" ref="AC3431">100000000/LvacE(AA3431)</f>
        <v>40484.953186676816</v>
      </c>
      <c r="AD3431" s="10">
        <f t="shared" si="2839"/>
        <v>1.319763463730448E-2</v>
      </c>
      <c r="AE3431" s="10" t="b">
        <f t="shared" si="2840"/>
        <v>1</v>
      </c>
      <c r="AJ3431" t="s">
        <v>4965</v>
      </c>
      <c r="AK3431" t="s">
        <v>4892</v>
      </c>
      <c r="AL3431">
        <v>21755.84</v>
      </c>
      <c r="AM3431">
        <v>62240.83</v>
      </c>
      <c r="AN3431" s="10" cm="1">
        <f t="array" ref="AN3431">Lair(100000000/($AM3431-$AL3431))</f>
        <v>2469.3047560191462</v>
      </c>
      <c r="AO3431" s="10">
        <f t="shared" si="2900"/>
        <v>2470.0512461532035</v>
      </c>
      <c r="AP3431" s="12">
        <v>22600000</v>
      </c>
      <c r="AQ3431" s="3">
        <v>7.4999999999999997E-2</v>
      </c>
      <c r="AR3431" s="3">
        <f t="shared" si="2901"/>
        <v>-6.0343486668062951</v>
      </c>
      <c r="AS3431" s="13">
        <f t="shared" si="2902"/>
        <v>7.5739076443141169</v>
      </c>
      <c r="AT3431" s="3">
        <f t="shared" si="2903"/>
        <v>0.23294966639770995</v>
      </c>
      <c r="AU3431" s="13" cm="1">
        <f t="array" ref="AU3431">$C3431*EXP(poly_from_str(100000000/$E3431,AU$4343))</f>
        <v>21.913822905261636</v>
      </c>
      <c r="AV3431" s="13">
        <f t="shared" si="2904"/>
        <v>-1.0624084849732096</v>
      </c>
      <c r="AW3431" s="13"/>
      <c r="AX3431" s="13"/>
      <c r="AY3431" s="13"/>
    </row>
    <row r="3432" spans="1:51" x14ac:dyDescent="0.25">
      <c r="A3432">
        <v>2468.9670000000001</v>
      </c>
      <c r="B3432" s="2" t="str">
        <f t="shared" si="2836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2896"/>
        <v>e</v>
      </c>
      <c r="N3432" t="str">
        <f t="shared" si="2897"/>
        <v>11/2</v>
      </c>
      <c r="O3432">
        <v>67870.759999999995</v>
      </c>
      <c r="P3432" t="str">
        <f t="shared" si="2898"/>
        <v>o</v>
      </c>
      <c r="Q3432" t="str">
        <f t="shared" si="2899"/>
        <v>9/2</v>
      </c>
      <c r="R3432">
        <v>32</v>
      </c>
      <c r="AA3432" s="10">
        <f t="shared" si="2837"/>
        <v>2468.9670000000001</v>
      </c>
      <c r="AB3432" s="3">
        <f t="shared" si="2838"/>
        <v>40490.53</v>
      </c>
      <c r="AC3432" s="3" cm="1">
        <f t="array" ref="AC3432">100000000/LvacE(AA3432)</f>
        <v>40490.527947539456</v>
      </c>
      <c r="AD3432" s="10">
        <f t="shared" si="2839"/>
        <v>1.3199892495027163E-2</v>
      </c>
      <c r="AE3432" s="10" t="b">
        <f t="shared" si="2840"/>
        <v>1</v>
      </c>
      <c r="AJ3432" t="s">
        <v>4712</v>
      </c>
      <c r="AK3432" t="s">
        <v>4755</v>
      </c>
      <c r="AL3432">
        <v>27380.31</v>
      </c>
      <c r="AM3432">
        <v>67870.759999999995</v>
      </c>
      <c r="AN3432" s="10" cm="1">
        <f t="array" ref="AN3432">Lair(100000000/($AM3432-$AL3432))</f>
        <v>2468.9717548563995</v>
      </c>
      <c r="AO3432" s="10">
        <f t="shared" si="2900"/>
        <v>2469.7181681112461</v>
      </c>
      <c r="AP3432" s="12">
        <v>83500000</v>
      </c>
      <c r="AQ3432" s="3">
        <v>0.11</v>
      </c>
      <c r="AR3432" s="3">
        <f t="shared" si="2901"/>
        <v>-6.8300862800399837</v>
      </c>
      <c r="AS3432" s="13">
        <f t="shared" si="2902"/>
        <v>18.342719018652055</v>
      </c>
      <c r="AT3432" s="3">
        <f t="shared" si="2903"/>
        <v>0.60664761904235875</v>
      </c>
      <c r="AU3432" s="13" cm="1">
        <f t="array" ref="AU3432">$C3432*EXP(poly_from_str(100000000/$E3432,AU$4343))</f>
        <v>36.540147537804515</v>
      </c>
      <c r="AV3432" s="13">
        <f t="shared" si="2904"/>
        <v>-0.68917887661205113</v>
      </c>
      <c r="AW3432" s="13"/>
      <c r="AX3432" s="13"/>
      <c r="AY3432" s="13"/>
    </row>
    <row r="3433" spans="1:51" x14ac:dyDescent="0.25">
      <c r="A3433">
        <v>2468.6309999999999</v>
      </c>
      <c r="B3433" s="2" t="str">
        <f t="shared" si="2836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2896"/>
        <v>e</v>
      </c>
      <c r="N3433" t="str">
        <f t="shared" si="2897"/>
        <v>7/2</v>
      </c>
      <c r="O3433">
        <v>66943.039999999994</v>
      </c>
      <c r="P3433" t="str">
        <f t="shared" si="2898"/>
        <v>o</v>
      </c>
      <c r="Q3433" t="str">
        <f t="shared" si="2899"/>
        <v>5/2</v>
      </c>
      <c r="R3433">
        <v>32</v>
      </c>
      <c r="AA3433" s="10">
        <f t="shared" si="2837"/>
        <v>2468.6309999999999</v>
      </c>
      <c r="AB3433" s="3">
        <f t="shared" si="2838"/>
        <v>40496.04</v>
      </c>
      <c r="AC3433" s="3" cm="1">
        <f t="array" ref="AC3433">100000000/LvacE(AA3433)</f>
        <v>40496.03863137959</v>
      </c>
      <c r="AD3433" s="10">
        <f t="shared" si="2839"/>
        <v>1.3202124706239934E-2</v>
      </c>
      <c r="AE3433" s="10" t="b">
        <f t="shared" si="2840"/>
        <v>1</v>
      </c>
      <c r="AJ3433" t="s">
        <v>4736</v>
      </c>
      <c r="AK3433" t="s">
        <v>4847</v>
      </c>
      <c r="AL3433">
        <v>26446.97</v>
      </c>
      <c r="AM3433">
        <v>66943.039999999994</v>
      </c>
      <c r="AN3433" s="10" cm="1">
        <f t="array" ref="AN3433">Lair(100000000/($AM3433-$AL3433))</f>
        <v>2468.6290891927197</v>
      </c>
      <c r="AO3433" s="10">
        <f t="shared" si="2900"/>
        <v>2469.3754233435498</v>
      </c>
      <c r="AP3433" s="12">
        <v>1010000</v>
      </c>
      <c r="AQ3433" s="3">
        <v>2E-3</v>
      </c>
      <c r="AR3433" s="3"/>
      <c r="AS3433" s="13">
        <f t="shared" si="2902"/>
        <v>0.23790058078951162</v>
      </c>
      <c r="AT3433" s="3"/>
      <c r="AU3433" s="13" cm="1">
        <f t="array" ref="AU3433">$C3433*EXP(poly_from_str(100000000/$E3433,AU$4343))</f>
        <v>3.6557039942927125</v>
      </c>
      <c r="AV3433" s="13"/>
      <c r="AW3433" s="13"/>
      <c r="AX3433" s="13"/>
      <c r="AY3433" s="13"/>
    </row>
    <row r="3434" spans="1:51" x14ac:dyDescent="0.25">
      <c r="A3434">
        <v>2468.5390000000002</v>
      </c>
      <c r="B3434" s="2" t="str">
        <f t="shared" si="2836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2837"/>
        <v>2468.5390000000002</v>
      </c>
      <c r="AB3434" s="3">
        <f t="shared" si="2838"/>
        <v>40497.550000000003</v>
      </c>
      <c r="AC3434" s="3" cm="1">
        <f t="array" ref="AC3434">100000000/LvacE(AA3434)</f>
        <v>40497.547770673205</v>
      </c>
      <c r="AD3434" s="10">
        <f t="shared" si="2839"/>
        <v>1.3202736065882129E-2</v>
      </c>
      <c r="AE3434" s="10" t="b">
        <f t="shared" si="2840"/>
        <v>1</v>
      </c>
      <c r="AP3434"/>
      <c r="AQ3434"/>
      <c r="AU3434" s="13" cm="1">
        <f t="array" ref="AU3434">$C3434*EXP(poly_from_str(100000000/$E3434,AU$4343))</f>
        <v>7.3123337830133313</v>
      </c>
    </row>
    <row r="3435" spans="1:51" x14ac:dyDescent="0.25">
      <c r="A3435">
        <v>2468.1970000000001</v>
      </c>
      <c r="B3435" s="2" t="str">
        <f t="shared" si="2836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2837"/>
        <v>2468.1970000000001</v>
      </c>
      <c r="AB3435" s="3">
        <f t="shared" si="2838"/>
        <v>40503.160000000003</v>
      </c>
      <c r="AC3435" s="3" cm="1">
        <f t="array" ref="AC3435">100000000/LvacE(AA3435)</f>
        <v>40503.158818277741</v>
      </c>
      <c r="AD3435" s="10">
        <f t="shared" si="2839"/>
        <v>1.3205009328323011E-2</v>
      </c>
      <c r="AE3435" s="10" t="b">
        <f t="shared" si="2840"/>
        <v>1</v>
      </c>
      <c r="AJ3435" t="s">
        <v>4966</v>
      </c>
      <c r="AK3435" t="s">
        <v>4931</v>
      </c>
      <c r="AL3435">
        <v>23647.77</v>
      </c>
      <c r="AM3435">
        <v>64150.94</v>
      </c>
      <c r="AN3435" s="10" cm="1">
        <f t="array" ref="AN3435">Lair(100000000/($AM3435-$AL3435))</f>
        <v>2468.1963201170643</v>
      </c>
      <c r="AO3435" s="10">
        <f>100000000/($AM3435-$AL3435)</f>
        <v>2468.9425543729049</v>
      </c>
      <c r="AP3435" s="12">
        <v>387000000</v>
      </c>
      <c r="AQ3435" s="3">
        <v>0.67800000000000005</v>
      </c>
      <c r="AR3435" s="3">
        <f>LN(AU3435*100000000/($AM3435-$AL3435)/AP3435)</f>
        <v>-8.3629193991310746</v>
      </c>
      <c r="AS3435" s="13">
        <f>EXP(AR$4341*$AM3435+AR$4342)*$AP3435/(100000000/($AM3435-$AL3435))</f>
        <v>112.42488507026347</v>
      </c>
      <c r="AT3435" s="3">
        <f>LN(AS3435/$C3435)</f>
        <v>2.4197002173830255</v>
      </c>
      <c r="AU3435" s="13" cm="1">
        <f t="array" ref="AU3435">$C3435*EXP(poly_from_str(100000000/$E3435,AU$4343))</f>
        <v>36.578865546849194</v>
      </c>
      <c r="AV3435" s="13">
        <f>LN(AS3435/AU3435)</f>
        <v>1.1228146808299482</v>
      </c>
      <c r="AW3435" s="13"/>
      <c r="AX3435" s="13"/>
      <c r="AY3435" s="13"/>
    </row>
    <row r="3436" spans="1:51" x14ac:dyDescent="0.25">
      <c r="A3436">
        <v>2468.11</v>
      </c>
      <c r="B3436" s="2" t="str">
        <f t="shared" si="2836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2837"/>
        <v>2468.11</v>
      </c>
      <c r="AB3436" s="3">
        <f t="shared" si="2838"/>
        <v>40504.589999999997</v>
      </c>
      <c r="AC3436" s="3" cm="1">
        <f t="array" ref="AC3436">100000000/LvacE(AA3436)</f>
        <v>40504.586438103826</v>
      </c>
      <c r="AD3436" s="10">
        <f t="shared" si="2839"/>
        <v>1.3205587765153057E-2</v>
      </c>
      <c r="AE3436" s="10" t="b">
        <f t="shared" si="2840"/>
        <v>1</v>
      </c>
      <c r="AP3436"/>
      <c r="AQ3436"/>
      <c r="AU3436" s="13" cm="1">
        <f t="array" ref="AU3436">$C3436*EXP(poly_from_str(100000000/$E3436,AU$4343))</f>
        <v>18.291624384896707</v>
      </c>
    </row>
    <row r="3437" spans="1:51" x14ac:dyDescent="0.25">
      <c r="A3437">
        <v>2467.8649999999998</v>
      </c>
      <c r="B3437" s="2" t="str">
        <f t="shared" si="2836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2837"/>
        <v>2467.8649999999998</v>
      </c>
      <c r="AB3437" s="3">
        <f t="shared" si="2838"/>
        <v>40508.61</v>
      </c>
      <c r="AC3437" s="3" cm="1">
        <f t="array" ref="AC3437">100000000/LvacE(AA3437)</f>
        <v>40508.607287582759</v>
      </c>
      <c r="AD3437" s="10">
        <f t="shared" si="2839"/>
        <v>1.3207217025157932E-2</v>
      </c>
      <c r="AE3437" s="10" t="b">
        <f t="shared" si="2840"/>
        <v>1</v>
      </c>
      <c r="AJ3437" t="s">
        <v>4747</v>
      </c>
      <c r="AK3437" t="s">
        <v>4912</v>
      </c>
      <c r="AL3437">
        <v>24470.9</v>
      </c>
      <c r="AM3437">
        <v>64979.55</v>
      </c>
      <c r="AN3437" s="10" cm="1">
        <f t="array" ref="AN3437">Lair(100000000/($AM3437-$AL3437))</f>
        <v>2467.862399259277</v>
      </c>
      <c r="AO3437" s="10">
        <f>100000000/($AM3437-$AL3437)</f>
        <v>2468.6085564441173</v>
      </c>
      <c r="AP3437" s="12">
        <v>75400000</v>
      </c>
      <c r="AQ3437" s="3">
        <v>6.0999999999999999E-2</v>
      </c>
      <c r="AR3437" s="3">
        <f>LN(AU3437*100000000/($AM3437-$AL3437)/AP3437)</f>
        <v>-6.8323412083926787</v>
      </c>
      <c r="AS3437" s="13">
        <f>EXP(AR$4341*$AM3437+AR$4342)*$AP3437/(100000000/($AM3437-$AL3437))</f>
        <v>20.586153416698124</v>
      </c>
      <c r="AT3437" s="3">
        <f>LN(AS3437/$C3437)</f>
        <v>0.82739410821769943</v>
      </c>
      <c r="AU3437" s="13" cm="1">
        <f t="array" ref="AU3437">$C3437*EXP(poly_from_str(100000000/$E3437,AU$4343))</f>
        <v>32.936013395142012</v>
      </c>
      <c r="AV3437" s="13">
        <f>LN(AS3437/AU3437)</f>
        <v>-0.46994800561575212</v>
      </c>
      <c r="AW3437" s="13"/>
      <c r="AX3437" s="13"/>
      <c r="AY3437" s="13"/>
    </row>
    <row r="3438" spans="1:51" x14ac:dyDescent="0.25">
      <c r="A3438">
        <v>2467.6410000000001</v>
      </c>
      <c r="B3438" s="2" t="str">
        <f t="shared" si="2836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2837"/>
        <v>2467.6410000000001</v>
      </c>
      <c r="AB3438" s="3">
        <f t="shared" si="2838"/>
        <v>40512.28</v>
      </c>
      <c r="AC3438" s="3" cm="1">
        <f t="array" ref="AC3438">100000000/LvacE(AA3438)</f>
        <v>40512.284191422514</v>
      </c>
      <c r="AD3438" s="10">
        <f t="shared" si="2839"/>
        <v>1.3208707058973024E-2</v>
      </c>
      <c r="AE3438" s="10" t="b">
        <f t="shared" si="2840"/>
        <v>1</v>
      </c>
      <c r="AP3438"/>
      <c r="AQ3438"/>
      <c r="AU3438" s="13" cm="1">
        <f t="array" ref="AU3438">$C3438*EXP(poly_from_str(100000000/$E3438,AU$4343))</f>
        <v>7.3213637854882165</v>
      </c>
    </row>
    <row r="3439" spans="1:51" x14ac:dyDescent="0.25">
      <c r="A3439">
        <v>2467.444</v>
      </c>
      <c r="B3439" s="2" t="str">
        <f t="shared" si="2836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2837"/>
        <v>2467.444</v>
      </c>
      <c r="AB3439" s="3">
        <f t="shared" si="2838"/>
        <v>40515.519999999997</v>
      </c>
      <c r="AC3439" s="3" cm="1">
        <f t="array" ref="AC3439">100000000/LvacE(AA3439)</f>
        <v>40515.518448695249</v>
      </c>
      <c r="AD3439" s="10">
        <f t="shared" si="2839"/>
        <v>1.321001782587472E-2</v>
      </c>
      <c r="AE3439" s="10" t="b">
        <f t="shared" si="2840"/>
        <v>1</v>
      </c>
      <c r="AP3439"/>
      <c r="AQ3439"/>
      <c r="AU3439" s="13" cm="1">
        <f t="array" ref="AU3439">$C3439*EXP(poly_from_str(100000000/$E3439,AU$4343))</f>
        <v>32.955074338697457</v>
      </c>
    </row>
    <row r="3440" spans="1:51" x14ac:dyDescent="0.25">
      <c r="A3440">
        <v>2467.279</v>
      </c>
      <c r="B3440" s="2" t="str">
        <f t="shared" si="2836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2905">$G3440&amp;""</f>
        <v>e</v>
      </c>
      <c r="N3440" t="str">
        <f t="shared" ref="N3440:N3443" si="2906">$H3440&amp;""</f>
        <v>5/2</v>
      </c>
      <c r="O3440">
        <v>64979.55</v>
      </c>
      <c r="P3440" t="str">
        <f t="shared" ref="P3440:P3443" si="2907">$J3440&amp;""</f>
        <v>o</v>
      </c>
      <c r="Q3440" t="str">
        <f t="shared" ref="Q3440:Q3443" si="2908">$K3440&amp;""</f>
        <v>7/2</v>
      </c>
      <c r="R3440">
        <v>32</v>
      </c>
      <c r="AA3440" s="10">
        <f t="shared" si="2837"/>
        <v>2467.279</v>
      </c>
      <c r="AB3440" s="3">
        <f t="shared" si="2838"/>
        <v>40518.230000000003</v>
      </c>
      <c r="AC3440" s="3" cm="1">
        <f t="array" ref="AC3440">100000000/LvacE(AA3440)</f>
        <v>40518.227741774885</v>
      </c>
      <c r="AD3440" s="10">
        <f t="shared" si="2839"/>
        <v>1.3211115917935282E-2</v>
      </c>
      <c r="AE3440" s="10" t="b">
        <f t="shared" si="2840"/>
        <v>1</v>
      </c>
      <c r="AJ3440" t="s">
        <v>4717</v>
      </c>
      <c r="AK3440" t="s">
        <v>4912</v>
      </c>
      <c r="AL3440">
        <v>24461.24</v>
      </c>
      <c r="AM3440">
        <v>64979.55</v>
      </c>
      <c r="AN3440" s="10" cm="1">
        <f t="array" ref="AN3440">Lair(100000000/($AM3440-$AL3440))</f>
        <v>2467.2739922759488</v>
      </c>
      <c r="AO3440" s="10">
        <f t="shared" ref="AO3440:AO3443" si="2909">100000000/($AM3440-$AL3440)</f>
        <v>2468.020013667895</v>
      </c>
      <c r="AP3440" s="12">
        <v>1620000</v>
      </c>
      <c r="AQ3440" s="3">
        <v>3.0000000000000001E-3</v>
      </c>
      <c r="AR3440" s="3"/>
      <c r="AS3440" s="13">
        <f t="shared" ref="AS3440:AS3443" si="2910">EXP(AR$4341*$AM3440+AR$4342)*$AP3440/(100000000/($AM3440-$AL3440))</f>
        <v>0.44240744464419196</v>
      </c>
      <c r="AT3440" s="3"/>
      <c r="AU3440" s="13" cm="1">
        <f t="array" ref="AU3440">$C3440*EXP(poly_from_str(100000000/$E3440,AU$4343))</f>
        <v>3.662505511496001</v>
      </c>
      <c r="AV3440" s="13"/>
      <c r="AW3440" s="13"/>
      <c r="AX3440" s="13"/>
      <c r="AY3440" s="13"/>
    </row>
    <row r="3441" spans="1:51" x14ac:dyDescent="0.25">
      <c r="A3441">
        <v>2466.7150000000001</v>
      </c>
      <c r="B3441" s="2">
        <f t="shared" si="2836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2905"/>
        <v>e</v>
      </c>
      <c r="N3441" t="str">
        <f t="shared" si="2906"/>
        <v>9/2</v>
      </c>
      <c r="O3441">
        <v>62062.63</v>
      </c>
      <c r="P3441" t="str">
        <f t="shared" si="2907"/>
        <v>o</v>
      </c>
      <c r="Q3441" t="str">
        <f t="shared" si="2908"/>
        <v>9/2</v>
      </c>
      <c r="R3441">
        <v>32</v>
      </c>
      <c r="AA3441" s="10">
        <f t="shared" si="2837"/>
        <v>2466.7150000000001</v>
      </c>
      <c r="AB3441" s="3">
        <f t="shared" si="2838"/>
        <v>40527.49</v>
      </c>
      <c r="AC3441" s="3" cm="1">
        <f t="array" ref="AC3441">100000000/LvacE(AA3441)</f>
        <v>40527.491334640668</v>
      </c>
      <c r="AD3441" s="10">
        <f t="shared" si="2839"/>
        <v>1.3214871060223957E-2</v>
      </c>
      <c r="AE3441" s="10" t="b">
        <f t="shared" si="2840"/>
        <v>1</v>
      </c>
      <c r="AJ3441" t="s">
        <v>4798</v>
      </c>
      <c r="AK3441" t="s">
        <v>4848</v>
      </c>
      <c r="AL3441">
        <v>21535.17</v>
      </c>
      <c r="AM3441">
        <v>62062.63</v>
      </c>
      <c r="AN3441" s="10" cm="1">
        <f t="array" ref="AN3441">Lair(100000000/($AM3441-$AL3441))</f>
        <v>2466.716908918846</v>
      </c>
      <c r="AO3441" s="10">
        <f t="shared" si="2909"/>
        <v>2467.4628017645318</v>
      </c>
      <c r="AP3441" s="12">
        <v>62200000</v>
      </c>
      <c r="AQ3441" s="3">
        <v>0.13500000000000001</v>
      </c>
      <c r="AR3441" s="3">
        <f>LN(AU3441*100000000/($AM3441-$AL3441)/AP3441)</f>
        <v>-7.044238305005126</v>
      </c>
      <c r="AS3441" s="13">
        <f t="shared" si="2910"/>
        <v>21.147803414323352</v>
      </c>
      <c r="AT3441" s="3">
        <f t="shared" ref="AT3441" si="2911">LN(AS3441/$C3441)</f>
        <v>1.2597765733918693</v>
      </c>
      <c r="AU3441" s="13" cm="1">
        <f t="array" ref="AU3441">$C3441*EXP(poly_from_str(100000000/$E3441,AU$4343))</f>
        <v>21.99206170788068</v>
      </c>
      <c r="AV3441" s="13">
        <f>LN(AS3441/AU3441)</f>
        <v>-3.9145514163086946E-2</v>
      </c>
      <c r="AW3441" s="13"/>
      <c r="AX3441" s="13"/>
      <c r="AY3441" s="13"/>
    </row>
    <row r="3442" spans="1:51" x14ac:dyDescent="0.25">
      <c r="A3442">
        <v>2466.7150000000001</v>
      </c>
      <c r="B3442" s="2">
        <f t="shared" si="2836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2905"/>
        <v>o</v>
      </c>
      <c r="N3442" t="str">
        <f t="shared" si="2906"/>
        <v>11/2</v>
      </c>
      <c r="O3442">
        <v>100947.18</v>
      </c>
      <c r="P3442" t="str">
        <f t="shared" si="2907"/>
        <v>e</v>
      </c>
      <c r="Q3442" t="str">
        <f t="shared" si="2908"/>
        <v>9/2</v>
      </c>
      <c r="R3442">
        <v>32</v>
      </c>
      <c r="AA3442" s="10">
        <f t="shared" si="2837"/>
        <v>2466.7150000000001</v>
      </c>
      <c r="AB3442" s="3">
        <f t="shared" si="2838"/>
        <v>40527.49</v>
      </c>
      <c r="AC3442" s="3" cm="1">
        <f t="array" ref="AC3442">100000000/LvacE(AA3442)</f>
        <v>40527.491334640668</v>
      </c>
      <c r="AD3442" s="10">
        <f t="shared" si="2839"/>
        <v>1.3214871060223957E-2</v>
      </c>
      <c r="AE3442" s="10" t="b">
        <f t="shared" si="2840"/>
        <v>1</v>
      </c>
      <c r="AJ3442" t="s">
        <v>4849</v>
      </c>
      <c r="AK3442" t="s">
        <v>4955</v>
      </c>
      <c r="AL3442">
        <v>60419.73</v>
      </c>
      <c r="AM3442">
        <v>100947.18</v>
      </c>
      <c r="AN3442" s="10" cm="1">
        <f t="array" ref="AN3442">Lair(100000000/($AM3442-$AL3442))</f>
        <v>2466.7175176158185</v>
      </c>
      <c r="AO3442" s="10">
        <f t="shared" si="2909"/>
        <v>2467.4634106019507</v>
      </c>
      <c r="AP3442" s="12">
        <v>354000</v>
      </c>
      <c r="AQ3442" s="3">
        <v>0</v>
      </c>
      <c r="AR3442" s="3"/>
      <c r="AS3442" s="13">
        <f t="shared" si="2910"/>
        <v>6.5033551602229241E-3</v>
      </c>
      <c r="AT3442" s="3"/>
      <c r="AU3442" s="13" cm="1">
        <f t="array" ref="AU3442">$C3442*EXP(poly_from_str(100000000/$E3442,AU$4343))</f>
        <v>21.99206170788068</v>
      </c>
      <c r="AV3442" s="13"/>
      <c r="AW3442" s="13"/>
      <c r="AX3442" s="13"/>
      <c r="AY3442" s="13"/>
    </row>
    <row r="3443" spans="1:51" x14ac:dyDescent="0.25">
      <c r="A3443">
        <v>2466.4969999999998</v>
      </c>
      <c r="B3443" s="2" t="str">
        <f t="shared" si="2836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2905"/>
        <v>e</v>
      </c>
      <c r="N3443" t="str">
        <f t="shared" si="2906"/>
        <v>9/2</v>
      </c>
      <c r="O3443">
        <v>58158.080000000002</v>
      </c>
      <c r="P3443" t="str">
        <f t="shared" si="2907"/>
        <v>o</v>
      </c>
      <c r="Q3443" t="str">
        <f t="shared" si="2908"/>
        <v>7/2</v>
      </c>
      <c r="R3443">
        <v>32</v>
      </c>
      <c r="AA3443" s="10">
        <f t="shared" si="2837"/>
        <v>2466.4969999999998</v>
      </c>
      <c r="AB3443" s="3">
        <f t="shared" si="2838"/>
        <v>40531.07</v>
      </c>
      <c r="AC3443" s="3" cm="1">
        <f t="array" ref="AC3443">100000000/LvacE(AA3443)</f>
        <v>40531.073078299065</v>
      </c>
      <c r="AD3443" s="10">
        <f t="shared" si="2839"/>
        <v>1.3216323206210887E-2</v>
      </c>
      <c r="AE3443" s="10" t="b">
        <f t="shared" si="2840"/>
        <v>1</v>
      </c>
      <c r="AJ3443" t="s">
        <v>4820</v>
      </c>
      <c r="AK3443" t="s">
        <v>4902</v>
      </c>
      <c r="AL3443">
        <v>17627</v>
      </c>
      <c r="AM3443">
        <v>58158.080000000002</v>
      </c>
      <c r="AN3443" s="10" cm="1">
        <f t="array" ref="AN3443">Lair(100000000/($AM3443-$AL3443))</f>
        <v>2466.4965803484238</v>
      </c>
      <c r="AO3443" s="10">
        <f t="shared" si="2909"/>
        <v>2467.242422358348</v>
      </c>
      <c r="AP3443" s="12">
        <v>8270000</v>
      </c>
      <c r="AQ3443" s="3">
        <v>2.5999999999999999E-2</v>
      </c>
      <c r="AR3443" s="3"/>
      <c r="AS3443" s="13">
        <f t="shared" si="2910"/>
        <v>3.769448470191985</v>
      </c>
      <c r="AT3443" s="3"/>
      <c r="AU3443" s="13" cm="1">
        <f t="array" ref="AU3443">$C3443*EXP(poly_from_str(100000000/$E3443,AU$4343))</f>
        <v>7.3328817905968275</v>
      </c>
      <c r="AV3443" s="13"/>
      <c r="AW3443" s="13"/>
      <c r="AX3443" s="13"/>
      <c r="AY3443" s="13"/>
    </row>
    <row r="3444" spans="1:51" x14ac:dyDescent="0.25">
      <c r="A3444">
        <v>2466.2240000000002</v>
      </c>
      <c r="B3444" s="2" t="str">
        <f t="shared" si="2836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2837"/>
        <v>2466.2240000000002</v>
      </c>
      <c r="AB3444" s="3">
        <f t="shared" si="2838"/>
        <v>40535.56</v>
      </c>
      <c r="AC3444" s="3" cm="1">
        <f t="array" ref="AC3444">100000000/LvacE(AA3444)</f>
        <v>40535.559365751265</v>
      </c>
      <c r="AD3444" s="10">
        <f t="shared" si="2839"/>
        <v>1.32181422623718E-2</v>
      </c>
      <c r="AE3444" s="10" t="b">
        <f t="shared" si="2840"/>
        <v>1</v>
      </c>
      <c r="AP3444"/>
      <c r="AQ3444"/>
      <c r="AU3444" s="13" cm="1">
        <f t="array" ref="AU3444">$C3444*EXP(poly_from_str(100000000/$E3444,AU$4343))</f>
        <v>25.674720039783189</v>
      </c>
    </row>
    <row r="3445" spans="1:51" x14ac:dyDescent="0.25">
      <c r="A3445">
        <v>2466.1819999999998</v>
      </c>
      <c r="B3445" s="2" t="str">
        <f t="shared" si="2836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2912">$G3445&amp;""</f>
        <v>e</v>
      </c>
      <c r="N3445" t="str">
        <f t="shared" ref="N3445:N3448" si="2913">$H3445&amp;""</f>
        <v>7/2</v>
      </c>
      <c r="O3445">
        <v>75560.75</v>
      </c>
      <c r="P3445" t="str">
        <f t="shared" ref="P3445:P3448" si="2914">$J3445&amp;""</f>
        <v>o</v>
      </c>
      <c r="Q3445" t="str">
        <f t="shared" ref="Q3445:Q3448" si="2915">$K3445&amp;""</f>
        <v>5/2</v>
      </c>
      <c r="R3445">
        <v>32</v>
      </c>
      <c r="AA3445" s="10">
        <f t="shared" si="2837"/>
        <v>2466.1819999999998</v>
      </c>
      <c r="AB3445" s="3">
        <f t="shared" si="2838"/>
        <v>40536.25</v>
      </c>
      <c r="AC3445" s="3" cm="1">
        <f t="array" ref="AC3445">100000000/LvacE(AA3445)</f>
        <v>40536.249651965933</v>
      </c>
      <c r="AD3445" s="10">
        <f t="shared" si="2839"/>
        <v>1.3218422170781789E-2</v>
      </c>
      <c r="AE3445" s="10" t="b">
        <f t="shared" si="2840"/>
        <v>1</v>
      </c>
      <c r="AJ3445" t="s">
        <v>4770</v>
      </c>
      <c r="AK3445" t="s">
        <v>4943</v>
      </c>
      <c r="AL3445">
        <v>35024.49</v>
      </c>
      <c r="AM3445">
        <v>75560.75</v>
      </c>
      <c r="AN3445" s="10" cm="1">
        <f t="array" ref="AN3445">Lair(100000000/($AM3445-$AL3445))</f>
        <v>2466.1813719928905</v>
      </c>
      <c r="AO3445" s="10">
        <f t="shared" ref="AO3445:AO3448" si="2916">100000000/($AM3445-$AL3445)</f>
        <v>2466.9271412804237</v>
      </c>
      <c r="AP3445" s="12">
        <v>175000000</v>
      </c>
      <c r="AQ3445" s="3">
        <v>0.27400000000000002</v>
      </c>
      <c r="AR3445" s="3">
        <f t="shared" ref="AR3445:AR3448" si="2917">LN(AU3445*100000000/($AM3445-$AL3445)/AP3445)</f>
        <v>-7.924003434568097</v>
      </c>
      <c r="AS3445" s="13">
        <f t="shared" ref="AS3445:AS3448" si="2918">EXP(AR$4341*$AM3445+AR$4342)*$AP3445/(100000000/($AM3445-$AL3445))</f>
        <v>21.610816633834283</v>
      </c>
      <c r="AT3445" s="3">
        <f t="shared" ref="AT3445:AT3448" si="2919">LN(AS3445/$C3445)</f>
        <v>1.1272838103762313</v>
      </c>
      <c r="AU3445" s="13" cm="1">
        <f t="array" ref="AU3445">$C3445*EXP(poly_from_str(100000000/$E3445,AU$4343))</f>
        <v>25.676200558706977</v>
      </c>
      <c r="AV3445" s="13">
        <f t="shared" ref="AV3445:AV3448" si="2920">LN(AS3445/AU3445)</f>
        <v>-0.17237055512266414</v>
      </c>
      <c r="AW3445" s="13"/>
      <c r="AX3445" s="13"/>
      <c r="AY3445" s="13"/>
    </row>
    <row r="3446" spans="1:51" x14ac:dyDescent="0.25">
      <c r="A3446">
        <v>2465.9119999999998</v>
      </c>
      <c r="B3446" s="2" t="str">
        <f t="shared" si="2836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2912"/>
        <v>e</v>
      </c>
      <c r="N3446" t="str">
        <f t="shared" si="2913"/>
        <v>7/2</v>
      </c>
      <c r="O3446">
        <v>67679.210000000006</v>
      </c>
      <c r="P3446" t="str">
        <f t="shared" si="2914"/>
        <v>o</v>
      </c>
      <c r="Q3446" t="str">
        <f t="shared" si="2915"/>
        <v>7/2</v>
      </c>
      <c r="R3446">
        <v>32</v>
      </c>
      <c r="AA3446" s="10">
        <f t="shared" si="2837"/>
        <v>2465.9119999999998</v>
      </c>
      <c r="AB3446" s="3">
        <f t="shared" si="2838"/>
        <v>40540.69</v>
      </c>
      <c r="AC3446" s="3" cm="1">
        <f t="array" ref="AC3446">100000000/LvacE(AA3446)</f>
        <v>40540.687767586598</v>
      </c>
      <c r="AD3446" s="10">
        <f t="shared" si="2839"/>
        <v>1.322022192348847E-2</v>
      </c>
      <c r="AE3446" s="10" t="b">
        <f t="shared" si="2840"/>
        <v>1</v>
      </c>
      <c r="AJ3446" t="s">
        <v>4723</v>
      </c>
      <c r="AK3446" t="s">
        <v>4861</v>
      </c>
      <c r="AL3446">
        <v>27138.55</v>
      </c>
      <c r="AM3446">
        <v>67679.210000000006</v>
      </c>
      <c r="AN3446" s="10" cm="1">
        <f t="array" ref="AN3446">Lair(100000000/($AM3446-$AL3446))</f>
        <v>2465.9136907090747</v>
      </c>
      <c r="AO3446" s="10">
        <f t="shared" si="2916"/>
        <v>2466.6593982436398</v>
      </c>
      <c r="AP3446" s="12">
        <v>65100000</v>
      </c>
      <c r="AQ3446" s="3">
        <v>0.13400000000000001</v>
      </c>
      <c r="AR3446" s="3">
        <f t="shared" si="2917"/>
        <v>-7.0890302453477156</v>
      </c>
      <c r="AS3446" s="13">
        <f t="shared" si="2918"/>
        <v>14.525781622648399</v>
      </c>
      <c r="AT3446" s="3">
        <f t="shared" si="2919"/>
        <v>0.88416564429262046</v>
      </c>
      <c r="AU3446" s="13" cm="1">
        <f t="array" ref="AU3446">$C3446*EXP(poly_from_str(100000000/$E3446,AU$4343))</f>
        <v>22.016338085098447</v>
      </c>
      <c r="AV3446" s="13">
        <f t="shared" si="2920"/>
        <v>-0.41585970444858078</v>
      </c>
      <c r="AW3446" s="13"/>
      <c r="AX3446" s="13"/>
      <c r="AY3446" s="13"/>
    </row>
    <row r="3447" spans="1:51" x14ac:dyDescent="0.25">
      <c r="A3447">
        <v>2465.5169999999998</v>
      </c>
      <c r="B3447" s="2" t="str">
        <f t="shared" si="2836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2912"/>
        <v>e</v>
      </c>
      <c r="N3447" t="str">
        <f t="shared" si="2913"/>
        <v>9/2</v>
      </c>
      <c r="O3447">
        <v>58174.15</v>
      </c>
      <c r="P3447" t="str">
        <f t="shared" si="2914"/>
        <v>o</v>
      </c>
      <c r="Q3447" t="str">
        <f t="shared" si="2915"/>
        <v>9/2</v>
      </c>
      <c r="R3447">
        <v>32</v>
      </c>
      <c r="AA3447" s="10">
        <f t="shared" si="2837"/>
        <v>2465.5169999999998</v>
      </c>
      <c r="AB3447" s="3">
        <f t="shared" si="2838"/>
        <v>40547.18</v>
      </c>
      <c r="AC3447" s="3" cm="1">
        <f t="array" ref="AC3447">100000000/LvacE(AA3447)</f>
        <v>40547.182317358471</v>
      </c>
      <c r="AD3447" s="10">
        <f t="shared" si="2839"/>
        <v>1.3222855960303349E-2</v>
      </c>
      <c r="AE3447" s="10" t="b">
        <f t="shared" si="2840"/>
        <v>1</v>
      </c>
      <c r="AJ3447" t="s">
        <v>4820</v>
      </c>
      <c r="AK3447" t="s">
        <v>4698</v>
      </c>
      <c r="AL3447">
        <v>17627</v>
      </c>
      <c r="AM3447">
        <v>58174.15</v>
      </c>
      <c r="AN3447" s="10" cm="1">
        <f t="array" ref="AN3447">Lair(100000000/($AM3447-$AL3447))</f>
        <v>2465.5189668500689</v>
      </c>
      <c r="AO3447" s="10">
        <f t="shared" si="2916"/>
        <v>2466.2645833307643</v>
      </c>
      <c r="AP3447" s="12">
        <v>18000000</v>
      </c>
      <c r="AQ3447" s="3">
        <v>6.5000000000000002E-2</v>
      </c>
      <c r="AR3447" s="3">
        <f t="shared" si="2917"/>
        <v>-6.901707735818559</v>
      </c>
      <c r="AS3447" s="13">
        <f t="shared" si="2918"/>
        <v>8.1977223302746793</v>
      </c>
      <c r="AT3447" s="3">
        <f t="shared" si="2919"/>
        <v>1.4107091705258816</v>
      </c>
      <c r="AU3447" s="13" cm="1">
        <f t="array" ref="AU3447">$C3447*EXP(poly_from_str(100000000/$E3447,AU$4343))</f>
        <v>7.3427586475831372</v>
      </c>
      <c r="AV3447" s="13">
        <f t="shared" si="2920"/>
        <v>0.11014174152325532</v>
      </c>
      <c r="AW3447" s="13"/>
      <c r="AX3447" s="13"/>
      <c r="AY3447" s="13"/>
    </row>
    <row r="3448" spans="1:51" x14ac:dyDescent="0.25">
      <c r="A3448">
        <v>2465.2719999999999</v>
      </c>
      <c r="B3448" s="2" t="str">
        <f t="shared" si="2836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2912"/>
        <v>o</v>
      </c>
      <c r="N3448" t="str">
        <f t="shared" si="2913"/>
        <v>7/2</v>
      </c>
      <c r="O3448">
        <v>101071.43</v>
      </c>
      <c r="P3448" t="str">
        <f t="shared" si="2914"/>
        <v>e</v>
      </c>
      <c r="Q3448" t="str">
        <f t="shared" si="2915"/>
        <v>5/2</v>
      </c>
      <c r="R3448">
        <v>32</v>
      </c>
      <c r="AA3448" s="10">
        <f t="shared" si="2837"/>
        <v>2465.2719999999999</v>
      </c>
      <c r="AB3448" s="3">
        <f t="shared" si="2838"/>
        <v>40551.21</v>
      </c>
      <c r="AC3448" s="3" cm="1">
        <f t="array" ref="AC3448">100000000/LvacE(AA3448)</f>
        <v>40551.211628022516</v>
      </c>
      <c r="AD3448" s="10">
        <f t="shared" si="2839"/>
        <v>1.3224490366179172E-2</v>
      </c>
      <c r="AE3448" s="10" t="b">
        <f t="shared" si="2840"/>
        <v>1</v>
      </c>
      <c r="AJ3448" t="s">
        <v>4730</v>
      </c>
      <c r="AK3448" t="s">
        <v>4889</v>
      </c>
      <c r="AL3448">
        <v>60520.32</v>
      </c>
      <c r="AM3448">
        <v>101071.43</v>
      </c>
      <c r="AN3448" s="10" cm="1">
        <f t="array" ref="AN3448">Lair(100000000/($AM3448-$AL3448))</f>
        <v>2465.2781804559772</v>
      </c>
      <c r="AO3448" s="10">
        <f t="shared" si="2916"/>
        <v>2466.0237413969685</v>
      </c>
      <c r="AP3448" s="12">
        <v>233000000</v>
      </c>
      <c r="AQ3448" s="3">
        <v>0.54500000000000004</v>
      </c>
      <c r="AR3448" s="3">
        <f t="shared" si="2917"/>
        <v>-9.462135589161381</v>
      </c>
      <c r="AS3448" s="13">
        <f t="shared" si="2918"/>
        <v>4.2432048061357284</v>
      </c>
      <c r="AT3448" s="3">
        <f t="shared" si="2919"/>
        <v>0.75217165367649874</v>
      </c>
      <c r="AU3448" s="13" cm="1">
        <f t="array" ref="AU3448">$C3448*EXP(poly_from_str(100000000/$E3448,AU$4343))</f>
        <v>7.3452299136455261</v>
      </c>
      <c r="AV3448" s="13">
        <f t="shared" si="2920"/>
        <v>-0.54873227696151594</v>
      </c>
      <c r="AW3448" s="13"/>
      <c r="AX3448" s="13"/>
      <c r="AY3448" s="13"/>
    </row>
    <row r="3449" spans="1:51" x14ac:dyDescent="0.25">
      <c r="A3449">
        <v>2464.9279999999999</v>
      </c>
      <c r="B3449" s="2" t="str">
        <f t="shared" si="2836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2837"/>
        <v>2464.9279999999999</v>
      </c>
      <c r="AB3449" s="3">
        <f t="shared" si="2838"/>
        <v>40556.870000000003</v>
      </c>
      <c r="AC3449" s="3" cm="1">
        <f t="array" ref="AC3449">100000000/LvacE(AA3449)</f>
        <v>40556.870460795573</v>
      </c>
      <c r="AD3449" s="10">
        <f t="shared" si="2839"/>
        <v>1.322678602798856E-2</v>
      </c>
      <c r="AE3449" s="10" t="b">
        <f t="shared" si="2840"/>
        <v>1</v>
      </c>
      <c r="AP3449"/>
      <c r="AQ3449"/>
      <c r="AU3449" s="13" cm="1">
        <f t="array" ref="AU3449">$C3449*EXP(poly_from_str(100000000/$E3449,AU$4343))</f>
        <v>3.6743506001983577</v>
      </c>
    </row>
    <row r="3450" spans="1:51" x14ac:dyDescent="0.25">
      <c r="A3450">
        <v>2464.6460000000002</v>
      </c>
      <c r="B3450" s="2" t="str">
        <f t="shared" si="2836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2837"/>
        <v>2464.6460000000002</v>
      </c>
      <c r="AB3450" s="3">
        <f t="shared" si="2838"/>
        <v>40561.51</v>
      </c>
      <c r="AC3450" s="3" cm="1">
        <f t="array" ref="AC3450">100000000/LvacE(AA3450)</f>
        <v>40561.510565745608</v>
      </c>
      <c r="AD3450" s="10">
        <f t="shared" si="2839"/>
        <v>1.3228668653783464E-2</v>
      </c>
      <c r="AE3450" s="10" t="b">
        <f t="shared" si="2840"/>
        <v>1</v>
      </c>
      <c r="AP3450"/>
      <c r="AQ3450"/>
      <c r="AU3450" s="13" cm="1">
        <f t="array" ref="AU3450">$C3450*EXP(poly_from_str(100000000/$E3450,AU$4343))</f>
        <v>3.6757736977269997</v>
      </c>
    </row>
    <row r="3451" spans="1:51" x14ac:dyDescent="0.25">
      <c r="A3451">
        <v>2464.2739999999999</v>
      </c>
      <c r="B3451" s="2" t="str">
        <f t="shared" si="2836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2837"/>
        <v>2464.2739999999999</v>
      </c>
      <c r="AB3451" s="3">
        <f t="shared" si="2838"/>
        <v>40567.629999999997</v>
      </c>
      <c r="AC3451" s="3" cm="1">
        <f t="array" ref="AC3451">100000000/LvacE(AA3451)</f>
        <v>40567.633179490484</v>
      </c>
      <c r="AD3451" s="10">
        <f t="shared" si="2839"/>
        <v>1.3231153106247617E-2</v>
      </c>
      <c r="AE3451" s="10" t="b">
        <f t="shared" si="2840"/>
        <v>1</v>
      </c>
      <c r="AJ3451" t="s">
        <v>4966</v>
      </c>
      <c r="AK3451" t="s">
        <v>4823</v>
      </c>
      <c r="AL3451">
        <v>23647.77</v>
      </c>
      <c r="AM3451">
        <v>64215.45</v>
      </c>
      <c r="AN3451" s="10" cm="1">
        <f t="array" ref="AN3451">Lair(100000000/($AM3451-$AL3451))</f>
        <v>2464.2711573337301</v>
      </c>
      <c r="AO3451" s="10">
        <f>100000000/($AM3451-$AL3451)</f>
        <v>2465.0164860302589</v>
      </c>
      <c r="AP3451" s="12">
        <v>18500000</v>
      </c>
      <c r="AQ3451" s="3">
        <v>0.20899999999999999</v>
      </c>
      <c r="AR3451" s="3">
        <f>LN(AU3451*100000000/($AM3451-$AL3451)/AP3451)</f>
        <v>-6.2347588967596428</v>
      </c>
      <c r="AS3451" s="13">
        <f>EXP(AR$4341*$AM3451+AR$4342)*$AP3451/(100000000/($AM3451-$AL3451))</f>
        <v>5.3568790074644692</v>
      </c>
      <c r="AT3451" s="3">
        <f>LN(AS3451/$C3451)</f>
        <v>0.29208716964827885</v>
      </c>
      <c r="AU3451" s="13" cm="1">
        <f t="array" ref="AU3451">$C3451*EXP(poly_from_str(100000000/$E3451,AU$4343))</f>
        <v>14.710604360649723</v>
      </c>
      <c r="AV3451" s="13">
        <f>LN(AS3451/AU3451)</f>
        <v>-1.0101870880215857</v>
      </c>
      <c r="AW3451" s="13"/>
      <c r="AX3451" s="13"/>
      <c r="AY3451" s="13"/>
    </row>
    <row r="3452" spans="1:51" x14ac:dyDescent="0.25">
      <c r="A3452">
        <v>2463.797</v>
      </c>
      <c r="B3452" s="2" t="str">
        <f t="shared" si="2836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2837"/>
        <v>2463.797</v>
      </c>
      <c r="AB3452" s="3">
        <f t="shared" si="2838"/>
        <v>40575.49</v>
      </c>
      <c r="AC3452" s="3" cm="1">
        <f t="array" ref="AC3452">100000000/LvacE(AA3452)</f>
        <v>40575.486655257228</v>
      </c>
      <c r="AD3452" s="10">
        <f t="shared" si="2839"/>
        <v>1.323434046215196E-2</v>
      </c>
      <c r="AE3452" s="10" t="b">
        <f t="shared" si="2840"/>
        <v>1</v>
      </c>
      <c r="AP3452"/>
      <c r="AQ3452"/>
      <c r="AU3452" s="13" cm="1">
        <f t="array" ref="AU3452">$C3452*EXP(poly_from_str(100000000/$E3452,AU$4343))</f>
        <v>3.6800629690721114</v>
      </c>
    </row>
    <row r="3453" spans="1:51" x14ac:dyDescent="0.25">
      <c r="A3453">
        <v>2463.2950000000001</v>
      </c>
      <c r="B3453" s="2" t="str">
        <f t="shared" si="2836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2921">$G3453&amp;""</f>
        <v>e</v>
      </c>
      <c r="N3453" t="str">
        <f t="shared" ref="N3453:N3454" si="2922">$H3453&amp;""</f>
        <v>7/2</v>
      </c>
      <c r="O3453">
        <v>64235.61</v>
      </c>
      <c r="P3453" t="str">
        <f t="shared" ref="P3453:P3454" si="2923">$J3453&amp;""</f>
        <v>o</v>
      </c>
      <c r="Q3453" t="str">
        <f t="shared" ref="Q3453:Q3454" si="2924">$K3453&amp;""</f>
        <v>9/2</v>
      </c>
      <c r="R3453">
        <v>32</v>
      </c>
      <c r="AA3453" s="10">
        <f t="shared" si="2837"/>
        <v>2463.2950000000001</v>
      </c>
      <c r="AB3453" s="3">
        <f t="shared" si="2838"/>
        <v>40583.75</v>
      </c>
      <c r="AC3453" s="3" cm="1">
        <f t="array" ref="AC3453">100000000/LvacE(AA3453)</f>
        <v>40583.755023139944</v>
      </c>
      <c r="AD3453" s="10">
        <f t="shared" si="2839"/>
        <v>1.3237696870074422E-2</v>
      </c>
      <c r="AE3453" s="10" t="b">
        <f t="shared" si="2840"/>
        <v>1</v>
      </c>
      <c r="AJ3453" t="s">
        <v>4759</v>
      </c>
      <c r="AK3453" t="s">
        <v>4842</v>
      </c>
      <c r="AL3453">
        <v>23651.88</v>
      </c>
      <c r="AM3453">
        <v>64235.61</v>
      </c>
      <c r="AN3453" s="10" cm="1">
        <f t="array" ref="AN3453">Lair(100000000/($AM3453-$AL3453))</f>
        <v>2463.2965205870969</v>
      </c>
      <c r="AO3453" s="10">
        <f t="shared" ref="AO3453:AO3454" si="2925">100000000/($AM3453-$AL3453)</f>
        <v>2464.0416245623555</v>
      </c>
      <c r="AP3453" s="12">
        <v>72900000</v>
      </c>
      <c r="AQ3453" s="3">
        <v>0.221</v>
      </c>
      <c r="AR3453" s="3">
        <f t="shared" ref="AR3453:AR3454" si="2926">LN(AU3453*100000000/($AM3453-$AL3453)/AP3453)</f>
        <v>-6.911980795715059</v>
      </c>
      <c r="AS3453" s="13">
        <f t="shared" ref="AS3453:AS3454" si="2927">EXP(AR$4341*$AM3453+AR$4342)*$AP3453/(100000000/($AM3453-$AL3453))</f>
        <v>21.085425177487728</v>
      </c>
      <c r="AT3453" s="3">
        <f t="shared" ref="AT3453:AT3454" si="2928">LN(AS3453/$C3453)</f>
        <v>0.9691405102424695</v>
      </c>
      <c r="AU3453" s="13" cm="1">
        <f t="array" ref="AU3453">$C3453*EXP(poly_from_str(100000000/$E3453,AU$4343))</f>
        <v>29.460788732333647</v>
      </c>
      <c r="AV3453" s="13">
        <f t="shared" ref="AV3453:AV3454" si="2929">LN(AS3453/AU3453)</f>
        <v>-0.33447813174542629</v>
      </c>
      <c r="AW3453" s="13"/>
      <c r="AX3453" s="13"/>
      <c r="AY3453" s="13"/>
    </row>
    <row r="3454" spans="1:51" x14ac:dyDescent="0.25">
      <c r="A3454">
        <v>2462.895</v>
      </c>
      <c r="B3454" s="2" t="str">
        <f t="shared" si="2836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2921"/>
        <v>e</v>
      </c>
      <c r="N3454" t="str">
        <f t="shared" si="2922"/>
        <v>7/2</v>
      </c>
      <c r="O3454">
        <v>75614.81</v>
      </c>
      <c r="P3454" t="str">
        <f t="shared" si="2923"/>
        <v>o</v>
      </c>
      <c r="Q3454" t="str">
        <f t="shared" si="2924"/>
        <v>5/2</v>
      </c>
      <c r="R3454">
        <v>32</v>
      </c>
      <c r="AA3454" s="10">
        <f t="shared" si="2837"/>
        <v>2462.895</v>
      </c>
      <c r="AB3454" s="3">
        <f t="shared" si="2838"/>
        <v>40590.35</v>
      </c>
      <c r="AC3454" s="3" cm="1">
        <f t="array" ref="AC3454">100000000/LvacE(AA3454)</f>
        <v>40590.345776627277</v>
      </c>
      <c r="AD3454" s="10">
        <f t="shared" si="2839"/>
        <v>1.3240372767947331E-2</v>
      </c>
      <c r="AE3454" s="10" t="b">
        <f t="shared" si="2840"/>
        <v>1</v>
      </c>
      <c r="AJ3454" t="s">
        <v>4770</v>
      </c>
      <c r="AK3454" t="s">
        <v>4947</v>
      </c>
      <c r="AL3454">
        <v>35024.49</v>
      </c>
      <c r="AM3454">
        <v>75614.81</v>
      </c>
      <c r="AN3454" s="10" cm="1">
        <f t="array" ref="AN3454">Lair(100000000/($AM3454-$AL3454))</f>
        <v>2462.8965658244001</v>
      </c>
      <c r="AO3454" s="10">
        <f t="shared" si="2925"/>
        <v>2463.6415775978116</v>
      </c>
      <c r="AP3454" s="12">
        <v>385000000</v>
      </c>
      <c r="AQ3454" s="3">
        <v>0.35</v>
      </c>
      <c r="AR3454" s="3">
        <f t="shared" si="2926"/>
        <v>-8.3526040645781965</v>
      </c>
      <c r="AS3454" s="13">
        <f t="shared" si="2927"/>
        <v>47.414449512721909</v>
      </c>
      <c r="AT3454" s="3">
        <f t="shared" si="2928"/>
        <v>1.5563419312926376</v>
      </c>
      <c r="AU3454" s="13" cm="1">
        <f t="array" ref="AU3454">$C3454*EXP(poly_from_str(100000000/$E3454,AU$4343))</f>
        <v>36.846254704870333</v>
      </c>
      <c r="AV3454" s="13">
        <f t="shared" si="2929"/>
        <v>0.25217304704811938</v>
      </c>
      <c r="AW3454" s="13"/>
      <c r="AX3454" s="13"/>
      <c r="AY3454" s="13"/>
    </row>
    <row r="3455" spans="1:51" x14ac:dyDescent="0.25">
      <c r="A3455">
        <v>2462.5189999999998</v>
      </c>
      <c r="B3455" s="2" t="str">
        <f t="shared" si="2836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2837"/>
        <v>2462.5189999999998</v>
      </c>
      <c r="AB3455" s="3">
        <f t="shared" si="2838"/>
        <v>40596.54</v>
      </c>
      <c r="AC3455" s="3" cm="1">
        <f t="array" ref="AC3455">100000000/LvacE(AA3455)</f>
        <v>40596.543036922922</v>
      </c>
      <c r="AD3455" s="10">
        <f t="shared" si="2839"/>
        <v>1.3242889300939999E-2</v>
      </c>
      <c r="AE3455" s="10" t="b">
        <f t="shared" si="2840"/>
        <v>1</v>
      </c>
      <c r="AP3455"/>
      <c r="AQ3455"/>
      <c r="AU3455" s="13" cm="1">
        <f t="array" ref="AU3455">$C3455*EXP(poly_from_str(100000000/$E3455,AU$4343))</f>
        <v>3.6865271867957317</v>
      </c>
    </row>
    <row r="3456" spans="1:51" x14ac:dyDescent="0.25">
      <c r="A3456">
        <v>2462.377</v>
      </c>
      <c r="B3456" s="2" t="str">
        <f t="shared" si="2836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2837"/>
        <v>2462.377</v>
      </c>
      <c r="AB3456" s="3">
        <f t="shared" si="2838"/>
        <v>40598.879999999997</v>
      </c>
      <c r="AC3456" s="3" cm="1">
        <f t="array" ref="AC3456">100000000/LvacE(AA3456)</f>
        <v>40598.883983891195</v>
      </c>
      <c r="AD3456" s="10">
        <f t="shared" si="2839"/>
        <v>1.3243839993610076E-2</v>
      </c>
      <c r="AE3456" s="10" t="b">
        <f t="shared" si="2840"/>
        <v>1</v>
      </c>
      <c r="AP3456"/>
      <c r="AQ3456"/>
      <c r="AU3456" s="13" cm="1">
        <f t="array" ref="AU3456">$C3456*EXP(poly_from_str(100000000/$E3456,AU$4343))</f>
        <v>3.6872462932559502</v>
      </c>
    </row>
    <row r="3457" spans="1:51" x14ac:dyDescent="0.25">
      <c r="A3457">
        <v>2462.1750000000002</v>
      </c>
      <c r="B3457" s="2" t="str">
        <f t="shared" si="2836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2930">$G3457&amp;""</f>
        <v>e</v>
      </c>
      <c r="N3457" t="str">
        <f t="shared" ref="N3457:N3459" si="2931">$H3457&amp;""</f>
        <v>7/2</v>
      </c>
      <c r="O3457">
        <v>67049.179999999993</v>
      </c>
      <c r="P3457" t="str">
        <f t="shared" ref="P3457:P3459" si="2932">$J3457&amp;""</f>
        <v>o</v>
      </c>
      <c r="Q3457" t="str">
        <f t="shared" ref="Q3457:Q3459" si="2933">$K3457&amp;""</f>
        <v>9/2</v>
      </c>
      <c r="R3457">
        <v>32</v>
      </c>
      <c r="AA3457" s="10">
        <f t="shared" si="2837"/>
        <v>2462.1750000000002</v>
      </c>
      <c r="AB3457" s="3">
        <f t="shared" si="2838"/>
        <v>40602.21</v>
      </c>
      <c r="AC3457" s="3" cm="1">
        <f t="array" ref="AC3457">100000000/LvacE(AA3457)</f>
        <v>40602.214528573815</v>
      </c>
      <c r="AD3457" s="10">
        <f t="shared" si="2839"/>
        <v>1.3245192670824336E-2</v>
      </c>
      <c r="AE3457" s="10" t="b">
        <f t="shared" si="2840"/>
        <v>1</v>
      </c>
      <c r="AJ3457" t="s">
        <v>4736</v>
      </c>
      <c r="AK3457" t="s">
        <v>4862</v>
      </c>
      <c r="AL3457">
        <v>26446.97</v>
      </c>
      <c r="AM3457">
        <v>67049.179999999993</v>
      </c>
      <c r="AN3457" s="10" cm="1">
        <f t="array" ref="AN3457">Lair(100000000/($AM3457-$AL3457))</f>
        <v>2462.1752763189597</v>
      </c>
      <c r="AO3457" s="10">
        <f t="shared" ref="AO3457:AO3459" si="2934">100000000/($AM3457-$AL3457)</f>
        <v>2462.920121835733</v>
      </c>
      <c r="AP3457" s="12">
        <v>513000000</v>
      </c>
      <c r="AQ3457" s="3">
        <v>0.52500000000000002</v>
      </c>
      <c r="AR3457" s="3">
        <f t="shared" ref="AR3457:AR3459" si="2935">LN(AU3457*100000000/($AM3457-$AL3457)/AP3457)</f>
        <v>-8.6389408741611433</v>
      </c>
      <c r="AS3457" s="13">
        <f t="shared" ref="AS3457:AS3459" si="2936">EXP(AR$4341*$AM3457+AR$4342)*$AP3457/(100000000/($AM3457-$AL3457))</f>
        <v>120.19016503987476</v>
      </c>
      <c r="AT3457" s="3">
        <f t="shared" ref="AT3457:AT3459" si="2937">LN(AS3457/$C3457)</f>
        <v>2.4864901041278316</v>
      </c>
      <c r="AU3457" s="13" cm="1">
        <f t="array" ref="AU3457">$C3457*EXP(poly_from_str(100000000/$E3457,AU$4343))</f>
        <v>36.882698384783289</v>
      </c>
      <c r="AV3457" s="13">
        <f t="shared" ref="AV3457:AV3459" si="2938">LN(AS3457/AU3457)</f>
        <v>1.1813326344944315</v>
      </c>
      <c r="AW3457" s="13"/>
      <c r="AX3457" s="13"/>
      <c r="AY3457" s="13"/>
    </row>
    <row r="3458" spans="1:51" x14ac:dyDescent="0.25">
      <c r="A3458">
        <v>2460.7190000000001</v>
      </c>
      <c r="B3458" s="2" t="str">
        <f t="shared" ref="B3458:B3521" si="2939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2930"/>
        <v>e</v>
      </c>
      <c r="N3458" t="str">
        <f t="shared" si="2931"/>
        <v>7/2</v>
      </c>
      <c r="O3458">
        <v>85306.1</v>
      </c>
      <c r="P3458" t="str">
        <f t="shared" si="2932"/>
        <v>o</v>
      </c>
      <c r="Q3458" t="str">
        <f t="shared" si="2933"/>
        <v>5/2</v>
      </c>
      <c r="R3458">
        <v>32</v>
      </c>
      <c r="AA3458" s="10">
        <f t="shared" si="2837"/>
        <v>2460.7190000000001</v>
      </c>
      <c r="AB3458" s="3">
        <f t="shared" si="2838"/>
        <v>40626.239999999998</v>
      </c>
      <c r="AC3458" s="3" cm="1">
        <f t="array" ref="AC3458">100000000/LvacE(AA3458)</f>
        <v>40626.237003681577</v>
      </c>
      <c r="AD3458" s="10">
        <f t="shared" si="2839"/>
        <v>1.325495251665907E-2</v>
      </c>
      <c r="AE3458" s="10" t="b">
        <f t="shared" si="2840"/>
        <v>1</v>
      </c>
      <c r="AJ3458" t="s">
        <v>4806</v>
      </c>
      <c r="AK3458" t="s">
        <v>4929</v>
      </c>
      <c r="AL3458">
        <v>44679.98</v>
      </c>
      <c r="AM3458">
        <v>85306.1</v>
      </c>
      <c r="AN3458" s="10" cm="1">
        <f t="array" ref="AN3458">Lair(100000000/($AM3458-$AL3458))</f>
        <v>2460.7260891185565</v>
      </c>
      <c r="AO3458" s="10">
        <f t="shared" si="2934"/>
        <v>2461.4706006874394</v>
      </c>
      <c r="AP3458" s="12">
        <v>982000000</v>
      </c>
      <c r="AQ3458" s="3">
        <v>0.69599999999999995</v>
      </c>
      <c r="AR3458" s="3">
        <f t="shared" si="2935"/>
        <v>-9.2868423195373389</v>
      </c>
      <c r="AS3458" s="13">
        <f t="shared" si="2936"/>
        <v>58.49005148701464</v>
      </c>
      <c r="AT3458" s="3">
        <f t="shared" si="2937"/>
        <v>1.7662715867308831</v>
      </c>
      <c r="AU3458" s="13" cm="1">
        <f t="array" ref="AU3458">$C3458*EXP(poly_from_str(100000000/$E3458,AU$4343))</f>
        <v>36.956638439015407</v>
      </c>
      <c r="AV3458" s="13">
        <f t="shared" si="2938"/>
        <v>0.45911138841310878</v>
      </c>
      <c r="AW3458" s="13"/>
      <c r="AX3458" s="13"/>
      <c r="AY3458" s="13"/>
    </row>
    <row r="3459" spans="1:51" x14ac:dyDescent="0.25">
      <c r="A3459">
        <v>2460.6260000000002</v>
      </c>
      <c r="B3459" s="2" t="str">
        <f t="shared" si="2939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2930"/>
        <v>e</v>
      </c>
      <c r="N3459" t="str">
        <f t="shared" si="2931"/>
        <v>11/2</v>
      </c>
      <c r="O3459">
        <v>80360.820000000007</v>
      </c>
      <c r="P3459" t="str">
        <f t="shared" si="2932"/>
        <v>o</v>
      </c>
      <c r="Q3459" t="str">
        <f t="shared" si="2933"/>
        <v>11/2</v>
      </c>
      <c r="R3459">
        <v>32</v>
      </c>
      <c r="AA3459" s="10">
        <f t="shared" ref="AA3459:AA3522" si="2940">ROUND($A3459,3)+0</f>
        <v>2460.6260000000002</v>
      </c>
      <c r="AB3459" s="3">
        <f t="shared" ref="AB3459:AB3522" si="2941">ROUND($E3459,2)+0</f>
        <v>40627.769999999997</v>
      </c>
      <c r="AC3459" s="3" cm="1">
        <f t="array" ref="AC3459">100000000/LvacE(AA3459)</f>
        <v>40627.772372073247</v>
      </c>
      <c r="AD3459" s="10">
        <f t="shared" ref="AD3459:AD3522" si="2942">0.0005/$AA3459*AC3459+0.005</f>
        <v>1.3255576502091998E-2</v>
      </c>
      <c r="AE3459" s="10" t="b">
        <f t="shared" ref="AE3459:AE3522" si="2943">ABS(AB3459-AC3459)&lt;AD3459</f>
        <v>1</v>
      </c>
      <c r="AJ3459" t="s">
        <v>4725</v>
      </c>
      <c r="AK3459" t="s">
        <v>4913</v>
      </c>
      <c r="AL3459">
        <v>39732.99</v>
      </c>
      <c r="AM3459">
        <v>80360.820000000007</v>
      </c>
      <c r="AN3459" s="10" cm="1">
        <f t="array" ref="AN3459">Lair(100000000/($AM3459-$AL3459))</f>
        <v>2460.6225112214679</v>
      </c>
      <c r="AO3459" s="10">
        <f t="shared" si="2934"/>
        <v>2461.3669989265973</v>
      </c>
      <c r="AP3459" s="12">
        <v>121000000</v>
      </c>
      <c r="AQ3459" s="3">
        <v>0.1</v>
      </c>
      <c r="AR3459" s="3">
        <f t="shared" si="2935"/>
        <v>-7.7037817515233176</v>
      </c>
      <c r="AS3459" s="13">
        <f t="shared" si="2936"/>
        <v>10.446063908120031</v>
      </c>
      <c r="AT3459" s="3">
        <f t="shared" si="2937"/>
        <v>0.55446577871870939</v>
      </c>
      <c r="AU3459" s="13" cm="1">
        <f t="array" ref="AU3459">$C3459*EXP(poly_from_str(100000000/$E3459,AU$4343))</f>
        <v>22.176810854142488</v>
      </c>
      <c r="AV3459" s="13">
        <f t="shared" si="2938"/>
        <v>-0.75282193888281601</v>
      </c>
      <c r="AW3459" s="13"/>
      <c r="AX3459" s="13"/>
      <c r="AY3459" s="13"/>
    </row>
    <row r="3460" spans="1:51" x14ac:dyDescent="0.25">
      <c r="A3460">
        <v>2459.9830000000002</v>
      </c>
      <c r="B3460" s="2" t="str">
        <f t="shared" si="2939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2940"/>
        <v>2459.9830000000002</v>
      </c>
      <c r="AB3460" s="3">
        <f t="shared" si="2941"/>
        <v>40638.39</v>
      </c>
      <c r="AC3460" s="3" cm="1">
        <f t="array" ref="AC3460">100000000/LvacE(AA3460)</f>
        <v>40638.391051707018</v>
      </c>
      <c r="AD3460" s="10">
        <f t="shared" si="2942"/>
        <v>1.3259892660174282E-2</v>
      </c>
      <c r="AE3460" s="10" t="b">
        <f t="shared" si="2943"/>
        <v>1</v>
      </c>
      <c r="AP3460"/>
      <c r="AQ3460"/>
      <c r="AU3460" s="13" cm="1">
        <f t="array" ref="AU3460">$C3460*EXP(poly_from_str(100000000/$E3460,AU$4343))</f>
        <v>11.098225285795595</v>
      </c>
    </row>
    <row r="3461" spans="1:51" x14ac:dyDescent="0.25">
      <c r="A3461">
        <v>2459.913</v>
      </c>
      <c r="B3461" s="2" t="str">
        <f t="shared" si="2939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2940"/>
        <v>2459.913</v>
      </c>
      <c r="AB3461" s="3">
        <f t="shared" si="2941"/>
        <v>40639.550000000003</v>
      </c>
      <c r="AC3461" s="3" cm="1">
        <f t="array" ref="AC3461">100000000/LvacE(AA3461)</f>
        <v>40639.547386061247</v>
      </c>
      <c r="AD3461" s="10">
        <f t="shared" si="2942"/>
        <v>1.3260362741702909E-2</v>
      </c>
      <c r="AE3461" s="10" t="b">
        <f t="shared" si="2943"/>
        <v>1</v>
      </c>
      <c r="AP3461"/>
      <c r="AQ3461"/>
      <c r="AU3461" s="13" cm="1">
        <f t="array" ref="AU3461">$C3461*EXP(poly_from_str(100000000/$E3461,AU$4343))</f>
        <v>22.198597045005247</v>
      </c>
    </row>
    <row r="3462" spans="1:51" x14ac:dyDescent="0.25">
      <c r="A3462">
        <v>2459.8440000000001</v>
      </c>
      <c r="B3462" s="2" t="str">
        <f t="shared" si="2939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2944">$G3462&amp;""</f>
        <v>e</v>
      </c>
      <c r="N3462" t="str">
        <f t="shared" ref="N3462:N3464" si="2945">$H3462&amp;""</f>
        <v>11/2</v>
      </c>
      <c r="O3462">
        <v>66735.88</v>
      </c>
      <c r="P3462" t="str">
        <f t="shared" ref="P3462:P3464" si="2946">$J3462&amp;""</f>
        <v>o</v>
      </c>
      <c r="Q3462" t="str">
        <f t="shared" ref="Q3462:Q3464" si="2947">$K3462&amp;""</f>
        <v>13/2</v>
      </c>
      <c r="R3462">
        <v>32</v>
      </c>
      <c r="AA3462" s="10">
        <f t="shared" si="2940"/>
        <v>2459.8440000000001</v>
      </c>
      <c r="AB3462" s="3">
        <f t="shared" si="2941"/>
        <v>40640.69</v>
      </c>
      <c r="AC3462" s="3" cm="1">
        <f t="array" ref="AC3462">100000000/LvacE(AA3462)</f>
        <v>40640.687265752415</v>
      </c>
      <c r="AD3462" s="10">
        <f t="shared" si="2942"/>
        <v>1.3260826147054938E-2</v>
      </c>
      <c r="AE3462" s="10" t="b">
        <f t="shared" si="2943"/>
        <v>1</v>
      </c>
      <c r="AJ3462" t="s">
        <v>4738</v>
      </c>
      <c r="AK3462" t="s">
        <v>4909</v>
      </c>
      <c r="AL3462">
        <v>26095.23</v>
      </c>
      <c r="AM3462">
        <v>66735.88</v>
      </c>
      <c r="AN3462" s="10" cm="1">
        <f t="array" ref="AN3462">Lair(100000000/($AM3462-$AL3462))</f>
        <v>2459.8462574618115</v>
      </c>
      <c r="AO3462" s="10">
        <f t="shared" ref="AO3462:AO3464" si="2948">100000000/($AM3462-$AL3462)</f>
        <v>2460.5905663418271</v>
      </c>
      <c r="AP3462" s="12">
        <v>61900000</v>
      </c>
      <c r="AQ3462" s="3">
        <v>0.23300000000000001</v>
      </c>
      <c r="AR3462" s="3">
        <f t="shared" ref="AR3462:AR3464" si="2949">LN(AU3462*100000000/($AM3462-$AL3462)/AP3462)</f>
        <v>-6.8785992655607391</v>
      </c>
      <c r="AS3462" s="13">
        <f t="shared" ref="AS3462:AS3464" si="2950">EXP(AR$4341*$AM3462+AR$4342)*$AP3462/(100000000/($AM3462-$AL3462))</f>
        <v>14.86155950265926</v>
      </c>
      <c r="AT3462" s="3">
        <f t="shared" ref="AT3462:AT3464" si="2951">LN(AS3462/$C3462)</f>
        <v>0.75286783107097088</v>
      </c>
      <c r="AU3462" s="13" cm="1">
        <f t="array" ref="AU3462">$C3462*EXP(poly_from_str(100000000/$E3462,AU$4343))</f>
        <v>25.90082455659412</v>
      </c>
      <c r="AV3462" s="13">
        <f t="shared" ref="AV3462:AV3464" si="2952">LN(AS3462/AU3462)</f>
        <v>-0.55549682423438296</v>
      </c>
      <c r="AW3462" s="13"/>
      <c r="AX3462" s="13"/>
      <c r="AY3462" s="13"/>
    </row>
    <row r="3463" spans="1:51" x14ac:dyDescent="0.25">
      <c r="A3463">
        <v>2459.7719999999999</v>
      </c>
      <c r="B3463" s="2" t="str">
        <f t="shared" si="2939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2944"/>
        <v>e</v>
      </c>
      <c r="N3463" t="str">
        <f t="shared" si="2945"/>
        <v>13/2</v>
      </c>
      <c r="O3463">
        <v>63816.91</v>
      </c>
      <c r="P3463" t="str">
        <f t="shared" si="2946"/>
        <v>o</v>
      </c>
      <c r="Q3463" t="str">
        <f t="shared" si="2947"/>
        <v>11/2</v>
      </c>
      <c r="R3463">
        <v>32</v>
      </c>
      <c r="AA3463" s="10">
        <f t="shared" si="2940"/>
        <v>2459.7719999999999</v>
      </c>
      <c r="AB3463" s="3">
        <f t="shared" si="2941"/>
        <v>40641.879999999997</v>
      </c>
      <c r="AC3463" s="3" cm="1">
        <f t="array" ref="AC3463">100000000/LvacE(AA3463)</f>
        <v>40641.876773602002</v>
      </c>
      <c r="AD3463" s="10">
        <f t="shared" si="2942"/>
        <v>1.3261309742041542E-2</v>
      </c>
      <c r="AE3463" s="10" t="b">
        <f t="shared" si="2943"/>
        <v>1</v>
      </c>
      <c r="AJ3463" t="s">
        <v>4969</v>
      </c>
      <c r="AK3463" t="s">
        <v>4928</v>
      </c>
      <c r="AL3463">
        <v>23175.09</v>
      </c>
      <c r="AM3463">
        <v>63816.91</v>
      </c>
      <c r="AN3463" s="10" cm="1">
        <f t="array" ref="AN3463">Lair(100000000/($AM3463-$AL3463))</f>
        <v>2459.7754380945712</v>
      </c>
      <c r="AO3463" s="10">
        <f t="shared" si="2948"/>
        <v>2460.5197306616678</v>
      </c>
      <c r="AP3463" s="12">
        <v>113000000</v>
      </c>
      <c r="AQ3463" s="3">
        <v>0.14799999999999999</v>
      </c>
      <c r="AR3463" s="3">
        <f t="shared" si="2949"/>
        <v>-7.1237215446558819</v>
      </c>
      <c r="AS3463" s="13">
        <f t="shared" si="2950"/>
        <v>33.775431123570954</v>
      </c>
      <c r="AT3463" s="3">
        <f t="shared" si="2951"/>
        <v>1.2171485553472405</v>
      </c>
      <c r="AU3463" s="13" cm="1">
        <f t="array" ref="AU3463">$C3463*EXP(poly_from_str(100000000/$E3463,AU$4343))</f>
        <v>37.004848802804958</v>
      </c>
      <c r="AV3463" s="13">
        <f t="shared" si="2952"/>
        <v>-9.1315304441262665E-2</v>
      </c>
      <c r="AW3463" s="13"/>
      <c r="AX3463" s="13"/>
      <c r="AY3463" s="13"/>
    </row>
    <row r="3464" spans="1:51" x14ac:dyDescent="0.25">
      <c r="A3464">
        <v>2459.4059999999999</v>
      </c>
      <c r="B3464" s="2" t="str">
        <f t="shared" si="2939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2944"/>
        <v>e</v>
      </c>
      <c r="N3464" t="str">
        <f t="shared" si="2945"/>
        <v>7/2</v>
      </c>
      <c r="O3464">
        <v>60520.32</v>
      </c>
      <c r="P3464" t="str">
        <f t="shared" si="2946"/>
        <v>o</v>
      </c>
      <c r="Q3464" t="str">
        <f t="shared" si="2947"/>
        <v>7/2</v>
      </c>
      <c r="R3464">
        <v>32</v>
      </c>
      <c r="AA3464" s="10">
        <f t="shared" si="2940"/>
        <v>2459.4059999999999</v>
      </c>
      <c r="AB3464" s="3">
        <f t="shared" si="2941"/>
        <v>40647.919999999998</v>
      </c>
      <c r="AC3464" s="3" cm="1">
        <f t="array" ref="AC3464">100000000/LvacE(AA3464)</f>
        <v>40647.92451521258</v>
      </c>
      <c r="AD3464" s="10">
        <f t="shared" si="2942"/>
        <v>1.3263768673251301E-2</v>
      </c>
      <c r="AE3464" s="10" t="b">
        <f t="shared" si="2943"/>
        <v>1</v>
      </c>
      <c r="AJ3464" t="s">
        <v>4785</v>
      </c>
      <c r="AK3464" t="s">
        <v>4730</v>
      </c>
      <c r="AL3464">
        <v>19872.43</v>
      </c>
      <c r="AM3464">
        <v>60520.32</v>
      </c>
      <c r="AN3464" s="10" cm="1">
        <f t="array" ref="AN3464">Lair(100000000/($AM3464-$AL3464))</f>
        <v>2459.4080902334267</v>
      </c>
      <c r="AO3464" s="10">
        <f t="shared" si="2948"/>
        <v>2460.1522981881717</v>
      </c>
      <c r="AP3464" s="12">
        <v>19400000</v>
      </c>
      <c r="AQ3464" s="3">
        <v>9.6000000000000002E-2</v>
      </c>
      <c r="AR3464" s="3">
        <f t="shared" si="2949"/>
        <v>-5.7179275092016821</v>
      </c>
      <c r="AS3464" s="13">
        <f t="shared" si="2950"/>
        <v>7.4273314563723734</v>
      </c>
      <c r="AT3464" s="3">
        <f t="shared" si="2951"/>
        <v>5.9256487203730022E-2</v>
      </c>
      <c r="AU3464" s="13" cm="1">
        <f t="array" ref="AU3464">$C3464*EXP(poly_from_str(100000000/$E3464,AU$4343))</f>
        <v>25.916441596891531</v>
      </c>
      <c r="AV3464" s="13">
        <f t="shared" si="2952"/>
        <v>-1.2497109417301673</v>
      </c>
      <c r="AW3464" s="13"/>
      <c r="AX3464" s="13"/>
      <c r="AY3464" s="13"/>
    </row>
    <row r="3465" spans="1:51" x14ac:dyDescent="0.25">
      <c r="A3465">
        <v>2459.308</v>
      </c>
      <c r="B3465" s="2" t="str">
        <f t="shared" si="2939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2940"/>
        <v>2459.308</v>
      </c>
      <c r="AB3465" s="3">
        <f t="shared" si="2941"/>
        <v>40649.54</v>
      </c>
      <c r="AC3465" s="3" cm="1">
        <f t="array" ref="AC3465">100000000/LvacE(AA3465)</f>
        <v>40649.544161341597</v>
      </c>
      <c r="AD3465" s="10">
        <f t="shared" si="2942"/>
        <v>1.3264427261925223E-2</v>
      </c>
      <c r="AE3465" s="10" t="b">
        <f t="shared" si="2943"/>
        <v>1</v>
      </c>
      <c r="AP3465"/>
      <c r="AQ3465"/>
      <c r="AU3465" s="13" cm="1">
        <f t="array" ref="AU3465">$C3465*EXP(poly_from_str(100000000/$E3465,AU$4343))</f>
        <v>29.622791484443006</v>
      </c>
    </row>
    <row r="3466" spans="1:51" x14ac:dyDescent="0.25">
      <c r="A3466">
        <v>2458.2429999999999</v>
      </c>
      <c r="B3466" s="2" t="str">
        <f t="shared" si="2939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2940"/>
        <v>2458.2429999999999</v>
      </c>
      <c r="AB3466" s="3">
        <f t="shared" si="2941"/>
        <v>40667.15</v>
      </c>
      <c r="AC3466" s="3" cm="1">
        <f t="array" ref="AC3466">100000000/LvacE(AA3466)</f>
        <v>40667.153743752329</v>
      </c>
      <c r="AD3466" s="10">
        <f t="shared" si="2942"/>
        <v>1.3271589453067157E-2</v>
      </c>
      <c r="AE3466" s="10" t="b">
        <f t="shared" si="2943"/>
        <v>1</v>
      </c>
      <c r="AP3466"/>
      <c r="AQ3466"/>
      <c r="AU3466" s="13" cm="1">
        <f t="array" ref="AU3466">$C3466*EXP(poly_from_str(100000000/$E3466,AU$4343))</f>
        <v>3.7082917284473327</v>
      </c>
    </row>
    <row r="3467" spans="1:51" x14ac:dyDescent="0.25">
      <c r="A3467">
        <v>2457.9360000000001</v>
      </c>
      <c r="B3467" s="2" t="str">
        <f t="shared" si="2939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2953">$G3467&amp;""</f>
        <v>e</v>
      </c>
      <c r="N3467" t="str">
        <f t="shared" ref="N3467:N3468" si="2954">$H3467&amp;""</f>
        <v>5/2</v>
      </c>
      <c r="O3467">
        <v>79366.649999999994</v>
      </c>
      <c r="P3467" t="str">
        <f t="shared" ref="P3467:P3468" si="2955">$J3467&amp;""</f>
        <v>o</v>
      </c>
      <c r="Q3467" t="str">
        <f t="shared" ref="Q3467:Q3468" si="2956">$K3467&amp;""</f>
        <v>5/2</v>
      </c>
      <c r="R3467">
        <v>32</v>
      </c>
      <c r="AA3467" s="10">
        <f t="shared" si="2940"/>
        <v>2457.9360000000001</v>
      </c>
      <c r="AB3467" s="3">
        <f t="shared" si="2941"/>
        <v>40672.230000000003</v>
      </c>
      <c r="AC3467" s="3" cm="1">
        <f t="array" ref="AC3467">100000000/LvacE(AA3467)</f>
        <v>40672.232766321024</v>
      </c>
      <c r="AD3467" s="10">
        <f t="shared" si="2942"/>
        <v>1.3273655775886968E-2</v>
      </c>
      <c r="AE3467" s="10" t="b">
        <f t="shared" si="2943"/>
        <v>1</v>
      </c>
      <c r="AJ3467" t="s">
        <v>4794</v>
      </c>
      <c r="AK3467" t="s">
        <v>4859</v>
      </c>
      <c r="AL3467">
        <v>38694.51</v>
      </c>
      <c r="AM3467">
        <v>79366.649999999994</v>
      </c>
      <c r="AN3467" s="10" cm="1">
        <f t="array" ref="AN3467">Lair(100000000/($AM3467-$AL3467))</f>
        <v>2457.9416083092747</v>
      </c>
      <c r="AO3467" s="10">
        <f t="shared" ref="AO3467:AO3468" si="2957">100000000/($AM3467-$AL3467)</f>
        <v>2458.6854785610008</v>
      </c>
      <c r="AP3467" s="12">
        <v>161000000</v>
      </c>
      <c r="AQ3467" s="3">
        <v>0.29299999999999998</v>
      </c>
      <c r="AR3467" s="3">
        <f>LN(AU3467*100000000/($AM3467-$AL3467)/AP3467)</f>
        <v>-7.9867780981017829</v>
      </c>
      <c r="AS3467" s="13">
        <f t="shared" ref="AS3467:AS3468" si="2958">EXP(AR$4341*$AM3467+AR$4342)*$AP3467/(100000000/($AM3467-$AL3467))</f>
        <v>14.992324078409718</v>
      </c>
      <c r="AT3467" s="3">
        <f t="shared" ref="AT3467" si="2959">LN(AS3467/$C3467)</f>
        <v>0.91577887279062375</v>
      </c>
      <c r="AU3467" s="13" cm="1">
        <f t="array" ref="AU3467">$C3467*EXP(poly_from_str(100000000/$E3467,AU$4343))</f>
        <v>22.259184212704639</v>
      </c>
      <c r="AV3467" s="13">
        <f>LN(AS3467/AU3467)</f>
        <v>-0.39521635503068475</v>
      </c>
      <c r="AW3467" s="13"/>
      <c r="AX3467" s="13"/>
      <c r="AY3467" s="13"/>
    </row>
    <row r="3468" spans="1:51" x14ac:dyDescent="0.25">
      <c r="A3468">
        <v>2456.7359999999999</v>
      </c>
      <c r="B3468" s="2" t="str">
        <f t="shared" si="2939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2953"/>
        <v>e</v>
      </c>
      <c r="N3468" t="str">
        <f t="shared" si="2954"/>
        <v>3/2</v>
      </c>
      <c r="O3468">
        <v>80897.850000000006</v>
      </c>
      <c r="P3468" t="str">
        <f t="shared" si="2955"/>
        <v>o</v>
      </c>
      <c r="Q3468" t="str">
        <f t="shared" si="2956"/>
        <v>3/2</v>
      </c>
      <c r="R3468">
        <v>32</v>
      </c>
      <c r="AA3468" s="10">
        <f t="shared" si="2940"/>
        <v>2456.7359999999999</v>
      </c>
      <c r="AB3468" s="3">
        <f t="shared" si="2941"/>
        <v>40692.1</v>
      </c>
      <c r="AC3468" s="3" cm="1">
        <f t="array" ref="AC3468">100000000/LvacE(AA3468)</f>
        <v>40692.097799583637</v>
      </c>
      <c r="AD3468" s="10">
        <f t="shared" si="2942"/>
        <v>1.3281740040359168E-2</v>
      </c>
      <c r="AE3468" s="10" t="b">
        <f t="shared" si="2943"/>
        <v>1</v>
      </c>
      <c r="AJ3468" t="s">
        <v>4779</v>
      </c>
      <c r="AK3468" t="s">
        <v>4911</v>
      </c>
      <c r="AL3468">
        <v>40205.74</v>
      </c>
      <c r="AM3468">
        <v>80897.850000000006</v>
      </c>
      <c r="AN3468" s="10" cm="1">
        <f t="array" ref="AN3468">Lair(100000000/($AM3468-$AL3468))</f>
        <v>2456.7352651496681</v>
      </c>
      <c r="AO3468" s="10">
        <f t="shared" si="2957"/>
        <v>2457.4788576950173</v>
      </c>
      <c r="AP3468" s="12">
        <v>11600000</v>
      </c>
      <c r="AQ3468" s="3">
        <v>2.9000000000000001E-2</v>
      </c>
      <c r="AR3468" s="3"/>
      <c r="AS3468" s="13">
        <f t="shared" si="2958"/>
        <v>0.96340475938864201</v>
      </c>
      <c r="AT3468" s="3"/>
      <c r="AU3468" s="13" cm="1">
        <f t="array" ref="AU3468">$C3468*EXP(poly_from_str(100000000/$E3468,AU$4343))</f>
        <v>3.7160244352270362</v>
      </c>
      <c r="AV3468" s="13"/>
      <c r="AW3468" s="13"/>
      <c r="AX3468" s="13"/>
      <c r="AY3468" s="13"/>
    </row>
    <row r="3469" spans="1:51" x14ac:dyDescent="0.25">
      <c r="A3469">
        <v>2456.4760000000001</v>
      </c>
      <c r="B3469" s="2" t="str">
        <f t="shared" si="2939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2940"/>
        <v>2456.4760000000001</v>
      </c>
      <c r="AB3469" s="3">
        <f t="shared" si="2941"/>
        <v>40696.400000000001</v>
      </c>
      <c r="AC3469" s="3" cm="1">
        <f t="array" ref="AC3469">100000000/LvacE(AA3469)</f>
        <v>40696.404447884139</v>
      </c>
      <c r="AD3469" s="10">
        <f t="shared" si="2942"/>
        <v>1.3283493192663826E-2</v>
      </c>
      <c r="AE3469" s="10" t="b">
        <f t="shared" si="2943"/>
        <v>1</v>
      </c>
      <c r="AP3469"/>
      <c r="AQ3469"/>
      <c r="AU3469" s="13" cm="1">
        <f t="array" ref="AU3469">$C3469*EXP(poly_from_str(100000000/$E3469,AU$4343))</f>
        <v>3.7173599132128121</v>
      </c>
    </row>
    <row r="3470" spans="1:51" x14ac:dyDescent="0.25">
      <c r="A3470">
        <v>2455.989</v>
      </c>
      <c r="B3470" s="2" t="str">
        <f t="shared" si="2939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2960">$G3470&amp;""</f>
        <v>e</v>
      </c>
      <c r="N3470" t="str">
        <f t="shared" ref="N3470:N3473" si="2961">$H3470&amp;""</f>
        <v>7/2</v>
      </c>
      <c r="O3470">
        <v>63232.14</v>
      </c>
      <c r="P3470" t="str">
        <f t="shared" ref="P3470:P3473" si="2962">$J3470&amp;""</f>
        <v>o</v>
      </c>
      <c r="Q3470" t="str">
        <f t="shared" ref="Q3470:Q3473" si="2963">$K3470&amp;""</f>
        <v>7/2</v>
      </c>
      <c r="R3470">
        <v>32</v>
      </c>
      <c r="AA3470" s="10">
        <f t="shared" si="2940"/>
        <v>2455.989</v>
      </c>
      <c r="AB3470" s="3">
        <f t="shared" si="2941"/>
        <v>40704.47</v>
      </c>
      <c r="AC3470" s="3" cm="1">
        <f t="array" ref="AC3470">100000000/LvacE(AA3470)</f>
        <v>40704.473584599393</v>
      </c>
      <c r="AD3470" s="10">
        <f t="shared" si="2942"/>
        <v>1.3286778479993069E-2</v>
      </c>
      <c r="AE3470" s="10" t="b">
        <f t="shared" si="2943"/>
        <v>1</v>
      </c>
      <c r="AJ3470" t="s">
        <v>4799</v>
      </c>
      <c r="AK3470" t="s">
        <v>4819</v>
      </c>
      <c r="AL3470">
        <v>22527.7</v>
      </c>
      <c r="AM3470">
        <v>63232.14</v>
      </c>
      <c r="AN3470" s="10" cm="1">
        <f t="array" ref="AN3470">Lair(100000000/($AM3470-$AL3470))</f>
        <v>2455.9910283483764</v>
      </c>
      <c r="AO3470" s="10">
        <f t="shared" ref="AO3470:AO3473" si="2964">100000000/($AM3470-$AL3470)</f>
        <v>2456.734449607954</v>
      </c>
      <c r="AP3470" s="12">
        <v>14200000</v>
      </c>
      <c r="AQ3470" s="3">
        <v>2.5999999999999999E-2</v>
      </c>
      <c r="AR3470" s="3"/>
      <c r="AS3470" s="13">
        <f t="shared" ref="AS3470:AS3473" si="2965">EXP(AR$4341*$AM3470+AR$4342)*$AP3470/(100000000/($AM3470-$AL3470))</f>
        <v>4.4415902631294903</v>
      </c>
      <c r="AT3470" s="3"/>
      <c r="AU3470" s="13" cm="1">
        <f t="array" ref="AU3470">$C3470*EXP(poly_from_str(100000000/$E3470,AU$4343))</f>
        <v>11.159605926070714</v>
      </c>
      <c r="AV3470" s="13"/>
      <c r="AW3470" s="13"/>
      <c r="AX3470" s="13"/>
      <c r="AY3470" s="13"/>
    </row>
    <row r="3471" spans="1:51" x14ac:dyDescent="0.25">
      <c r="A3471">
        <v>2455.913</v>
      </c>
      <c r="B3471" s="2" t="str">
        <f t="shared" si="2939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2960"/>
        <v>e</v>
      </c>
      <c r="N3471" t="str">
        <f t="shared" si="2961"/>
        <v>9/2</v>
      </c>
      <c r="O3471">
        <v>62240.83</v>
      </c>
      <c r="P3471" t="str">
        <f t="shared" si="2962"/>
        <v>o</v>
      </c>
      <c r="Q3471" t="str">
        <f t="shared" si="2963"/>
        <v>11/2</v>
      </c>
      <c r="R3471">
        <v>32</v>
      </c>
      <c r="AA3471" s="10">
        <f t="shared" si="2940"/>
        <v>2455.913</v>
      </c>
      <c r="AB3471" s="3">
        <f t="shared" si="2941"/>
        <v>40705.730000000003</v>
      </c>
      <c r="AC3471" s="3" cm="1">
        <f t="array" ref="AC3471">100000000/LvacE(AA3471)</f>
        <v>40705.733122493359</v>
      </c>
      <c r="AD3471" s="10">
        <f t="shared" si="2942"/>
        <v>1.328729134999761E-2</v>
      </c>
      <c r="AE3471" s="10" t="b">
        <f t="shared" si="2943"/>
        <v>1</v>
      </c>
      <c r="AJ3471" t="s">
        <v>4798</v>
      </c>
      <c r="AK3471" t="s">
        <v>4892</v>
      </c>
      <c r="AL3471">
        <v>21535.17</v>
      </c>
      <c r="AM3471">
        <v>62240.83</v>
      </c>
      <c r="AN3471" s="10" cm="1">
        <f t="array" ref="AN3471">Lair(100000000/($AM3471-$AL3471))</f>
        <v>2455.9174138571925</v>
      </c>
      <c r="AO3471" s="10">
        <f t="shared" si="2964"/>
        <v>2456.6608181761453</v>
      </c>
      <c r="AP3471" s="12">
        <v>199000</v>
      </c>
      <c r="AQ3471" s="3">
        <v>1E-3</v>
      </c>
      <c r="AR3471" s="3"/>
      <c r="AS3471" s="13">
        <f t="shared" si="2965"/>
        <v>6.7054110648386567E-2</v>
      </c>
      <c r="AT3471" s="3"/>
      <c r="AU3471" s="13" cm="1">
        <f t="array" ref="AU3471">$C3471*EXP(poly_from_str(100000000/$E3471,AU$4343))</f>
        <v>3.720260626685306</v>
      </c>
      <c r="AV3471" s="13"/>
      <c r="AW3471" s="13"/>
      <c r="AX3471" s="13"/>
      <c r="AY3471" s="13"/>
    </row>
    <row r="3472" spans="1:51" x14ac:dyDescent="0.25">
      <c r="A3472">
        <v>2455.732</v>
      </c>
      <c r="B3472" s="2" t="str">
        <f t="shared" si="2939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2960"/>
        <v>e</v>
      </c>
      <c r="N3472" t="str">
        <f t="shared" si="2961"/>
        <v>11/2</v>
      </c>
      <c r="O3472">
        <v>64150.94</v>
      </c>
      <c r="P3472" t="str">
        <f t="shared" si="2962"/>
        <v>o</v>
      </c>
      <c r="Q3472" t="str">
        <f t="shared" si="2963"/>
        <v>11/2</v>
      </c>
      <c r="R3472">
        <v>32</v>
      </c>
      <c r="AA3472" s="10">
        <f t="shared" si="2940"/>
        <v>2455.732</v>
      </c>
      <c r="AB3472" s="3">
        <f t="shared" si="2941"/>
        <v>40708.730000000003</v>
      </c>
      <c r="AC3472" s="3" cm="1">
        <f t="array" ref="AC3472">100000000/LvacE(AA3472)</f>
        <v>40708.733125307015</v>
      </c>
      <c r="AD3472" s="10">
        <f t="shared" si="2942"/>
        <v>1.328851298213873E-2</v>
      </c>
      <c r="AE3472" s="10" t="b">
        <f t="shared" si="2943"/>
        <v>1</v>
      </c>
      <c r="AJ3472" t="s">
        <v>4782</v>
      </c>
      <c r="AK3472" t="s">
        <v>4931</v>
      </c>
      <c r="AL3472">
        <v>23442.25</v>
      </c>
      <c r="AM3472">
        <v>64150.94</v>
      </c>
      <c r="AN3472" s="10" cm="1">
        <f t="array" ref="AN3472">Lair(100000000/($AM3472-$AL3472))</f>
        <v>2455.7346035102823</v>
      </c>
      <c r="AO3472" s="10">
        <f t="shared" si="2964"/>
        <v>2456.4779657611189</v>
      </c>
      <c r="AP3472" s="12">
        <v>18100000</v>
      </c>
      <c r="AQ3472" s="3">
        <v>0.08</v>
      </c>
      <c r="AR3472" s="3">
        <f>LN(AU3472*100000000/($AM3472-$AL3472)/AP3472)</f>
        <v>-6.897746784106797</v>
      </c>
      <c r="AS3472" s="13">
        <f t="shared" si="2965"/>
        <v>5.2847953519232478</v>
      </c>
      <c r="AT3472" s="3">
        <f t="shared" ref="AT3472" si="2966">LN(AS3472/$C3472)</f>
        <v>0.97168671557605124</v>
      </c>
      <c r="AU3472" s="13" cm="1">
        <f t="array" ref="AU3472">$C3472*EXP(poly_from_str(100000000/$E3472,AU$4343))</f>
        <v>7.4423884855601354</v>
      </c>
      <c r="AV3472" s="13">
        <f>LN(AS3472/AU3472)</f>
        <v>-0.34235793419432942</v>
      </c>
      <c r="AW3472" s="13"/>
      <c r="AX3472" s="13"/>
      <c r="AY3472" s="13"/>
    </row>
    <row r="3473" spans="1:51" x14ac:dyDescent="0.25">
      <c r="A3473">
        <v>2455.3510000000001</v>
      </c>
      <c r="B3473" s="2" t="str">
        <f t="shared" si="2939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2960"/>
        <v>e</v>
      </c>
      <c r="N3473" t="str">
        <f t="shared" si="2961"/>
        <v>13/2</v>
      </c>
      <c r="O3473">
        <v>69978.080000000002</v>
      </c>
      <c r="P3473" t="str">
        <f t="shared" si="2962"/>
        <v>o</v>
      </c>
      <c r="Q3473" t="str">
        <f t="shared" si="2963"/>
        <v>11/2</v>
      </c>
      <c r="R3473">
        <v>32</v>
      </c>
      <c r="AA3473" s="10">
        <f t="shared" si="2940"/>
        <v>2455.3510000000001</v>
      </c>
      <c r="AB3473" s="3">
        <f t="shared" si="2941"/>
        <v>40715.050000000003</v>
      </c>
      <c r="AC3473" s="3" cm="1">
        <f t="array" ref="AC3473">100000000/LvacE(AA3473)</f>
        <v>40715.049493559491</v>
      </c>
      <c r="AD3473" s="10">
        <f t="shared" si="2942"/>
        <v>1.3291085366931143E-2</v>
      </c>
      <c r="AE3473" s="10" t="b">
        <f t="shared" si="2943"/>
        <v>1</v>
      </c>
      <c r="AJ3473" t="s">
        <v>4699</v>
      </c>
      <c r="AK3473" t="s">
        <v>4941</v>
      </c>
      <c r="AL3473">
        <v>29263.08</v>
      </c>
      <c r="AM3473">
        <v>69978.080000000002</v>
      </c>
      <c r="AN3473" s="10" cm="1">
        <f t="array" ref="AN3473">Lair(100000000/($AM3473-$AL3473))</f>
        <v>2455.3539867816949</v>
      </c>
      <c r="AO3473" s="10">
        <f t="shared" si="2964"/>
        <v>2456.0972614515535</v>
      </c>
      <c r="AP3473" s="12">
        <v>36700000</v>
      </c>
      <c r="AQ3473" s="3">
        <v>2.9000000000000001E-2</v>
      </c>
      <c r="AR3473" s="3"/>
      <c r="AS3473" s="13">
        <f t="shared" si="2965"/>
        <v>6.9208993723232863</v>
      </c>
      <c r="AT3473" s="3"/>
      <c r="AU3473" s="13" cm="1">
        <f t="array" ref="AU3473">$C3473*EXP(poly_from_str(100000000/$E3473,AU$4343))</f>
        <v>7.446325120155934</v>
      </c>
      <c r="AV3473" s="13"/>
      <c r="AW3473" s="13"/>
      <c r="AX3473" s="13"/>
      <c r="AY3473" s="13"/>
    </row>
    <row r="3474" spans="1:51" x14ac:dyDescent="0.25">
      <c r="A3474">
        <v>2455.1179999999999</v>
      </c>
      <c r="B3474" s="2" t="str">
        <f t="shared" si="2939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2940"/>
        <v>2455.1179999999999</v>
      </c>
      <c r="AB3474" s="3">
        <f t="shared" si="2941"/>
        <v>40718.910000000003</v>
      </c>
      <c r="AC3474" s="3" cm="1">
        <f t="array" ref="AC3474">100000000/LvacE(AA3474)</f>
        <v>40718.913225346572</v>
      </c>
      <c r="AD3474" s="10">
        <f t="shared" si="2942"/>
        <v>1.3292659095274967E-2</v>
      </c>
      <c r="AE3474" s="10" t="b">
        <f t="shared" si="2943"/>
        <v>1</v>
      </c>
      <c r="AP3474"/>
      <c r="AQ3474"/>
      <c r="AU3474" s="13" cm="1">
        <f t="array" ref="AU3474">$C3474*EXP(poly_from_str(100000000/$E3474,AU$4343))</f>
        <v>22.34619451174331</v>
      </c>
    </row>
    <row r="3475" spans="1:51" x14ac:dyDescent="0.25">
      <c r="A3475">
        <v>2455.08</v>
      </c>
      <c r="B3475" s="2" t="str">
        <f t="shared" si="2939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2940"/>
        <v>2455.08</v>
      </c>
      <c r="AB3475" s="3">
        <f t="shared" si="2941"/>
        <v>40719.54</v>
      </c>
      <c r="AC3475" s="3" cm="1">
        <f t="array" ref="AC3475">100000000/LvacE(AA3475)</f>
        <v>40719.543431407852</v>
      </c>
      <c r="AD3475" s="10">
        <f t="shared" si="2942"/>
        <v>1.3292915797327959E-2</v>
      </c>
      <c r="AE3475" s="10" t="b">
        <f t="shared" si="2943"/>
        <v>1</v>
      </c>
      <c r="AP3475"/>
      <c r="AQ3475"/>
      <c r="AU3475" s="13" cm="1">
        <f t="array" ref="AU3475">$C3475*EXP(poly_from_str(100000000/$E3475,AU$4343))</f>
        <v>11.173686608619164</v>
      </c>
    </row>
    <row r="3476" spans="1:51" x14ac:dyDescent="0.25">
      <c r="A3476">
        <v>2454.8200000000002</v>
      </c>
      <c r="B3476" s="2" t="str">
        <f t="shared" si="2939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2967">$G3476&amp;""</f>
        <v>e</v>
      </c>
      <c r="N3476" t="str">
        <f t="shared" ref="N3476:N3479" si="2968">$H3476&amp;""</f>
        <v>7/2</v>
      </c>
      <c r="O3476">
        <v>71978.52</v>
      </c>
      <c r="P3476" t="str">
        <f t="shared" ref="P3476:P3479" si="2969">$J3476&amp;""</f>
        <v>o</v>
      </c>
      <c r="Q3476" t="str">
        <f t="shared" ref="Q3476:Q3479" si="2970">$K3476&amp;""</f>
        <v>7/2</v>
      </c>
      <c r="R3476">
        <v>32</v>
      </c>
      <c r="AA3476" s="10">
        <f t="shared" si="2940"/>
        <v>2454.8200000000002</v>
      </c>
      <c r="AB3476" s="3">
        <f t="shared" si="2941"/>
        <v>40723.86</v>
      </c>
      <c r="AC3476" s="3" cm="1">
        <f t="array" ref="AC3476">100000000/LvacE(AA3476)</f>
        <v>40723.855890984269</v>
      </c>
      <c r="AD3476" s="10">
        <f t="shared" si="2942"/>
        <v>1.3294672499609802E-2</v>
      </c>
      <c r="AE3476" s="10" t="b">
        <f t="shared" si="2943"/>
        <v>1</v>
      </c>
      <c r="AJ3476" t="s">
        <v>4735</v>
      </c>
      <c r="AK3476" t="s">
        <v>4716</v>
      </c>
      <c r="AL3476">
        <v>31254.71</v>
      </c>
      <c r="AM3476">
        <v>71978.52</v>
      </c>
      <c r="AN3476" s="10" cm="1">
        <f t="array" ref="AN3476">Lair(100000000/($AM3476-$AL3476))</f>
        <v>2454.8227683232981</v>
      </c>
      <c r="AO3476" s="10">
        <f t="shared" ref="AO3476:AO3479" si="2971">100000000/($AM3476-$AL3476)</f>
        <v>2455.5659207721474</v>
      </c>
      <c r="AP3476" s="12">
        <v>830000000</v>
      </c>
      <c r="AQ3476" s="3">
        <v>0.63900000000000001</v>
      </c>
      <c r="AR3476" s="3">
        <f t="shared" ref="AR3476:AR3478" si="2972">LN(AU3476*100000000/($AM3476-$AL3476)/AP3476)</f>
        <v>-9.1129275519225814</v>
      </c>
      <c r="AS3476" s="13">
        <f t="shared" ref="AS3476:AS3479" si="2973">EXP(AR$4341*$AM3476+AR$4342)*$AP3476/(100000000/($AM3476-$AL3476))</f>
        <v>134.73157859555769</v>
      </c>
      <c r="AT3476" s="3">
        <f t="shared" ref="AT3476:AT3478" si="2974">LN(AS3476/$C3476)</f>
        <v>2.6006993994389656</v>
      </c>
      <c r="AU3476" s="13" cm="1">
        <f t="array" ref="AU3476">$C3476*EXP(poly_from_str(100000000/$E3476,AU$4343))</f>
        <v>37.259098705259284</v>
      </c>
      <c r="AV3476" s="13">
        <f t="shared" ref="AV3476:AV3478" si="2975">LN(AS3476/AU3476)</f>
        <v>1.2853883168903188</v>
      </c>
      <c r="AW3476" s="13"/>
      <c r="AX3476" s="13"/>
      <c r="AY3476" s="13"/>
    </row>
    <row r="3477" spans="1:51" x14ac:dyDescent="0.25">
      <c r="A3477">
        <v>2454.5990000000002</v>
      </c>
      <c r="B3477" s="2" t="str">
        <f t="shared" si="2939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2967"/>
        <v>e</v>
      </c>
      <c r="N3477" t="str">
        <f t="shared" si="2968"/>
        <v>9/2</v>
      </c>
      <c r="O3477">
        <v>68331.73</v>
      </c>
      <c r="P3477" t="str">
        <f t="shared" si="2969"/>
        <v>o</v>
      </c>
      <c r="Q3477" t="str">
        <f t="shared" si="2970"/>
        <v>7/2</v>
      </c>
      <c r="R3477">
        <v>32</v>
      </c>
      <c r="AA3477" s="10">
        <f t="shared" si="2940"/>
        <v>2454.5990000000002</v>
      </c>
      <c r="AB3477" s="3">
        <f t="shared" si="2941"/>
        <v>40727.519999999997</v>
      </c>
      <c r="AC3477" s="3" cm="1">
        <f t="array" ref="AC3477">100000000/LvacE(AA3477)</f>
        <v>40727.522199825857</v>
      </c>
      <c r="AD3477" s="10">
        <f t="shared" si="2942"/>
        <v>1.3296166135451423E-2</v>
      </c>
      <c r="AE3477" s="10" t="b">
        <f t="shared" si="2943"/>
        <v>1</v>
      </c>
      <c r="AJ3477" t="s">
        <v>4718</v>
      </c>
      <c r="AK3477" t="s">
        <v>4923</v>
      </c>
      <c r="AL3477">
        <v>27604.26</v>
      </c>
      <c r="AM3477">
        <v>68331.75</v>
      </c>
      <c r="AN3477" s="10" cm="1">
        <f t="array" ref="AN3477">Lair(100000000/($AM3477-$AL3477))</f>
        <v>2454.6009426184269</v>
      </c>
      <c r="AO3477" s="10">
        <f t="shared" si="2971"/>
        <v>2455.3440440351219</v>
      </c>
      <c r="AP3477" s="12">
        <v>122000000</v>
      </c>
      <c r="AQ3477" s="3">
        <v>0.161</v>
      </c>
      <c r="AR3477" s="3">
        <f t="shared" si="2972"/>
        <v>-7.1953066479212264</v>
      </c>
      <c r="AS3477" s="13">
        <f t="shared" si="2973"/>
        <v>26.04038154920508</v>
      </c>
      <c r="AT3477" s="3">
        <f t="shared" si="2974"/>
        <v>0.95706337666620744</v>
      </c>
      <c r="AU3477" s="13" cm="1">
        <f t="array" ref="AU3477">$C3477*EXP(poly_from_str(100000000/$E3477,AU$4343))</f>
        <v>37.270524420121646</v>
      </c>
      <c r="AV3477" s="13">
        <f t="shared" si="2975"/>
        <v>-0.35855431456963577</v>
      </c>
      <c r="AW3477" s="13"/>
      <c r="AX3477" s="13"/>
      <c r="AY3477" s="13"/>
    </row>
    <row r="3478" spans="1:51" x14ac:dyDescent="0.25">
      <c r="A3478">
        <v>2453.7800000000002</v>
      </c>
      <c r="B3478" s="2" t="str">
        <f t="shared" si="2939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2967"/>
        <v>o</v>
      </c>
      <c r="N3478" t="str">
        <f t="shared" si="2968"/>
        <v>11/2</v>
      </c>
      <c r="O3478">
        <v>102981.94</v>
      </c>
      <c r="P3478" t="str">
        <f t="shared" si="2969"/>
        <v>e</v>
      </c>
      <c r="Q3478" t="str">
        <f t="shared" si="2970"/>
        <v>13/2</v>
      </c>
      <c r="R3478">
        <v>32</v>
      </c>
      <c r="AA3478" s="10">
        <f t="shared" si="2940"/>
        <v>2453.7800000000002</v>
      </c>
      <c r="AB3478" s="3">
        <f t="shared" si="2941"/>
        <v>40741.11</v>
      </c>
      <c r="AC3478" s="3" cm="1">
        <f t="array" ref="AC3478">100000000/LvacE(AA3478)</f>
        <v>40741.114866857934</v>
      </c>
      <c r="AD3478" s="10">
        <f t="shared" si="2942"/>
        <v>1.3301704893441534E-2</v>
      </c>
      <c r="AE3478" s="10" t="b">
        <f t="shared" si="2943"/>
        <v>1</v>
      </c>
      <c r="AJ3478" t="s">
        <v>4892</v>
      </c>
      <c r="AK3478" t="s">
        <v>4846</v>
      </c>
      <c r="AL3478">
        <v>62240.83</v>
      </c>
      <c r="AM3478">
        <v>102981.94</v>
      </c>
      <c r="AN3478" s="10" cm="1">
        <f t="array" ref="AN3478">Lair(100000000/($AM3478-$AL3478))</f>
        <v>2453.7802949926913</v>
      </c>
      <c r="AO3478" s="10">
        <f t="shared" si="2971"/>
        <v>2454.5232076396542</v>
      </c>
      <c r="AP3478" s="12">
        <v>652000000</v>
      </c>
      <c r="AQ3478" s="3">
        <v>9.1999999999999998E-2</v>
      </c>
      <c r="AR3478" s="3">
        <f t="shared" si="2972"/>
        <v>-9.5636722801787748</v>
      </c>
      <c r="AS3478" s="13">
        <f t="shared" si="2973"/>
        <v>10.335885404466843</v>
      </c>
      <c r="AT3478" s="3">
        <f t="shared" si="2974"/>
        <v>0.72618394751554738</v>
      </c>
      <c r="AU3478" s="13" cm="1">
        <f t="array" ref="AU3478">$C3478*EXP(poly_from_str(100000000/$E3478,AU$4343))</f>
        <v>18.656507840978708</v>
      </c>
      <c r="AV3478" s="13">
        <f t="shared" si="2975"/>
        <v>-0.5905731711696981</v>
      </c>
      <c r="AW3478" s="13"/>
      <c r="AX3478" s="13"/>
      <c r="AY3478" s="13"/>
    </row>
    <row r="3479" spans="1:51" x14ac:dyDescent="0.25">
      <c r="A3479">
        <v>2453.297</v>
      </c>
      <c r="B3479" s="2" t="str">
        <f t="shared" si="2939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2967"/>
        <v>e</v>
      </c>
      <c r="N3479" t="str">
        <f t="shared" si="2968"/>
        <v>7/2</v>
      </c>
      <c r="O3479">
        <v>64401.03</v>
      </c>
      <c r="P3479" t="str">
        <f t="shared" si="2969"/>
        <v>o</v>
      </c>
      <c r="Q3479" t="str">
        <f t="shared" si="2970"/>
        <v>5/2</v>
      </c>
      <c r="R3479">
        <v>32</v>
      </c>
      <c r="AA3479" s="10">
        <f t="shared" si="2940"/>
        <v>2453.297</v>
      </c>
      <c r="AB3479" s="3">
        <f t="shared" si="2941"/>
        <v>40749.129999999997</v>
      </c>
      <c r="AC3479" s="3" cm="1">
        <f t="array" ref="AC3479">100000000/LvacE(AA3479)</f>
        <v>40749.135308804776</v>
      </c>
      <c r="AD3479" s="10">
        <f t="shared" si="2942"/>
        <v>1.3304973940946565E-2</v>
      </c>
      <c r="AE3479" s="10" t="b">
        <f t="shared" si="2943"/>
        <v>1</v>
      </c>
      <c r="AJ3479" t="s">
        <v>4759</v>
      </c>
      <c r="AK3479" t="s">
        <v>4837</v>
      </c>
      <c r="AL3479">
        <v>23651.88</v>
      </c>
      <c r="AM3479">
        <v>64401.03</v>
      </c>
      <c r="AN3479" s="10" cm="1">
        <f t="array" ref="AN3479">Lair(100000000/($AM3479-$AL3479))</f>
        <v>2453.2961173112512</v>
      </c>
      <c r="AO3479" s="10">
        <f t="shared" si="2971"/>
        <v>2454.0389186032103</v>
      </c>
      <c r="AP3479" s="12">
        <v>8520000</v>
      </c>
      <c r="AQ3479" s="3">
        <v>1.2999999999999999E-2</v>
      </c>
      <c r="AR3479" s="3"/>
      <c r="AS3479" s="13">
        <f t="shared" si="2973"/>
        <v>2.44382210922738</v>
      </c>
      <c r="AT3479" s="3"/>
      <c r="AU3479" s="13" cm="1">
        <f t="array" ref="AU3479">$C3479*EXP(poly_from_str(100000000/$E3479,AU$4343))</f>
        <v>3.7338142419534042</v>
      </c>
      <c r="AV3479" s="13"/>
      <c r="AW3479" s="13"/>
      <c r="AX3479" s="13"/>
      <c r="AY3479" s="13"/>
    </row>
    <row r="3480" spans="1:51" x14ac:dyDescent="0.25">
      <c r="A3480">
        <v>2453.2170000000001</v>
      </c>
      <c r="B3480" s="2" t="str">
        <f t="shared" si="2939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2940"/>
        <v>2453.2170000000001</v>
      </c>
      <c r="AB3480" s="3">
        <f t="shared" si="2941"/>
        <v>40750.46</v>
      </c>
      <c r="AC3480" s="3" cm="1">
        <f t="array" ref="AC3480">100000000/LvacE(AA3480)</f>
        <v>40750.464051219868</v>
      </c>
      <c r="AD3480" s="10">
        <f t="shared" si="2942"/>
        <v>1.3305515584479455E-2</v>
      </c>
      <c r="AE3480" s="10" t="b">
        <f t="shared" si="2943"/>
        <v>1</v>
      </c>
      <c r="AP3480"/>
      <c r="AQ3480"/>
      <c r="AU3480" s="13" cm="1">
        <f t="array" ref="AU3480">$C3480*EXP(poly_from_str(100000000/$E3480,AU$4343))</f>
        <v>3.7342313105933744</v>
      </c>
    </row>
    <row r="3481" spans="1:51" x14ac:dyDescent="0.25">
      <c r="A3481">
        <v>2452.848</v>
      </c>
      <c r="B3481" s="2" t="str">
        <f t="shared" si="2939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2976">$G3481&amp;""</f>
        <v>e</v>
      </c>
      <c r="N3481" t="str">
        <f t="shared" ref="N3481:N3486" si="2977">$H3481&amp;""</f>
        <v>15/2</v>
      </c>
      <c r="O3481">
        <v>66735.88</v>
      </c>
      <c r="P3481" t="str">
        <f t="shared" ref="P3481:P3486" si="2978">$J3481&amp;""</f>
        <v>o</v>
      </c>
      <c r="Q3481" t="str">
        <f t="shared" ref="Q3481:Q3486" si="2979">$K3481&amp;""</f>
        <v>13/2</v>
      </c>
      <c r="R3481">
        <v>32</v>
      </c>
      <c r="AA3481" s="10">
        <f t="shared" si="2940"/>
        <v>2452.848</v>
      </c>
      <c r="AB3481" s="3">
        <f t="shared" si="2941"/>
        <v>40756.589999999997</v>
      </c>
      <c r="AC3481" s="3" cm="1">
        <f t="array" ref="AC3481">100000000/LvacE(AA3481)</f>
        <v>40756.593997345342</v>
      </c>
      <c r="AD3481" s="10">
        <f t="shared" si="2942"/>
        <v>1.3308014601260524E-2</v>
      </c>
      <c r="AE3481" s="10" t="b">
        <f t="shared" si="2943"/>
        <v>1</v>
      </c>
      <c r="AJ3481" t="s">
        <v>4963</v>
      </c>
      <c r="AK3481" t="s">
        <v>4909</v>
      </c>
      <c r="AL3481">
        <v>25979.34</v>
      </c>
      <c r="AM3481">
        <v>66735.88</v>
      </c>
      <c r="AN3481" s="10" cm="1">
        <f t="array" ref="AN3481">Lair(100000000/($AM3481-$AL3481))</f>
        <v>2452.8512518211742</v>
      </c>
      <c r="AO3481" s="10">
        <f t="shared" ref="AO3481:AO3486" si="2980">100000000/($AM3481-$AL3481)</f>
        <v>2453.5939508113293</v>
      </c>
      <c r="AP3481" s="12">
        <v>124000000</v>
      </c>
      <c r="AQ3481" s="3">
        <v>0.151</v>
      </c>
      <c r="AR3481" s="3">
        <f t="shared" ref="AR3481:AR3482" si="2981">LN(AU3481*100000000/($AM3481-$AL3481)/AP3481)</f>
        <v>-7.2098408721752856</v>
      </c>
      <c r="AS3481" s="13">
        <f t="shared" ref="AS3481:AS3486" si="2982">EXP(AR$4341*$AM3481+AR$4342)*$AP3481/(100000000/($AM3481-$AL3481))</f>
        <v>29.856031699510606</v>
      </c>
      <c r="AT3481" s="3">
        <f t="shared" ref="AT3481:AT3486" si="2983">LN(AS3481/$C3481)</f>
        <v>1.0938017934170619</v>
      </c>
      <c r="AU3481" s="13" cm="1">
        <f t="array" ref="AU3481">$C3481*EXP(poly_from_str(100000000/$E3481,AU$4343))</f>
        <v>37.361550123600125</v>
      </c>
      <c r="AV3481" s="13">
        <f t="shared" ref="AV3481:AV3482" si="2984">LN(AS3481/AU3481)</f>
        <v>-0.22425521761983719</v>
      </c>
      <c r="AW3481" s="13"/>
      <c r="AX3481" s="13"/>
      <c r="AY3481" s="13"/>
    </row>
    <row r="3482" spans="1:51" x14ac:dyDescent="0.25">
      <c r="A3482">
        <v>2452.8090000000002</v>
      </c>
      <c r="B3482" s="2" t="str">
        <f t="shared" si="2939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2976"/>
        <v>e</v>
      </c>
      <c r="N3482" t="str">
        <f t="shared" si="2977"/>
        <v>5/2</v>
      </c>
      <c r="O3482">
        <v>61605.66</v>
      </c>
      <c r="P3482" t="str">
        <f t="shared" si="2978"/>
        <v>o</v>
      </c>
      <c r="Q3482" t="str">
        <f t="shared" si="2979"/>
        <v>7/2</v>
      </c>
      <c r="R3482">
        <v>32</v>
      </c>
      <c r="AA3482" s="10">
        <f t="shared" si="2940"/>
        <v>2452.8090000000002</v>
      </c>
      <c r="AB3482" s="3">
        <f t="shared" si="2941"/>
        <v>40757.24</v>
      </c>
      <c r="AC3482" s="3" cm="1">
        <f t="array" ref="AC3482">100000000/LvacE(AA3482)</f>
        <v>40757.241985583059</v>
      </c>
      <c r="AD3482" s="10">
        <f t="shared" si="2942"/>
        <v>1.3308278790884871E-2</v>
      </c>
      <c r="AE3482" s="10" t="b">
        <f t="shared" si="2943"/>
        <v>1</v>
      </c>
      <c r="AJ3482" t="s">
        <v>4800</v>
      </c>
      <c r="AK3482" t="s">
        <v>4822</v>
      </c>
      <c r="AL3482">
        <v>20848.39</v>
      </c>
      <c r="AM3482">
        <v>61605.66</v>
      </c>
      <c r="AN3482" s="10" cm="1">
        <f t="array" ref="AN3482">Lair(100000000/($AM3482-$AL3482))</f>
        <v>2452.8073158113534</v>
      </c>
      <c r="AO3482" s="10">
        <f t="shared" si="2980"/>
        <v>2453.550004698548</v>
      </c>
      <c r="AP3482" s="12">
        <v>103000000</v>
      </c>
      <c r="AQ3482" s="3">
        <v>0.159</v>
      </c>
      <c r="AR3482" s="3">
        <f t="shared" si="2981"/>
        <v>-7.0242515736166817</v>
      </c>
      <c r="AS3482" s="13">
        <f t="shared" si="2982"/>
        <v>36.446980247970352</v>
      </c>
      <c r="AT3482" s="3">
        <f t="shared" si="2983"/>
        <v>1.2932735156081008</v>
      </c>
      <c r="AU3482" s="13" cm="1">
        <f t="array" ref="AU3482">$C3482*EXP(poly_from_str(100000000/$E3482,AU$4343))</f>
        <v>37.363591325226842</v>
      </c>
      <c r="AV3482" s="13">
        <f t="shared" si="2984"/>
        <v>-2.4838127687437091E-2</v>
      </c>
      <c r="AW3482" s="13"/>
      <c r="AX3482" s="13"/>
      <c r="AY3482" s="13"/>
    </row>
    <row r="3483" spans="1:51" x14ac:dyDescent="0.25">
      <c r="A3483">
        <v>2452.1790000000001</v>
      </c>
      <c r="B3483" s="2">
        <f t="shared" si="2939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2976"/>
        <v>e</v>
      </c>
      <c r="N3483" t="str">
        <f t="shared" si="2977"/>
        <v>7/2</v>
      </c>
      <c r="O3483">
        <v>62062.63</v>
      </c>
      <c r="P3483" t="str">
        <f t="shared" si="2978"/>
        <v>o</v>
      </c>
      <c r="Q3483" t="str">
        <f t="shared" si="2979"/>
        <v>9/2</v>
      </c>
      <c r="R3483">
        <v>32</v>
      </c>
      <c r="AA3483" s="10">
        <f t="shared" si="2940"/>
        <v>2452.1790000000001</v>
      </c>
      <c r="AB3483" s="3">
        <f t="shared" si="2941"/>
        <v>40767.71</v>
      </c>
      <c r="AC3483" s="3" cm="1">
        <f t="array" ref="AC3483">100000000/LvacE(AA3483)</f>
        <v>40767.712343204235</v>
      </c>
      <c r="AD3483" s="10">
        <f t="shared" si="2942"/>
        <v>1.3312548215934528E-2</v>
      </c>
      <c r="AE3483" s="10" t="b">
        <f t="shared" si="2943"/>
        <v>1</v>
      </c>
      <c r="AJ3483" t="s">
        <v>4791</v>
      </c>
      <c r="AK3483" t="s">
        <v>4848</v>
      </c>
      <c r="AL3483">
        <v>21294.89</v>
      </c>
      <c r="AM3483">
        <v>62062.63</v>
      </c>
      <c r="AN3483" s="10" cm="1">
        <f t="array" ref="AN3483">Lair(100000000/($AM3483-$AL3483))</f>
        <v>2452.1773382023721</v>
      </c>
      <c r="AO3483" s="10">
        <f t="shared" si="2980"/>
        <v>2452.9198822402223</v>
      </c>
      <c r="AP3483" s="12">
        <v>2690000</v>
      </c>
      <c r="AQ3483" s="3">
        <v>1.0999999999999999E-2</v>
      </c>
      <c r="AR3483" s="3"/>
      <c r="AS3483" s="13">
        <f t="shared" si="2982"/>
        <v>0.92001394616211796</v>
      </c>
      <c r="AT3483" s="3"/>
      <c r="AU3483" s="13" cm="1">
        <f t="array" ref="AU3483">$C3483*EXP(poly_from_str(100000000/$E3483,AU$4343))</f>
        <v>3.7396507923369948</v>
      </c>
      <c r="AV3483" s="13"/>
      <c r="AW3483" s="13"/>
      <c r="AX3483" s="13"/>
      <c r="AY3483" s="13"/>
    </row>
    <row r="3484" spans="1:51" x14ac:dyDescent="0.25">
      <c r="A3484">
        <v>2452.1790000000001</v>
      </c>
      <c r="B3484" s="2">
        <f t="shared" si="2939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2976"/>
        <v>o</v>
      </c>
      <c r="N3484" t="str">
        <f t="shared" si="2977"/>
        <v>9/2</v>
      </c>
      <c r="O3484">
        <v>102830.43</v>
      </c>
      <c r="P3484" t="str">
        <f t="shared" si="2978"/>
        <v>e</v>
      </c>
      <c r="Q3484" t="str">
        <f t="shared" si="2979"/>
        <v>9/2</v>
      </c>
      <c r="R3484">
        <v>32</v>
      </c>
      <c r="AA3484" s="10">
        <f t="shared" si="2940"/>
        <v>2452.1790000000001</v>
      </c>
      <c r="AB3484" s="3">
        <f t="shared" si="2941"/>
        <v>40767.71</v>
      </c>
      <c r="AC3484" s="3" cm="1">
        <f t="array" ref="AC3484">100000000/LvacE(AA3484)</f>
        <v>40767.712343204235</v>
      </c>
      <c r="AD3484" s="10">
        <f t="shared" si="2942"/>
        <v>1.3312548215934528E-2</v>
      </c>
      <c r="AE3484" s="10" t="b">
        <f t="shared" si="2943"/>
        <v>1</v>
      </c>
      <c r="AJ3484" t="s">
        <v>4848</v>
      </c>
      <c r="AK3484" t="s">
        <v>4866</v>
      </c>
      <c r="AL3484">
        <v>62062.63</v>
      </c>
      <c r="AM3484">
        <v>102830.43</v>
      </c>
      <c r="AN3484" s="10" cm="1">
        <f t="array" ref="AN3484">Lair(100000000/($AM3484-$AL3484))</f>
        <v>2452.1737289479183</v>
      </c>
      <c r="AO3484" s="10">
        <f t="shared" si="2980"/>
        <v>2452.9162721559665</v>
      </c>
      <c r="AP3484" s="12">
        <v>20100000</v>
      </c>
      <c r="AQ3484" s="3">
        <v>1.0999999999999999E-2</v>
      </c>
      <c r="AR3484" s="3"/>
      <c r="AS3484" s="13">
        <f t="shared" si="2982"/>
        <v>0.32249177254173961</v>
      </c>
      <c r="AT3484" s="3"/>
      <c r="AU3484" s="13" cm="1">
        <f t="array" ref="AU3484">$C3484*EXP(poly_from_str(100000000/$E3484,AU$4343))</f>
        <v>3.7396507923369948</v>
      </c>
      <c r="AV3484" s="13"/>
      <c r="AW3484" s="13"/>
      <c r="AX3484" s="13"/>
      <c r="AY3484" s="13"/>
    </row>
    <row r="3485" spans="1:51" x14ac:dyDescent="0.25">
      <c r="A3485">
        <v>2452.0230000000001</v>
      </c>
      <c r="B3485" s="2" t="str">
        <f t="shared" si="2939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2976"/>
        <v>e</v>
      </c>
      <c r="N3485" t="str">
        <f t="shared" si="2977"/>
        <v>9/2</v>
      </c>
      <c r="O3485">
        <v>68374.539999999994</v>
      </c>
      <c r="P3485" t="str">
        <f t="shared" si="2978"/>
        <v>o</v>
      </c>
      <c r="Q3485" t="str">
        <f t="shared" si="2979"/>
        <v>9/2</v>
      </c>
      <c r="R3485">
        <v>32</v>
      </c>
      <c r="AA3485" s="10">
        <f t="shared" si="2940"/>
        <v>2452.0230000000001</v>
      </c>
      <c r="AB3485" s="3">
        <f t="shared" si="2941"/>
        <v>40770.31</v>
      </c>
      <c r="AC3485" s="3" cm="1">
        <f t="array" ref="AC3485">100000000/LvacE(AA3485)</f>
        <v>40770.305834148749</v>
      </c>
      <c r="AD3485" s="10">
        <f t="shared" si="2942"/>
        <v>1.3313605915227702E-2</v>
      </c>
      <c r="AE3485" s="10" t="b">
        <f t="shared" si="2943"/>
        <v>1</v>
      </c>
      <c r="AJ3485" t="s">
        <v>4718</v>
      </c>
      <c r="AK3485" t="s">
        <v>4739</v>
      </c>
      <c r="AL3485">
        <v>27604.26</v>
      </c>
      <c r="AM3485">
        <v>68374.539999999994</v>
      </c>
      <c r="AN3485" s="10" cm="1">
        <f t="array" ref="AN3485">Lair(100000000/($AM3485-$AL3485))</f>
        <v>2452.02455572394</v>
      </c>
      <c r="AO3485" s="10">
        <f t="shared" si="2980"/>
        <v>2452.767064636299</v>
      </c>
      <c r="AP3485" s="12">
        <v>136000000</v>
      </c>
      <c r="AQ3485" s="3">
        <v>0.19</v>
      </c>
      <c r="AR3485" s="3">
        <f t="shared" ref="AR3485:AR3486" si="2985">LN(AU3485*100000000/($AM3485-$AL3485)/AP3485)</f>
        <v>-7.3013971795258774</v>
      </c>
      <c r="AS3485" s="13">
        <f t="shared" si="2982"/>
        <v>28.96595428032386</v>
      </c>
      <c r="AT3485" s="3">
        <f t="shared" si="2983"/>
        <v>1.0635360569922891</v>
      </c>
      <c r="AU3485" s="13" cm="1">
        <f t="array" ref="AU3485">$C3485*EXP(poly_from_str(100000000/$E3485,AU$4343))</f>
        <v>37.404693223491364</v>
      </c>
      <c r="AV3485" s="13">
        <f t="shared" ref="AV3485:AV3486" si="2986">LN(AS3485/AU3485)</f>
        <v>-0.25567503382041123</v>
      </c>
      <c r="AW3485" s="13"/>
      <c r="AX3485" s="13"/>
      <c r="AY3485" s="13"/>
    </row>
    <row r="3486" spans="1:51" x14ac:dyDescent="0.25">
      <c r="A3486">
        <v>2451.85</v>
      </c>
      <c r="B3486" s="2" t="str">
        <f t="shared" si="2939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2976"/>
        <v>e</v>
      </c>
      <c r="N3486" t="str">
        <f t="shared" si="2977"/>
        <v>11/2</v>
      </c>
      <c r="O3486">
        <v>64215.45</v>
      </c>
      <c r="P3486" t="str">
        <f t="shared" si="2978"/>
        <v>o</v>
      </c>
      <c r="Q3486" t="str">
        <f t="shared" si="2979"/>
        <v>13/2</v>
      </c>
      <c r="R3486">
        <v>32</v>
      </c>
      <c r="AA3486" s="10">
        <f t="shared" si="2940"/>
        <v>2451.85</v>
      </c>
      <c r="AB3486" s="3">
        <f t="shared" si="2941"/>
        <v>40773.18</v>
      </c>
      <c r="AC3486" s="3" cm="1">
        <f t="array" ref="AC3486">100000000/LvacE(AA3486)</f>
        <v>40773.182334980775</v>
      </c>
      <c r="AD3486" s="10">
        <f t="shared" si="2942"/>
        <v>1.3314779112706891E-2</v>
      </c>
      <c r="AE3486" s="10" t="b">
        <f t="shared" si="2943"/>
        <v>1</v>
      </c>
      <c r="AJ3486" t="s">
        <v>4782</v>
      </c>
      <c r="AK3486" t="s">
        <v>4823</v>
      </c>
      <c r="AL3486">
        <v>23442.25</v>
      </c>
      <c r="AM3486">
        <v>64215.45</v>
      </c>
      <c r="AN3486" s="10" cm="1">
        <f t="array" ref="AN3486">Lair(100000000/($AM3486-$AL3486))</f>
        <v>2451.8489395428373</v>
      </c>
      <c r="AO3486" s="10">
        <f t="shared" si="2980"/>
        <v>2452.5914080817793</v>
      </c>
      <c r="AP3486" s="12">
        <v>27300000</v>
      </c>
      <c r="AQ3486" s="3">
        <v>0.20499999999999999</v>
      </c>
      <c r="AR3486" s="3">
        <f t="shared" si="2985"/>
        <v>-6.2062845706741436</v>
      </c>
      <c r="AS3486" s="13">
        <f t="shared" si="2982"/>
        <v>7.945063665536015</v>
      </c>
      <c r="AT3486" s="3">
        <f t="shared" si="2983"/>
        <v>0.28079134401184291</v>
      </c>
      <c r="AU3486" s="13" cm="1">
        <f t="array" ref="AU3486">$C3486*EXP(poly_from_str(100000000/$E3486,AU$4343))</f>
        <v>22.448240284383424</v>
      </c>
      <c r="AV3486" s="13">
        <f t="shared" si="2986"/>
        <v>-1.0386614141070847</v>
      </c>
      <c r="AW3486" s="13"/>
      <c r="AX3486" s="13"/>
      <c r="AY3486" s="13"/>
    </row>
    <row r="3487" spans="1:51" x14ac:dyDescent="0.25">
      <c r="A3487">
        <v>2451.4369999999999</v>
      </c>
      <c r="B3487" s="2" t="str">
        <f t="shared" si="2939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2940"/>
        <v>2451.4369999999999</v>
      </c>
      <c r="AB3487" s="3">
        <f t="shared" si="2941"/>
        <v>40780.050000000003</v>
      </c>
      <c r="AC3487" s="3" cm="1">
        <f t="array" ref="AC3487">100000000/LvacE(AA3487)</f>
        <v>40780.050998479244</v>
      </c>
      <c r="AD3487" s="10">
        <f t="shared" si="2942"/>
        <v>1.3317580871643704E-2</v>
      </c>
      <c r="AE3487" s="10" t="b">
        <f t="shared" si="2943"/>
        <v>1</v>
      </c>
      <c r="AP3487"/>
      <c r="AQ3487"/>
      <c r="AU3487" s="13" cm="1">
        <f t="array" ref="AU3487">$C3487*EXP(poly_from_str(100000000/$E3487,AU$4343))</f>
        <v>3.7435397347725385</v>
      </c>
    </row>
    <row r="3488" spans="1:51" x14ac:dyDescent="0.25">
      <c r="A3488">
        <v>2451.3809999999999</v>
      </c>
      <c r="B3488" s="2" t="str">
        <f t="shared" si="2939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2940"/>
        <v>2451.3809999999999</v>
      </c>
      <c r="AB3488" s="3">
        <f t="shared" si="2941"/>
        <v>40780.980000000003</v>
      </c>
      <c r="AC3488" s="3" cm="1">
        <f t="array" ref="AC3488">100000000/LvacE(AA3488)</f>
        <v>40780.98252084227</v>
      </c>
      <c r="AD3488" s="10">
        <f t="shared" si="2942"/>
        <v>1.3317960880181879E-2</v>
      </c>
      <c r="AE3488" s="10" t="b">
        <f t="shared" si="2943"/>
        <v>1</v>
      </c>
      <c r="AJ3488" t="s">
        <v>4726</v>
      </c>
      <c r="AK3488" t="s">
        <v>4955</v>
      </c>
      <c r="AL3488">
        <v>60166.2</v>
      </c>
      <c r="AM3488">
        <v>100947.18</v>
      </c>
      <c r="AN3488" s="10" cm="1">
        <f t="array" ref="AN3488">Lair(100000000/($AM3488-$AL3488))</f>
        <v>2451.3811534367014</v>
      </c>
      <c r="AO3488" s="10">
        <f>100000000/($AM3488-$AL3488)</f>
        <v>2452.1235144422722</v>
      </c>
      <c r="AP3488" s="12">
        <v>130000000</v>
      </c>
      <c r="AQ3488" s="3">
        <v>3.7999999999999999E-2</v>
      </c>
      <c r="AR3488" s="3"/>
      <c r="AS3488" s="13">
        <f>EXP(AR$4341*$AM3488+AR$4342)*$AP3488/(100000000/($AM3488-$AL3488))</f>
        <v>2.4031780129837248</v>
      </c>
      <c r="AT3488" s="3"/>
      <c r="AU3488" s="13" cm="1">
        <f t="array" ref="AU3488">$C3488*EXP(poly_from_str(100000000/$E3488,AU$4343))</f>
        <v>7.4876664954873666</v>
      </c>
      <c r="AV3488" s="13"/>
      <c r="AW3488" s="13"/>
      <c r="AX3488" s="13"/>
      <c r="AY3488" s="13"/>
    </row>
    <row r="3489" spans="1:51" x14ac:dyDescent="0.25">
      <c r="A3489">
        <v>2450.8270000000002</v>
      </c>
      <c r="B3489" s="2" t="str">
        <f t="shared" si="2939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2940"/>
        <v>2450.8270000000002</v>
      </c>
      <c r="AB3489" s="3">
        <f t="shared" si="2941"/>
        <v>40790.199999999997</v>
      </c>
      <c r="AC3489" s="3" cm="1">
        <f t="array" ref="AC3489">100000000/LvacE(AA3489)</f>
        <v>40790.200231851988</v>
      </c>
      <c r="AD3489" s="10">
        <f t="shared" si="2942"/>
        <v>1.3321721653925794E-2</v>
      </c>
      <c r="AE3489" s="10" t="b">
        <f t="shared" si="2943"/>
        <v>1</v>
      </c>
      <c r="AP3489"/>
      <c r="AQ3489"/>
      <c r="AU3489" s="13" cm="1">
        <f t="array" ref="AU3489">$C3489*EXP(poly_from_str(100000000/$E3489,AU$4343))</f>
        <v>18.733732196933484</v>
      </c>
    </row>
    <row r="3490" spans="1:51" x14ac:dyDescent="0.25">
      <c r="A3490">
        <v>2450.2849999999999</v>
      </c>
      <c r="B3490" s="2" t="str">
        <f t="shared" si="2939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2987">$G3490&amp;""</f>
        <v>e</v>
      </c>
      <c r="N3490" t="str">
        <f t="shared" ref="N3490:N3500" si="2988">$H3490&amp;""</f>
        <v>5/2</v>
      </c>
      <c r="O3490">
        <v>80897.850000000006</v>
      </c>
      <c r="P3490" t="str">
        <f t="shared" ref="P3490:P3500" si="2989">$J3490&amp;""</f>
        <v>o</v>
      </c>
      <c r="Q3490" t="str">
        <f t="shared" ref="Q3490:Q3500" si="2990">$K3490&amp;""</f>
        <v>3/2</v>
      </c>
      <c r="R3490">
        <v>32</v>
      </c>
      <c r="AA3490" s="10">
        <f t="shared" si="2940"/>
        <v>2450.2849999999999</v>
      </c>
      <c r="AB3490" s="3">
        <f t="shared" si="2941"/>
        <v>40799.22</v>
      </c>
      <c r="AC3490" s="3" cm="1">
        <f t="array" ref="AC3490">100000000/LvacE(AA3490)</f>
        <v>40799.22231439859</v>
      </c>
      <c r="AD3490" s="10">
        <f t="shared" si="2942"/>
        <v>1.3325403435600063E-2</v>
      </c>
      <c r="AE3490" s="10" t="b">
        <f t="shared" si="2943"/>
        <v>1</v>
      </c>
      <c r="AJ3490" t="s">
        <v>4737</v>
      </c>
      <c r="AK3490" t="s">
        <v>4911</v>
      </c>
      <c r="AL3490">
        <v>40098.660000000003</v>
      </c>
      <c r="AM3490">
        <v>80897.850000000006</v>
      </c>
      <c r="AN3490" s="10" cm="1">
        <f t="array" ref="AN3490">Lair(100000000/($AM3490-$AL3490))</f>
        <v>2450.2869427716605</v>
      </c>
      <c r="AO3490" s="10">
        <f t="shared" ref="AO3490:AO3500" si="2991">100000000/($AM3490-$AL3490)</f>
        <v>2451.0290522924597</v>
      </c>
      <c r="AP3490" s="12">
        <v>139000000</v>
      </c>
      <c r="AQ3490" s="3">
        <v>0.30399999999999999</v>
      </c>
      <c r="AR3490" s="3">
        <f t="shared" ref="AR3490:AR3491" si="2992">LN(AU3490*100000000/($AM3490-$AL3490)/AP3490)</f>
        <v>-7.6781612978169962</v>
      </c>
      <c r="AS3490" s="13">
        <f t="shared" ref="AS3490:AS3492" si="2993">EXP(AR$4341*$AM3490+AR$4342)*$AP3490/(100000000/($AM3490-$AL3490))</f>
        <v>11.574625005680815</v>
      </c>
      <c r="AT3490" s="3">
        <f t="shared" ref="AT3490:AT3491" si="2994">LN(AS3490/$C3490)</f>
        <v>0.50290505347476877</v>
      </c>
      <c r="AU3490" s="13" cm="1">
        <f t="array" ref="AU3490">$C3490*EXP(poly_from_str(100000000/$E3490,AU$4343))</f>
        <v>26.247216795534477</v>
      </c>
      <c r="AV3490" s="13">
        <f t="shared" ref="AV3490:AV3491" si="2995">LN(AS3490/AU3490)</f>
        <v>-0.8187447540495264</v>
      </c>
      <c r="AW3490" s="13"/>
      <c r="AX3490" s="13"/>
      <c r="AY3490" s="13"/>
    </row>
    <row r="3491" spans="1:51" x14ac:dyDescent="0.25">
      <c r="A3491">
        <v>2450.1669999999999</v>
      </c>
      <c r="B3491" s="2" t="str">
        <f t="shared" si="2939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2987"/>
        <v>e</v>
      </c>
      <c r="N3491" t="str">
        <f t="shared" si="2988"/>
        <v>9/2</v>
      </c>
      <c r="O3491">
        <v>69686.259999999995</v>
      </c>
      <c r="P3491" t="str">
        <f t="shared" si="2989"/>
        <v>o</v>
      </c>
      <c r="Q3491" t="str">
        <f t="shared" si="2990"/>
        <v>9/2</v>
      </c>
      <c r="R3491">
        <v>32</v>
      </c>
      <c r="AA3491" s="10">
        <f t="shared" si="2940"/>
        <v>2450.1669999999999</v>
      </c>
      <c r="AB3491" s="3">
        <f t="shared" si="2941"/>
        <v>40801.19</v>
      </c>
      <c r="AC3491" s="3" cm="1">
        <f t="array" ref="AC3491">100000000/LvacE(AA3491)</f>
        <v>40801.187060655822</v>
      </c>
      <c r="AD3491" s="10">
        <f t="shared" si="2942"/>
        <v>1.3326205328178818E-2</v>
      </c>
      <c r="AE3491" s="10" t="b">
        <f t="shared" si="2943"/>
        <v>1</v>
      </c>
      <c r="AJ3491" t="s">
        <v>4742</v>
      </c>
      <c r="AK3491" t="s">
        <v>4838</v>
      </c>
      <c r="AL3491">
        <v>28885.14</v>
      </c>
      <c r="AM3491">
        <v>69686.259999999995</v>
      </c>
      <c r="AN3491" s="10" cm="1">
        <f t="array" ref="AN3491">Lair(100000000/($AM3491-$AL3491))</f>
        <v>2450.1710293048632</v>
      </c>
      <c r="AO3491" s="10">
        <f t="shared" si="2991"/>
        <v>2450.9131121890773</v>
      </c>
      <c r="AP3491" s="12">
        <v>17000000</v>
      </c>
      <c r="AQ3491" s="3">
        <v>5.6000000000000001E-2</v>
      </c>
      <c r="AR3491" s="3">
        <f t="shared" si="2992"/>
        <v>-7.5226916095208356</v>
      </c>
      <c r="AS3491" s="13">
        <f t="shared" si="2993"/>
        <v>3.2837807289027228</v>
      </c>
      <c r="AT3491" s="3">
        <f t="shared" si="2994"/>
        <v>1.188995419842948</v>
      </c>
      <c r="AU3491" s="13" cm="1">
        <f t="array" ref="AU3491">$C3491*EXP(poly_from_str(100000000/$E3491,AU$4343))</f>
        <v>3.7502269552207106</v>
      </c>
      <c r="AV3491" s="13">
        <f t="shared" si="2995"/>
        <v>-0.13282093970021536</v>
      </c>
      <c r="AW3491" s="13"/>
      <c r="AX3491" s="13"/>
      <c r="AY3491" s="13"/>
    </row>
    <row r="3492" spans="1:51" x14ac:dyDescent="0.25">
      <c r="A3492">
        <v>2450.02</v>
      </c>
      <c r="B3492" s="2">
        <f t="shared" si="2939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2987"/>
        <v>e</v>
      </c>
      <c r="N3492" t="str">
        <f t="shared" si="2988"/>
        <v>5/2</v>
      </c>
      <c r="O3492">
        <v>74463.7</v>
      </c>
      <c r="P3492" t="str">
        <f t="shared" si="2989"/>
        <v>o</v>
      </c>
      <c r="Q3492" t="str">
        <f t="shared" si="2990"/>
        <v>3/2</v>
      </c>
      <c r="R3492">
        <v>32</v>
      </c>
      <c r="AA3492" s="10">
        <f t="shared" si="2940"/>
        <v>2450.02</v>
      </c>
      <c r="AB3492" s="3">
        <f t="shared" si="2941"/>
        <v>40803.629999999997</v>
      </c>
      <c r="AC3492" s="3" cm="1">
        <f t="array" ref="AC3492">100000000/LvacE(AA3492)</f>
        <v>40803.634932982299</v>
      </c>
      <c r="AD3492" s="10">
        <f t="shared" si="2942"/>
        <v>1.332720445812326E-2</v>
      </c>
      <c r="AE3492" s="10" t="b">
        <f t="shared" si="2943"/>
        <v>1</v>
      </c>
      <c r="AJ3492" t="s">
        <v>4895</v>
      </c>
      <c r="AK3492" t="s">
        <v>4960</v>
      </c>
      <c r="AL3492">
        <v>33659.99</v>
      </c>
      <c r="AM3492">
        <v>74463.7</v>
      </c>
      <c r="AN3492" s="10" cm="1">
        <f t="array" ref="AN3492">Lair(100000000/($AM3492-$AL3492))</f>
        <v>2450.0154942659115</v>
      </c>
      <c r="AO3492" s="10">
        <f t="shared" si="2991"/>
        <v>2450.7575414098374</v>
      </c>
      <c r="AP3492" s="12">
        <v>856000</v>
      </c>
      <c r="AQ3492" s="3">
        <v>1.6E-2</v>
      </c>
      <c r="AR3492" s="3"/>
      <c r="AS3492" s="13">
        <f t="shared" si="2993"/>
        <v>0.11553627339493577</v>
      </c>
      <c r="AT3492" s="3"/>
      <c r="AU3492" s="13" cm="1">
        <f t="array" ref="AU3492">$C3492*EXP(poly_from_str(100000000/$E3492,AU$4343))</f>
        <v>3.7510009229040775</v>
      </c>
      <c r="AV3492" s="13"/>
      <c r="AW3492" s="13"/>
      <c r="AX3492" s="13"/>
      <c r="AY3492" s="13"/>
    </row>
    <row r="3493" spans="1:51" x14ac:dyDescent="0.25">
      <c r="A3493">
        <v>2450.02</v>
      </c>
      <c r="B3493" s="2">
        <f t="shared" si="2939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2987"/>
        <v>o</v>
      </c>
      <c r="N3493" t="str">
        <f t="shared" si="2988"/>
        <v>13/2</v>
      </c>
      <c r="O3493">
        <v>105019.06</v>
      </c>
      <c r="P3493" t="str">
        <f t="shared" si="2989"/>
        <v>e</v>
      </c>
      <c r="Q3493" t="str">
        <f t="shared" si="2990"/>
        <v>13/2</v>
      </c>
      <c r="R3493">
        <v>32</v>
      </c>
      <c r="AA3493" s="10">
        <f t="shared" si="2940"/>
        <v>2450.02</v>
      </c>
      <c r="AB3493" s="3">
        <f t="shared" si="2941"/>
        <v>40803.629999999997</v>
      </c>
      <c r="AC3493" s="3" cm="1">
        <f t="array" ref="AC3493">100000000/LvacE(AA3493)</f>
        <v>40803.634932982299</v>
      </c>
      <c r="AD3493" s="10">
        <f t="shared" si="2942"/>
        <v>1.332720445812326E-2</v>
      </c>
      <c r="AE3493" s="10" t="b">
        <f t="shared" si="2943"/>
        <v>1</v>
      </c>
      <c r="AJ3493" t="s">
        <v>4823</v>
      </c>
      <c r="AK3493" t="s">
        <v>4855</v>
      </c>
      <c r="AL3493">
        <v>64215.45</v>
      </c>
      <c r="AM3493">
        <v>105019.06</v>
      </c>
      <c r="AN3493" s="10" cm="1">
        <f t="array" ref="AN3493">Lair(100000000/($AM3493-$AL3493))</f>
        <v>2450.0214991133344</v>
      </c>
      <c r="AO3493" s="10">
        <f t="shared" si="2991"/>
        <v>2450.7635476370842</v>
      </c>
      <c r="AU3493" s="13" cm="1">
        <f t="array" ref="AU3493">$C3493*EXP(poly_from_str(100000000/$E3493,AU$4343))</f>
        <v>3.7510009229040775</v>
      </c>
    </row>
    <row r="3494" spans="1:51" x14ac:dyDescent="0.25">
      <c r="A3494" t="s">
        <v>3941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2987"/>
        <v>o</v>
      </c>
      <c r="N3494" t="str">
        <f t="shared" si="2988"/>
        <v>13/2</v>
      </c>
      <c r="O3494">
        <v>103484.19</v>
      </c>
      <c r="P3494" t="str">
        <f t="shared" si="2989"/>
        <v>e</v>
      </c>
      <c r="Q3494" t="str">
        <f t="shared" si="2990"/>
        <v>15/2</v>
      </c>
      <c r="R3494">
        <v>33</v>
      </c>
      <c r="AA3494" s="10">
        <f t="shared" si="2940"/>
        <v>2449.9079999999999</v>
      </c>
      <c r="AB3494" s="3">
        <f t="shared" si="2941"/>
        <v>40805.5</v>
      </c>
      <c r="AC3494" s="3" cm="1">
        <f t="array" ref="AC3494">100000000/LvacE(AA3494)</f>
        <v>40805.500175705354</v>
      </c>
      <c r="AD3494" s="10">
        <f t="shared" si="2942"/>
        <v>1.3327965820697216E-2</v>
      </c>
      <c r="AE3494" s="10" t="b">
        <f t="shared" si="2943"/>
        <v>1</v>
      </c>
      <c r="AJ3494" t="s">
        <v>4888</v>
      </c>
      <c r="AK3494" t="s">
        <v>4961</v>
      </c>
      <c r="AL3494">
        <v>62678.7</v>
      </c>
      <c r="AM3494">
        <v>103484.19</v>
      </c>
      <c r="AN3494" s="10" cm="1">
        <f t="array" ref="AN3494">Lair(100000000/($AM3494-$AL3494))</f>
        <v>2449.9086129059247</v>
      </c>
      <c r="AO3494" s="10">
        <f t="shared" si="2991"/>
        <v>2450.6506354904691</v>
      </c>
      <c r="AP3494" s="12">
        <v>648000000</v>
      </c>
      <c r="AQ3494" s="3">
        <v>8.3000000000000004E-2</v>
      </c>
      <c r="AR3494" s="3">
        <f>LN(AU3494*100000000/($AM3494-$AL3494)/AP3494)</f>
        <v>-9.7768171382883242</v>
      </c>
      <c r="AS3494" s="13">
        <f t="shared" ref="AS3494:AS3500" si="2996">EXP(AR$4341*$AM3494+AR$4342)*$AP3494/(100000000/($AM3494-$AL3494))</f>
        <v>9.9081211002844416</v>
      </c>
      <c r="AT3494" s="3">
        <f t="shared" ref="AT3494:AT3499" si="2997">LN(AS3494/$C3494)</f>
        <v>0.90706037290774477</v>
      </c>
      <c r="AU3494" s="13" cm="1">
        <f t="array" ref="AU3494">$C3494*EXP(poly_from_str(100000000/$E3494,AU$4343))</f>
        <v>15.006377572454927</v>
      </c>
      <c r="AV3494" s="13">
        <f>LN(AS3494/AU3494)</f>
        <v>-0.41512054821178013</v>
      </c>
      <c r="AW3494" s="13"/>
      <c r="AX3494" s="13"/>
      <c r="AY3494" s="13"/>
    </row>
    <row r="3495" spans="1:51" x14ac:dyDescent="0.25">
      <c r="A3495" t="s">
        <v>3941</v>
      </c>
      <c r="B3495" s="2">
        <f t="shared" si="2939"/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2987"/>
        <v>o</v>
      </c>
      <c r="N3495" t="str">
        <f t="shared" si="2988"/>
        <v>9/2</v>
      </c>
      <c r="O3495">
        <v>107854.46</v>
      </c>
      <c r="P3495" t="str">
        <f t="shared" si="2989"/>
        <v>e</v>
      </c>
      <c r="Q3495" t="str">
        <f t="shared" si="2990"/>
        <v>9/2</v>
      </c>
      <c r="R3495">
        <v>33</v>
      </c>
      <c r="AA3495" s="10">
        <f t="shared" si="2940"/>
        <v>2449.9079999999999</v>
      </c>
      <c r="AB3495" s="3">
        <f t="shared" si="2941"/>
        <v>40805.5</v>
      </c>
      <c r="AC3495" s="3" cm="1">
        <f t="array" ref="AC3495">100000000/LvacE(AA3495)</f>
        <v>40805.500175705354</v>
      </c>
      <c r="AD3495" s="10">
        <f t="shared" si="2942"/>
        <v>1.3327965820697216E-2</v>
      </c>
      <c r="AE3495" s="10" t="b">
        <f t="shared" si="2943"/>
        <v>1</v>
      </c>
      <c r="AJ3495" t="s">
        <v>4862</v>
      </c>
      <c r="AK3495" t="s">
        <v>4898</v>
      </c>
      <c r="AL3495">
        <v>67049.179999999993</v>
      </c>
      <c r="AM3495">
        <v>107854.46</v>
      </c>
      <c r="AN3495" s="10" cm="1">
        <f t="array" ref="AN3495">Lair(100000000/($AM3495-$AL3495))</f>
        <v>2449.921222019449</v>
      </c>
      <c r="AO3495" s="10">
        <f t="shared" si="2991"/>
        <v>2450.663247501303</v>
      </c>
      <c r="AP3495" s="15">
        <v>259000000</v>
      </c>
      <c r="AQ3495" s="3">
        <v>0.32700000000000001</v>
      </c>
      <c r="AR3495" s="14"/>
      <c r="AS3495" s="13">
        <f t="shared" si="2996"/>
        <v>2.8528324694742211</v>
      </c>
      <c r="AT3495" s="14"/>
      <c r="AU3495" s="13" cm="1">
        <f t="array" ref="AU3495">$C3495*EXP(poly_from_str(100000000/$E3495,AU$4343))</f>
        <v>15.006377572454927</v>
      </c>
      <c r="AV3495" s="13"/>
      <c r="AW3495" s="13"/>
      <c r="AX3495" s="13"/>
      <c r="AY3495" s="13"/>
    </row>
    <row r="3496" spans="1:51" x14ac:dyDescent="0.25">
      <c r="A3496" t="s">
        <v>3942</v>
      </c>
      <c r="B3496" s="2" t="str">
        <f t="shared" si="2939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2987"/>
        <v>e</v>
      </c>
      <c r="N3496" t="str">
        <f t="shared" si="2988"/>
        <v>5/2</v>
      </c>
      <c r="O3496">
        <v>77822</v>
      </c>
      <c r="P3496" t="str">
        <f t="shared" si="2989"/>
        <v>o</v>
      </c>
      <c r="Q3496" t="str">
        <f t="shared" si="2990"/>
        <v>5/2</v>
      </c>
      <c r="R3496">
        <v>33</v>
      </c>
      <c r="S3496" t="s">
        <v>3943</v>
      </c>
      <c r="AA3496" s="10">
        <f t="shared" si="2940"/>
        <v>2449.636</v>
      </c>
      <c r="AB3496" s="3">
        <f t="shared" si="2941"/>
        <v>40810.03</v>
      </c>
      <c r="AC3496" s="3" cm="1">
        <f t="array" ref="AC3496">100000000/LvacE(AA3496)</f>
        <v>40810.030760881695</v>
      </c>
      <c r="AD3496" s="10">
        <f t="shared" si="2942"/>
        <v>1.3329815278858102E-2</v>
      </c>
      <c r="AE3496" s="10" t="b">
        <f t="shared" si="2943"/>
        <v>1</v>
      </c>
      <c r="AJ3496" t="s">
        <v>4768</v>
      </c>
      <c r="AK3496" t="s">
        <v>4886</v>
      </c>
      <c r="AL3496">
        <v>37011.919999999998</v>
      </c>
      <c r="AM3496">
        <v>77822</v>
      </c>
      <c r="AN3496" s="10" cm="1">
        <f t="array" ref="AN3496">Lair(100000000/($AM3496-$AL3496))</f>
        <v>2449.6330461234343</v>
      </c>
      <c r="AO3496" s="10">
        <f t="shared" si="2991"/>
        <v>2450.3750053908248</v>
      </c>
      <c r="AP3496" s="12">
        <v>3190000</v>
      </c>
      <c r="AQ3496" s="3">
        <v>7.0000000000000001E-3</v>
      </c>
      <c r="AR3496" s="3"/>
      <c r="AS3496" s="13">
        <f t="shared" si="2996"/>
        <v>0.33469408081500457</v>
      </c>
      <c r="AT3496" s="3"/>
      <c r="AU3496" s="13" cm="1">
        <f t="array" ref="AU3496">$C3496*EXP(poly_from_str(100000000/$E3496,AU$4343))</f>
        <v>3.7530331647506863</v>
      </c>
      <c r="AV3496" s="13"/>
      <c r="AW3496" s="13"/>
      <c r="AX3496" s="13"/>
      <c r="AY3496" s="13"/>
    </row>
    <row r="3497" spans="1:51" x14ac:dyDescent="0.25">
      <c r="A3497" t="s">
        <v>3944</v>
      </c>
      <c r="B3497" s="2" t="str">
        <f t="shared" si="2939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2987"/>
        <v>e</v>
      </c>
      <c r="N3497" t="str">
        <f t="shared" si="2988"/>
        <v>5/2</v>
      </c>
      <c r="O3497">
        <v>65295.9</v>
      </c>
      <c r="P3497" t="str">
        <f t="shared" si="2989"/>
        <v>o</v>
      </c>
      <c r="Q3497" t="str">
        <f t="shared" si="2990"/>
        <v>7/2</v>
      </c>
      <c r="R3497">
        <v>33</v>
      </c>
      <c r="AA3497" s="10">
        <f t="shared" si="2940"/>
        <v>2448.1570000000002</v>
      </c>
      <c r="AB3497" s="3">
        <f t="shared" si="2941"/>
        <v>40834.68</v>
      </c>
      <c r="AC3497" s="3" cm="1">
        <f t="array" ref="AC3497">100000000/LvacE(AA3497)</f>
        <v>40834.683435014776</v>
      </c>
      <c r="AD3497" s="10">
        <f t="shared" si="2942"/>
        <v>1.333988249834769E-2</v>
      </c>
      <c r="AE3497" s="10" t="b">
        <f t="shared" si="2943"/>
        <v>1</v>
      </c>
      <c r="AJ3497" t="s">
        <v>4717</v>
      </c>
      <c r="AK3497" t="s">
        <v>4825</v>
      </c>
      <c r="AL3497">
        <v>24461.24</v>
      </c>
      <c r="AM3497">
        <v>65295.9</v>
      </c>
      <c r="AN3497" s="10" cm="1">
        <f t="array" ref="AN3497">Lair(100000000/($AM3497-$AL3497))</f>
        <v>2448.1584070611357</v>
      </c>
      <c r="AO3497" s="10">
        <f t="shared" si="2991"/>
        <v>2448.9000275746139</v>
      </c>
      <c r="AP3497" s="12">
        <v>261000000</v>
      </c>
      <c r="AQ3497" s="3">
        <v>0.45100000000000001</v>
      </c>
      <c r="AR3497" s="3">
        <f t="shared" ref="AR3497:AR3499" si="2998">LN(AU3497*100000000/($AM3497-$AL3497)/AP3497)</f>
        <v>-7.9493957726111661</v>
      </c>
      <c r="AS3497" s="13">
        <f t="shared" si="2996"/>
        <v>70.147942380234426</v>
      </c>
      <c r="AT3497" s="3">
        <f t="shared" si="2997"/>
        <v>1.9480213814098353</v>
      </c>
      <c r="AU3497" s="13" cm="1">
        <f t="array" ref="AU3497">$C3497*EXP(poly_from_str(100000000/$E3497,AU$4343))</f>
        <v>37.608908792074345</v>
      </c>
      <c r="AV3497" s="13">
        <f t="shared" ref="AV3497:AV3499" si="2999">LN(AS3497/AU3497)</f>
        <v>0.62336551611349944</v>
      </c>
      <c r="AW3497" s="13"/>
      <c r="AX3497" s="13"/>
      <c r="AY3497" s="13"/>
    </row>
    <row r="3498" spans="1:51" x14ac:dyDescent="0.25">
      <c r="A3498" t="s">
        <v>3945</v>
      </c>
      <c r="B3498" s="2" t="str">
        <f t="shared" si="2939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2987"/>
        <v>e</v>
      </c>
      <c r="N3498" t="str">
        <f t="shared" si="2988"/>
        <v>9/2</v>
      </c>
      <c r="O3498">
        <v>63593.35</v>
      </c>
      <c r="P3498" t="str">
        <f t="shared" si="2989"/>
        <v>o</v>
      </c>
      <c r="Q3498" t="str">
        <f t="shared" si="2990"/>
        <v>9/2</v>
      </c>
      <c r="R3498">
        <v>33</v>
      </c>
      <c r="AA3498" s="10">
        <f t="shared" si="2940"/>
        <v>2447.4989999999998</v>
      </c>
      <c r="AB3498" s="3">
        <f t="shared" si="2941"/>
        <v>40845.660000000003</v>
      </c>
      <c r="AC3498" s="3" cm="1">
        <f t="array" ref="AC3498">100000000/LvacE(AA3498)</f>
        <v>40845.66086643975</v>
      </c>
      <c r="AD3498" s="10">
        <f t="shared" si="2942"/>
        <v>1.3344367222711789E-2</v>
      </c>
      <c r="AE3498" s="10" t="b">
        <f t="shared" si="2943"/>
        <v>1</v>
      </c>
      <c r="AJ3498" t="s">
        <v>4797</v>
      </c>
      <c r="AK3498" t="s">
        <v>4840</v>
      </c>
      <c r="AL3498">
        <v>22747.69</v>
      </c>
      <c r="AM3498">
        <v>63593.35</v>
      </c>
      <c r="AN3498" s="10" cm="1">
        <f t="array" ref="AN3498">Lair(100000000/($AM3498-$AL3498))</f>
        <v>2447.4990538955244</v>
      </c>
      <c r="AO3498" s="10">
        <f t="shared" si="2991"/>
        <v>2448.2405229833475</v>
      </c>
      <c r="AP3498" s="12">
        <v>72000000</v>
      </c>
      <c r="AQ3498" s="3">
        <v>0.124</v>
      </c>
      <c r="AR3498" s="3">
        <f t="shared" si="2998"/>
        <v>-6.8840198263796504</v>
      </c>
      <c r="AS3498" s="13">
        <f t="shared" si="2996"/>
        <v>21.994499290925972</v>
      </c>
      <c r="AT3498" s="3">
        <f t="shared" si="2997"/>
        <v>1.0113508481845728</v>
      </c>
      <c r="AU3498" s="13" cm="1">
        <f t="array" ref="AU3498">$C3498*EXP(poly_from_str(100000000/$E3498,AU$4343))</f>
        <v>30.115258160335841</v>
      </c>
      <c r="AV3498" s="13">
        <f t="shared" si="2999"/>
        <v>-0.31423956907787409</v>
      </c>
      <c r="AW3498" s="13"/>
      <c r="AX3498" s="13"/>
      <c r="AY3498" s="13"/>
    </row>
    <row r="3499" spans="1:51" x14ac:dyDescent="0.25">
      <c r="A3499" t="s">
        <v>3946</v>
      </c>
      <c r="B3499" s="2" t="str">
        <f t="shared" si="2939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2987"/>
        <v>e</v>
      </c>
      <c r="N3499" t="str">
        <f t="shared" si="2988"/>
        <v>11/2</v>
      </c>
      <c r="O3499">
        <v>68238.12</v>
      </c>
      <c r="P3499" t="str">
        <f t="shared" si="2989"/>
        <v>o</v>
      </c>
      <c r="Q3499" t="str">
        <f t="shared" si="2990"/>
        <v>11/2</v>
      </c>
      <c r="R3499">
        <v>33</v>
      </c>
      <c r="AA3499" s="10">
        <f t="shared" si="2940"/>
        <v>2446.77</v>
      </c>
      <c r="AB3499" s="3">
        <f t="shared" si="2941"/>
        <v>40857.83</v>
      </c>
      <c r="AC3499" s="3" cm="1">
        <f t="array" ref="AC3499">100000000/LvacE(AA3499)</f>
        <v>40857.82968597635</v>
      </c>
      <c r="AD3499" s="10">
        <f t="shared" si="2942"/>
        <v>1.3349340086313048E-2</v>
      </c>
      <c r="AE3499" s="10" t="b">
        <f t="shared" si="2943"/>
        <v>1</v>
      </c>
      <c r="AJ3499" t="s">
        <v>4712</v>
      </c>
      <c r="AK3499" t="s">
        <v>4934</v>
      </c>
      <c r="AL3499">
        <v>27380.31</v>
      </c>
      <c r="AM3499">
        <v>68238.12</v>
      </c>
      <c r="AN3499" s="10" cm="1">
        <f t="array" ref="AN3499">Lair(100000000/($AM3499-$AL3499))</f>
        <v>2446.7711809700772</v>
      </c>
      <c r="AO3499" s="10">
        <f t="shared" si="2991"/>
        <v>2447.512482925541</v>
      </c>
      <c r="AP3499" s="12">
        <v>234000000</v>
      </c>
      <c r="AQ3499" s="3">
        <v>0.42599999999999999</v>
      </c>
      <c r="AR3499" s="3">
        <f t="shared" si="2998"/>
        <v>-7.838790598182082</v>
      </c>
      <c r="AS3499" s="13">
        <f t="shared" si="2996"/>
        <v>50.459440960715312</v>
      </c>
      <c r="AT3499" s="3">
        <f t="shared" si="2997"/>
        <v>1.6185847712973149</v>
      </c>
      <c r="AU3499" s="13" cm="1">
        <f t="array" ref="AU3499">$C3499*EXP(poly_from_str(100000000/$E3499,AU$4343))</f>
        <v>37.683170934206167</v>
      </c>
      <c r="AV3499" s="13">
        <f t="shared" si="2999"/>
        <v>0.29195626381913853</v>
      </c>
      <c r="AW3499" s="13"/>
      <c r="AX3499" s="13"/>
      <c r="AY3499" s="13"/>
    </row>
    <row r="3500" spans="1:51" x14ac:dyDescent="0.25">
      <c r="A3500" t="s">
        <v>3947</v>
      </c>
      <c r="B3500" s="2" t="str">
        <f t="shared" si="2939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2987"/>
        <v>e</v>
      </c>
      <c r="N3500" t="str">
        <f t="shared" si="2988"/>
        <v>5/2</v>
      </c>
      <c r="O3500">
        <v>61717.98</v>
      </c>
      <c r="P3500" t="str">
        <f t="shared" si="2989"/>
        <v>o</v>
      </c>
      <c r="Q3500" t="str">
        <f t="shared" si="2990"/>
        <v>5/2</v>
      </c>
      <c r="R3500">
        <v>33</v>
      </c>
      <c r="AA3500" s="10">
        <f t="shared" si="2940"/>
        <v>2446.0659999999998</v>
      </c>
      <c r="AB3500" s="3">
        <f t="shared" si="2941"/>
        <v>40869.589999999997</v>
      </c>
      <c r="AC3500" s="3" cm="1">
        <f t="array" ref="AC3500">100000000/LvacE(AA3500)</f>
        <v>40869.588076947912</v>
      </c>
      <c r="AD3500" s="10">
        <f t="shared" si="2942"/>
        <v>1.335414663319549E-2</v>
      </c>
      <c r="AE3500" s="10" t="b">
        <f t="shared" si="2943"/>
        <v>1</v>
      </c>
      <c r="AJ3500" t="s">
        <v>4800</v>
      </c>
      <c r="AK3500" t="s">
        <v>4880</v>
      </c>
      <c r="AL3500">
        <v>20848.39</v>
      </c>
      <c r="AM3500">
        <v>61717.98</v>
      </c>
      <c r="AN3500" s="10" cm="1">
        <f t="array" ref="AN3500">Lair(100000000/($AM3500-$AL3500))</f>
        <v>2446.0658868990818</v>
      </c>
      <c r="AO3500" s="10">
        <f t="shared" si="2991"/>
        <v>2446.8070269361642</v>
      </c>
      <c r="AP3500" s="12">
        <v>23900000</v>
      </c>
      <c r="AQ3500" s="3">
        <v>4.3999999999999997E-2</v>
      </c>
      <c r="AR3500" s="3"/>
      <c r="AS3500" s="13">
        <f t="shared" si="2996"/>
        <v>8.4092380068621022</v>
      </c>
      <c r="AT3500" s="3"/>
      <c r="AU3500" s="13" cm="1">
        <f t="array" ref="AU3500">$C3500*EXP(poly_from_str(100000000/$E3500,AU$4343))</f>
        <v>18.860539776172153</v>
      </c>
      <c r="AV3500" s="13"/>
      <c r="AW3500" s="13"/>
      <c r="AX3500" s="13"/>
      <c r="AY3500" s="13"/>
    </row>
    <row r="3501" spans="1:51" x14ac:dyDescent="0.25">
      <c r="A3501" t="s">
        <v>3948</v>
      </c>
      <c r="B3501" s="2" t="str">
        <f t="shared" si="2939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2940"/>
        <v>2445.9609999999998</v>
      </c>
      <c r="AB3501" s="3">
        <f t="shared" si="2941"/>
        <v>40871.339999999997</v>
      </c>
      <c r="AC3501" s="3" cm="1">
        <f t="array" ref="AC3501">100000000/LvacE(AA3501)</f>
        <v>40871.342394201121</v>
      </c>
      <c r="AD3501" s="10">
        <f t="shared" si="2942"/>
        <v>1.3354863874403787E-2</v>
      </c>
      <c r="AE3501" s="10" t="b">
        <f t="shared" si="2943"/>
        <v>1</v>
      </c>
      <c r="AP3501"/>
      <c r="AQ3501"/>
      <c r="AU3501" s="13" cm="1">
        <f t="array" ref="AU3501">$C3501*EXP(poly_from_str(100000000/$E3501,AU$4343))</f>
        <v>3.7726731707326744</v>
      </c>
    </row>
    <row r="3502" spans="1:51" x14ac:dyDescent="0.25">
      <c r="A3502" t="s">
        <v>3949</v>
      </c>
      <c r="B3502" s="2" t="str">
        <f t="shared" si="2939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3000">$G3502&amp;""</f>
        <v>e</v>
      </c>
      <c r="N3502" t="str">
        <f t="shared" ref="N3502:N3505" si="3001">$H3502&amp;""</f>
        <v>5/2</v>
      </c>
      <c r="O3502">
        <v>68331.73</v>
      </c>
      <c r="P3502" t="str">
        <f t="shared" ref="P3502:P3505" si="3002">$J3502&amp;""</f>
        <v>o</v>
      </c>
      <c r="Q3502" t="str">
        <f t="shared" ref="Q3502:Q3505" si="3003">$K3502&amp;""</f>
        <v>7/2</v>
      </c>
      <c r="R3502">
        <v>33</v>
      </c>
      <c r="AA3502" s="10">
        <f t="shared" si="2940"/>
        <v>2445.4859999999999</v>
      </c>
      <c r="AB3502" s="3">
        <f t="shared" si="2941"/>
        <v>40879.279999999999</v>
      </c>
      <c r="AC3502" s="3" cm="1">
        <f t="array" ref="AC3502">100000000/LvacE(AA3502)</f>
        <v>40879.280473267187</v>
      </c>
      <c r="AD3502" s="10">
        <f t="shared" si="2942"/>
        <v>1.3358109691338896E-2</v>
      </c>
      <c r="AE3502" s="10" t="b">
        <f t="shared" si="2943"/>
        <v>1</v>
      </c>
      <c r="AJ3502" t="s">
        <v>4783</v>
      </c>
      <c r="AK3502" t="s">
        <v>4923</v>
      </c>
      <c r="AL3502">
        <v>27452.45</v>
      </c>
      <c r="AM3502">
        <v>68331.75</v>
      </c>
      <c r="AN3502" s="10" cm="1">
        <f t="array" ref="AN3502">Lair(100000000/($AM3502-$AL3502))</f>
        <v>2445.4848337988014</v>
      </c>
      <c r="AO3502" s="10">
        <f t="shared" ref="AO3502:AO3505" si="3004">100000000/($AM3502-$AL3502)</f>
        <v>2446.2258404620429</v>
      </c>
      <c r="AP3502" s="12">
        <v>31800000</v>
      </c>
      <c r="AQ3502" s="3">
        <v>0.129</v>
      </c>
      <c r="AR3502" s="3">
        <f t="shared" ref="AR3502:AR3504" si="3005">LN(AU3502*100000000/($AM3502-$AL3502)/AP3502)</f>
        <v>-5.8416258149135372</v>
      </c>
      <c r="AS3502" s="13">
        <f t="shared" ref="AS3502:AS3505" si="3006">EXP(AR$4341*$AM3502+AR$4342)*$AP3502/(100000000/($AM3502-$AL3502))</f>
        <v>6.8128752616452903</v>
      </c>
      <c r="AT3502" s="3">
        <f t="shared" ref="AT3502:AT3504" si="3007">LN(AS3502/$C3502)</f>
        <v>-0.38377085024355861</v>
      </c>
      <c r="AU3502" s="13" cm="1">
        <f t="array" ref="AU3502">$C3502*EXP(poly_from_str(100000000/$E3502,AU$4343))</f>
        <v>37.752412854494935</v>
      </c>
      <c r="AV3502" s="13">
        <f t="shared" ref="AV3502:AV3504" si="3008">LN(AS3502/AU3502)</f>
        <v>-1.7122351475773254</v>
      </c>
      <c r="AW3502" s="13"/>
      <c r="AX3502" s="13"/>
      <c r="AY3502" s="13"/>
    </row>
    <row r="3503" spans="1:51" x14ac:dyDescent="0.25">
      <c r="A3503" t="s">
        <v>3950</v>
      </c>
      <c r="B3503" s="2" t="str">
        <f t="shared" si="2939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3000"/>
        <v>e</v>
      </c>
      <c r="N3503" t="str">
        <f t="shared" si="3001"/>
        <v>9/2</v>
      </c>
      <c r="O3503">
        <v>65922.42</v>
      </c>
      <c r="P3503" t="str">
        <f t="shared" si="3002"/>
        <v>o</v>
      </c>
      <c r="Q3503" t="str">
        <f t="shared" si="3003"/>
        <v>11/2</v>
      </c>
      <c r="R3503">
        <v>33</v>
      </c>
      <c r="AA3503" s="10">
        <f t="shared" si="2940"/>
        <v>2444.933</v>
      </c>
      <c r="AB3503" s="3">
        <f t="shared" si="2941"/>
        <v>40888.53</v>
      </c>
      <c r="AC3503" s="3" cm="1">
        <f t="array" ref="AC3503">100000000/LvacE(AA3503)</f>
        <v>40888.52595364509</v>
      </c>
      <c r="AD3503" s="10">
        <f t="shared" si="2942"/>
        <v>1.3361890888962006E-2</v>
      </c>
      <c r="AE3503" s="10" t="b">
        <f t="shared" si="2943"/>
        <v>1</v>
      </c>
      <c r="AJ3503" t="s">
        <v>4746</v>
      </c>
      <c r="AK3503" t="s">
        <v>4833</v>
      </c>
      <c r="AL3503">
        <v>25033.91</v>
      </c>
      <c r="AM3503">
        <v>65922.42</v>
      </c>
      <c r="AN3503" s="10" cm="1">
        <f t="array" ref="AN3503">Lair(100000000/($AM3503-$AL3503))</f>
        <v>2444.9339560463795</v>
      </c>
      <c r="AO3503" s="10">
        <f t="shared" si="3004"/>
        <v>2445.6748362804124</v>
      </c>
      <c r="AP3503" s="12">
        <v>416000000</v>
      </c>
      <c r="AQ3503" s="3">
        <v>0.50800000000000001</v>
      </c>
      <c r="AR3503" s="3">
        <f t="shared" si="3005"/>
        <v>-8.4122758533402369</v>
      </c>
      <c r="AS3503" s="13">
        <f t="shared" si="3006"/>
        <v>106.81206574023081</v>
      </c>
      <c r="AT3503" s="3">
        <f t="shared" si="3007"/>
        <v>2.3684858022466373</v>
      </c>
      <c r="AU3503" s="13" cm="1">
        <f t="array" ref="AU3503">$C3503*EXP(poly_from_str(100000000/$E3503,AU$4343))</f>
        <v>37.782407884048531</v>
      </c>
      <c r="AV3503" s="13">
        <f t="shared" si="3008"/>
        <v>1.0392273008401802</v>
      </c>
      <c r="AW3503" s="13"/>
      <c r="AX3503" s="13"/>
      <c r="AY3503" s="13"/>
    </row>
    <row r="3504" spans="1:51" x14ac:dyDescent="0.25">
      <c r="A3504" t="s">
        <v>3951</v>
      </c>
      <c r="B3504" s="2" t="str">
        <f t="shared" si="2939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3000"/>
        <v>e</v>
      </c>
      <c r="N3504" t="str">
        <f t="shared" si="3001"/>
        <v>5/2</v>
      </c>
      <c r="O3504">
        <v>75409.58</v>
      </c>
      <c r="P3504" t="str">
        <f t="shared" si="3002"/>
        <v>o</v>
      </c>
      <c r="Q3504" t="str">
        <f t="shared" si="3003"/>
        <v>3/2</v>
      </c>
      <c r="R3504">
        <v>33</v>
      </c>
      <c r="S3504" t="s">
        <v>25</v>
      </c>
      <c r="AA3504" s="10">
        <f t="shared" si="2940"/>
        <v>2444.886</v>
      </c>
      <c r="AB3504" s="3">
        <f t="shared" si="2941"/>
        <v>40889.31</v>
      </c>
      <c r="AC3504" s="3" cm="1">
        <f t="array" ref="AC3504">100000000/LvacE(AA3504)</f>
        <v>40889.311928694355</v>
      </c>
      <c r="AD3504" s="10">
        <f t="shared" si="2942"/>
        <v>1.3362212374870314E-2</v>
      </c>
      <c r="AE3504" s="10" t="b">
        <f t="shared" si="2943"/>
        <v>1</v>
      </c>
      <c r="AJ3504" t="s">
        <v>4722</v>
      </c>
      <c r="AK3504" t="s">
        <v>4905</v>
      </c>
      <c r="AL3504">
        <v>34520.269999999997</v>
      </c>
      <c r="AM3504">
        <v>75409.58</v>
      </c>
      <c r="AN3504" s="10" cm="1">
        <f t="array" ref="AN3504">Lair(100000000/($AM3504-$AL3504))</f>
        <v>2444.8861173577188</v>
      </c>
      <c r="AO3504" s="10">
        <f t="shared" si="3004"/>
        <v>2445.6269866133712</v>
      </c>
      <c r="AP3504" s="12">
        <v>274000000</v>
      </c>
      <c r="AQ3504" s="3">
        <v>0.47699999999999998</v>
      </c>
      <c r="AR3504" s="3">
        <f t="shared" si="3005"/>
        <v>-8.1000317367354739</v>
      </c>
      <c r="AS3504" s="13">
        <f t="shared" si="3006"/>
        <v>34.520477133921275</v>
      </c>
      <c r="AT3504" s="3">
        <f t="shared" si="3007"/>
        <v>1.34432811073949</v>
      </c>
      <c r="AU3504" s="13" cm="1">
        <f t="array" ref="AU3504">$C3504*EXP(poly_from_str(100000000/$E3504,AU$4343))</f>
        <v>34.006446933731524</v>
      </c>
      <c r="AV3504" s="13">
        <f t="shared" si="3008"/>
        <v>1.5002565736346301E-2</v>
      </c>
      <c r="AW3504" s="13"/>
      <c r="AX3504" s="13"/>
      <c r="AY3504" s="13"/>
    </row>
    <row r="3505" spans="1:51" x14ac:dyDescent="0.25">
      <c r="A3505" t="s">
        <v>3952</v>
      </c>
      <c r="B3505" s="2" t="str">
        <f t="shared" si="2939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3000"/>
        <v>e</v>
      </c>
      <c r="N3505" t="str">
        <f t="shared" si="3001"/>
        <v>9/2</v>
      </c>
      <c r="O3505">
        <v>65935.25</v>
      </c>
      <c r="P3505" t="str">
        <f t="shared" si="3002"/>
        <v>o</v>
      </c>
      <c r="Q3505" t="str">
        <f t="shared" si="3003"/>
        <v>7/2</v>
      </c>
      <c r="R3505">
        <v>33</v>
      </c>
      <c r="AA3505" s="10">
        <f t="shared" si="2940"/>
        <v>2444.1660000000002</v>
      </c>
      <c r="AB3505" s="3">
        <f t="shared" si="2941"/>
        <v>40901.360000000001</v>
      </c>
      <c r="AC3505" s="3" cm="1">
        <f t="array" ref="AC3505">100000000/LvacE(AA3505)</f>
        <v>40901.356175386427</v>
      </c>
      <c r="AD3505" s="10">
        <f t="shared" si="2942"/>
        <v>1.3367139583683438E-2</v>
      </c>
      <c r="AE3505" s="10" t="b">
        <f t="shared" si="2943"/>
        <v>1</v>
      </c>
      <c r="AJ3505" t="s">
        <v>4746</v>
      </c>
      <c r="AK3505" t="s">
        <v>4858</v>
      </c>
      <c r="AL3505">
        <v>25033.91</v>
      </c>
      <c r="AM3505">
        <v>65935.25</v>
      </c>
      <c r="AN3505" s="10" cm="1">
        <f t="array" ref="AN3505">Lair(100000000/($AM3505-$AL3505))</f>
        <v>2444.1669687153449</v>
      </c>
      <c r="AO3505" s="10">
        <f t="shared" si="3004"/>
        <v>2444.9076729515464</v>
      </c>
      <c r="AP3505" s="12">
        <v>39600000</v>
      </c>
      <c r="AQ3505" s="3">
        <v>3.7999999999999999E-2</v>
      </c>
      <c r="AR3505" s="3"/>
      <c r="AS3505" s="13">
        <f t="shared" si="3006"/>
        <v>10.161089129325939</v>
      </c>
      <c r="AT3505" s="3"/>
      <c r="AU3505" s="13" cm="1">
        <f t="array" ref="AU3505">$C3505*EXP(poly_from_str(100000000/$E3505,AU$4343))</f>
        <v>15.129660995902396</v>
      </c>
      <c r="AV3505" s="13"/>
      <c r="AW3505" s="13"/>
      <c r="AX3505" s="13"/>
      <c r="AY3505" s="13"/>
    </row>
    <row r="3506" spans="1:51" x14ac:dyDescent="0.25">
      <c r="A3506" t="s">
        <v>3953</v>
      </c>
      <c r="B3506" s="2" t="str">
        <f t="shared" si="2939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2940"/>
        <v>2444.11</v>
      </c>
      <c r="AB3506" s="3">
        <f t="shared" si="2941"/>
        <v>40902.29</v>
      </c>
      <c r="AC3506" s="3" cm="1">
        <f t="array" ref="AC3506">100000000/LvacE(AA3506)</f>
        <v>40902.29324751001</v>
      </c>
      <c r="AD3506" s="10">
        <f t="shared" si="2942"/>
        <v>1.3367522993545711E-2</v>
      </c>
      <c r="AE3506" s="10" t="b">
        <f t="shared" si="2943"/>
        <v>1</v>
      </c>
      <c r="AP3506"/>
      <c r="AQ3506"/>
      <c r="AU3506" s="13" cm="1">
        <f t="array" ref="AU3506">$C3506*EXP(poly_from_str(100000000/$E3506,AU$4343))</f>
        <v>3.7827184892395689</v>
      </c>
    </row>
    <row r="3507" spans="1:51" x14ac:dyDescent="0.25">
      <c r="A3507" t="s">
        <v>3954</v>
      </c>
      <c r="B3507" s="2" t="str">
        <f t="shared" si="2939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3009">$G3507&amp;""</f>
        <v>e</v>
      </c>
      <c r="N3507" t="str">
        <f t="shared" ref="N3507:N3515" si="3010">$H3507&amp;""</f>
        <v>9/2</v>
      </c>
      <c r="O3507">
        <v>68525.62</v>
      </c>
      <c r="P3507" t="str">
        <f t="shared" ref="P3507:P3515" si="3011">$J3507&amp;""</f>
        <v>o</v>
      </c>
      <c r="Q3507" t="str">
        <f t="shared" ref="Q3507:Q3515" si="3012">$K3507&amp;""</f>
        <v>11/2</v>
      </c>
      <c r="R3507">
        <v>33</v>
      </c>
      <c r="AA3507" s="10">
        <f t="shared" si="2940"/>
        <v>2442.9720000000002</v>
      </c>
      <c r="AB3507" s="3">
        <f t="shared" si="2941"/>
        <v>40921.339999999997</v>
      </c>
      <c r="AC3507" s="3" cm="1">
        <f t="array" ref="AC3507">100000000/LvacE(AA3507)</f>
        <v>40921.345197454088</v>
      </c>
      <c r="AD3507" s="10">
        <f t="shared" si="2942"/>
        <v>1.3375320142321338E-2</v>
      </c>
      <c r="AE3507" s="10" t="b">
        <f t="shared" si="2943"/>
        <v>1</v>
      </c>
      <c r="AJ3507" t="s">
        <v>4718</v>
      </c>
      <c r="AK3507" t="s">
        <v>4869</v>
      </c>
      <c r="AL3507">
        <v>27604.26</v>
      </c>
      <c r="AM3507">
        <v>68525.62</v>
      </c>
      <c r="AN3507" s="10" cm="1">
        <f t="array" ref="AN3507">Lair(100000000/($AM3507-$AL3507))</f>
        <v>2442.971118301195</v>
      </c>
      <c r="AO3507" s="10">
        <f t="shared" ref="AO3507:AO3515" si="3013">100000000/($AM3507-$AL3507)</f>
        <v>2443.7115481987889</v>
      </c>
      <c r="AP3507" s="12">
        <v>91600000</v>
      </c>
      <c r="AQ3507" s="3">
        <v>0.24</v>
      </c>
      <c r="AR3507" s="3">
        <f t="shared" ref="AR3507:AR3508" si="3014">LN(AU3507*100000000/($AM3507-$AL3507)/AP3507)</f>
        <v>-7.253669486222849</v>
      </c>
      <c r="AS3507" s="13">
        <f t="shared" ref="AS3507:AS3515" si="3015">EXP(AR$4341*$AM3507+AR$4342)*$AP3507/(100000000/($AM3507-$AL3507))</f>
        <v>19.360952169682999</v>
      </c>
      <c r="AT3507" s="3">
        <f t="shared" ref="AT3507:AT3515" si="3016">LN(AS3507/$C3507)</f>
        <v>1.0173481139020439</v>
      </c>
      <c r="AU3507" s="13" cm="1">
        <f t="array" ref="AU3507">$C3507*EXP(poly_from_str(100000000/$E3507,AU$4343))</f>
        <v>26.522649195124792</v>
      </c>
      <c r="AV3507" s="13">
        <f t="shared" ref="AV3507:AV3508" si="3017">LN(AS3507/AU3507)</f>
        <v>-0.31474079160668261</v>
      </c>
      <c r="AW3507" s="13"/>
      <c r="AX3507" s="13"/>
      <c r="AY3507" s="13"/>
    </row>
    <row r="3508" spans="1:51" x14ac:dyDescent="0.25">
      <c r="A3508" t="s">
        <v>3955</v>
      </c>
      <c r="B3508" s="2" t="str">
        <f t="shared" si="2939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3009"/>
        <v>o</v>
      </c>
      <c r="N3508" t="str">
        <f t="shared" si="3010"/>
        <v>7/2</v>
      </c>
      <c r="O3508">
        <v>101446.27</v>
      </c>
      <c r="P3508" t="str">
        <f t="shared" si="3011"/>
        <v>e</v>
      </c>
      <c r="Q3508" t="str">
        <f t="shared" si="3012"/>
        <v>7/2</v>
      </c>
      <c r="R3508">
        <v>33</v>
      </c>
      <c r="AA3508" s="10">
        <f t="shared" si="2940"/>
        <v>2442.6970000000001</v>
      </c>
      <c r="AB3508" s="3">
        <f t="shared" si="2941"/>
        <v>40925.949999999997</v>
      </c>
      <c r="AC3508" s="3" cm="1">
        <f t="array" ref="AC3508">100000000/LvacE(AA3508)</f>
        <v>40925.951802467731</v>
      </c>
      <c r="AD3508" s="10">
        <f t="shared" si="2942"/>
        <v>1.3377205974066313E-2</v>
      </c>
      <c r="AE3508" s="10" t="b">
        <f t="shared" si="2943"/>
        <v>1</v>
      </c>
      <c r="AJ3508" t="s">
        <v>4730</v>
      </c>
      <c r="AK3508" t="s">
        <v>4908</v>
      </c>
      <c r="AL3508">
        <v>60520.32</v>
      </c>
      <c r="AM3508">
        <v>101446.27</v>
      </c>
      <c r="AN3508" s="10" cm="1">
        <f t="array" ref="AN3508">Lair(100000000/($AM3508-$AL3508))</f>
        <v>2442.697109661543</v>
      </c>
      <c r="AO3508" s="10">
        <f t="shared" si="3013"/>
        <v>2443.4374767109862</v>
      </c>
      <c r="AP3508" s="12">
        <v>281000000</v>
      </c>
      <c r="AQ3508" s="3">
        <v>0.41299999999999998</v>
      </c>
      <c r="AR3508" s="3">
        <f t="shared" si="3014"/>
        <v>-10.320215748424427</v>
      </c>
      <c r="AS3508" s="13">
        <f t="shared" si="3015"/>
        <v>5.0213845623719369</v>
      </c>
      <c r="AT3508" s="3">
        <f t="shared" si="3016"/>
        <v>1.6137057049126999</v>
      </c>
      <c r="AU3508" s="13" cm="1">
        <f t="array" ref="AU3508">$C3508*EXP(poly_from_str(100000000/$E3508,AU$4343))</f>
        <v>3.790463662818035</v>
      </c>
      <c r="AV3508" s="13">
        <f t="shared" si="3017"/>
        <v>0.28121735482669036</v>
      </c>
      <c r="AW3508" s="13"/>
      <c r="AX3508" s="13"/>
      <c r="AY3508" s="13"/>
    </row>
    <row r="3509" spans="1:51" x14ac:dyDescent="0.25">
      <c r="A3509" t="s">
        <v>3956</v>
      </c>
      <c r="B3509" s="2" t="str">
        <f t="shared" si="2939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3009"/>
        <v>e</v>
      </c>
      <c r="N3509" t="str">
        <f t="shared" si="3010"/>
        <v>5/2</v>
      </c>
      <c r="O3509">
        <v>66867.09</v>
      </c>
      <c r="P3509" t="str">
        <f t="shared" si="3011"/>
        <v>o</v>
      </c>
      <c r="Q3509" t="str">
        <f t="shared" si="3012"/>
        <v>3/2</v>
      </c>
      <c r="R3509">
        <v>33</v>
      </c>
      <c r="S3509" t="s">
        <v>25</v>
      </c>
      <c r="AA3509" s="10">
        <f t="shared" si="2940"/>
        <v>2442.3290000000002</v>
      </c>
      <c r="AB3509" s="3">
        <f t="shared" si="2941"/>
        <v>40932.120000000003</v>
      </c>
      <c r="AC3509" s="3" cm="1">
        <f t="array" ref="AC3509">100000000/LvacE(AA3509)</f>
        <v>40932.117900245699</v>
      </c>
      <c r="AD3509" s="10">
        <f t="shared" si="2942"/>
        <v>1.3379730556416784E-2</v>
      </c>
      <c r="AE3509" s="10" t="b">
        <f t="shared" si="2943"/>
        <v>1</v>
      </c>
      <c r="AJ3509" t="s">
        <v>4713</v>
      </c>
      <c r="AK3509" t="s">
        <v>4867</v>
      </c>
      <c r="AL3509">
        <v>25934.98</v>
      </c>
      <c r="AM3509">
        <v>66867.09</v>
      </c>
      <c r="AN3509" s="10" cm="1">
        <f t="array" ref="AN3509">Lair(100000000/($AM3509-$AL3509))</f>
        <v>2442.3294735045206</v>
      </c>
      <c r="AO3509" s="10">
        <f t="shared" si="3013"/>
        <v>2443.0697562378291</v>
      </c>
      <c r="AP3509" s="12">
        <v>6040000</v>
      </c>
      <c r="AQ3509" s="3">
        <v>2.1000000000000001E-2</v>
      </c>
      <c r="AR3509" s="3"/>
      <c r="AS3509" s="13">
        <f t="shared" si="3015"/>
        <v>1.4462311567296064</v>
      </c>
      <c r="AT3509" s="3"/>
      <c r="AU3509" s="13" cm="1">
        <f t="array" ref="AU3509">$C3509*EXP(poly_from_str(100000000/$E3509,AU$4343))</f>
        <v>3.7924933294173302</v>
      </c>
      <c r="AV3509" s="13"/>
      <c r="AW3509" s="13"/>
      <c r="AX3509" s="13"/>
      <c r="AY3509" s="13"/>
    </row>
    <row r="3510" spans="1:51" x14ac:dyDescent="0.25">
      <c r="A3510" t="s">
        <v>3957</v>
      </c>
      <c r="B3510" s="2" t="str">
        <f t="shared" si="2939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3009"/>
        <v>e</v>
      </c>
      <c r="N3510" t="str">
        <f t="shared" si="3010"/>
        <v>9/2</v>
      </c>
      <c r="O3510">
        <v>68544.19</v>
      </c>
      <c r="P3510" t="str">
        <f t="shared" si="3011"/>
        <v>o</v>
      </c>
      <c r="Q3510" t="str">
        <f t="shared" si="3012"/>
        <v>9/2</v>
      </c>
      <c r="R3510">
        <v>33</v>
      </c>
      <c r="AA3510" s="10">
        <f t="shared" si="2940"/>
        <v>2441.8589999999999</v>
      </c>
      <c r="AB3510" s="3">
        <f t="shared" si="2941"/>
        <v>40940</v>
      </c>
      <c r="AC3510" s="3" cm="1">
        <f t="array" ref="AC3510">100000000/LvacE(AA3510)</f>
        <v>40939.99578169208</v>
      </c>
      <c r="AD3510" s="10">
        <f t="shared" si="2942"/>
        <v>1.3382956546977545E-2</v>
      </c>
      <c r="AE3510" s="10" t="b">
        <f t="shared" si="2943"/>
        <v>1</v>
      </c>
      <c r="AJ3510" t="s">
        <v>4718</v>
      </c>
      <c r="AK3510" t="s">
        <v>4901</v>
      </c>
      <c r="AL3510">
        <v>27604.26</v>
      </c>
      <c r="AM3510">
        <v>68544.19</v>
      </c>
      <c r="AN3510" s="10" cm="1">
        <f t="array" ref="AN3510">Lair(100000000/($AM3510-$AL3510))</f>
        <v>2441.8629259226341</v>
      </c>
      <c r="AO3510" s="10">
        <f t="shared" si="3013"/>
        <v>2442.60310166627</v>
      </c>
      <c r="AP3510" s="12">
        <v>23400000</v>
      </c>
      <c r="AQ3510" s="3">
        <v>4.2999999999999997E-2</v>
      </c>
      <c r="AR3510" s="3"/>
      <c r="AS3510" s="13">
        <f t="shared" si="3015"/>
        <v>4.9412734906634794</v>
      </c>
      <c r="AT3510" s="3"/>
      <c r="AU3510" s="13" cm="1">
        <f t="array" ref="AU3510">$C3510*EXP(poly_from_str(100000000/$E3510,AU$4343))</f>
        <v>3.7950916558897911</v>
      </c>
      <c r="AV3510" s="13"/>
      <c r="AW3510" s="13"/>
      <c r="AX3510" s="13"/>
      <c r="AY3510" s="13"/>
    </row>
    <row r="3511" spans="1:51" x14ac:dyDescent="0.25">
      <c r="A3511" t="s">
        <v>3958</v>
      </c>
      <c r="B3511" s="2" t="str">
        <f t="shared" si="2939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3009"/>
        <v>e</v>
      </c>
      <c r="N3511" t="str">
        <f t="shared" si="3010"/>
        <v>3/2</v>
      </c>
      <c r="O3511">
        <v>63221.279999999999</v>
      </c>
      <c r="P3511" t="str">
        <f t="shared" si="3011"/>
        <v>o</v>
      </c>
      <c r="Q3511" t="str">
        <f t="shared" si="3012"/>
        <v>3/2</v>
      </c>
      <c r="R3511">
        <v>33</v>
      </c>
      <c r="AA3511" s="10">
        <f t="shared" si="2940"/>
        <v>2441.6419999999998</v>
      </c>
      <c r="AB3511" s="3">
        <f t="shared" si="2941"/>
        <v>40943.629999999997</v>
      </c>
      <c r="AC3511" s="3" cm="1">
        <f t="array" ref="AC3511">100000000/LvacE(AA3511)</f>
        <v>40943.634039569581</v>
      </c>
      <c r="AD3511" s="10">
        <f t="shared" si="2942"/>
        <v>1.3384446622307773E-2</v>
      </c>
      <c r="AE3511" s="10" t="b">
        <f t="shared" si="2943"/>
        <v>1</v>
      </c>
      <c r="AJ3511" t="s">
        <v>4766</v>
      </c>
      <c r="AK3511" t="s">
        <v>4707</v>
      </c>
      <c r="AL3511">
        <v>22277.66</v>
      </c>
      <c r="AM3511">
        <v>63221.279999999999</v>
      </c>
      <c r="AN3511" s="10" cm="1">
        <f t="array" ref="AN3511">Lair(100000000/($AM3511-$AL3511))</f>
        <v>2441.6428393945198</v>
      </c>
      <c r="AO3511" s="10">
        <f t="shared" si="3013"/>
        <v>2442.3829646719078</v>
      </c>
      <c r="AP3511" s="12">
        <v>73400000</v>
      </c>
      <c r="AQ3511" s="3">
        <v>0.113</v>
      </c>
      <c r="AR3511" s="3">
        <f t="shared" ref="AR3511:AR3515" si="3018">LN(AU3511*100000000/($AM3511-$AL3511)/AP3511)</f>
        <v>-6.8972389604494913</v>
      </c>
      <c r="AS3511" s="13">
        <f t="shared" si="3015"/>
        <v>23.112377106517343</v>
      </c>
      <c r="AT3511" s="3">
        <f t="shared" si="3016"/>
        <v>1.0609267378323524</v>
      </c>
      <c r="AU3511" s="13" cm="1">
        <f t="array" ref="AU3511">$C3511*EXP(poly_from_str(100000000/$E3511,AU$4343))</f>
        <v>30.370327618524826</v>
      </c>
      <c r="AV3511" s="13">
        <f t="shared" ref="AV3511:AV3515" si="3019">LN(AS3511/AU3511)</f>
        <v>-0.27309778705807142</v>
      </c>
      <c r="AW3511" s="13"/>
      <c r="AX3511" s="13"/>
      <c r="AY3511" s="13"/>
    </row>
    <row r="3512" spans="1:51" x14ac:dyDescent="0.25">
      <c r="A3512" t="s">
        <v>3959</v>
      </c>
      <c r="B3512" s="2" t="str">
        <f t="shared" si="2939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3009"/>
        <v>e</v>
      </c>
      <c r="N3512" t="str">
        <f t="shared" si="3010"/>
        <v>7/2</v>
      </c>
      <c r="O3512">
        <v>67395.320000000007</v>
      </c>
      <c r="P3512" t="str">
        <f t="shared" si="3011"/>
        <v>o</v>
      </c>
      <c r="Q3512" t="str">
        <f t="shared" si="3012"/>
        <v>5/2</v>
      </c>
      <c r="R3512">
        <v>33</v>
      </c>
      <c r="S3512" t="s">
        <v>3960</v>
      </c>
      <c r="AA3512" s="10">
        <f t="shared" si="2940"/>
        <v>2441.36</v>
      </c>
      <c r="AB3512" s="3">
        <f t="shared" si="2941"/>
        <v>40948.36</v>
      </c>
      <c r="AC3512" s="3" cm="1">
        <f t="array" ref="AC3512">100000000/LvacE(AA3512)</f>
        <v>40948.363064440848</v>
      </c>
      <c r="AD3512" s="10">
        <f t="shared" si="2942"/>
        <v>1.3386383627248921E-2</v>
      </c>
      <c r="AE3512" s="10" t="b">
        <f t="shared" si="2943"/>
        <v>1</v>
      </c>
      <c r="AJ3512" t="s">
        <v>4736</v>
      </c>
      <c r="AK3512" t="s">
        <v>4894</v>
      </c>
      <c r="AL3512">
        <v>26446.97</v>
      </c>
      <c r="AM3512">
        <v>67395.320000000007</v>
      </c>
      <c r="AN3512" s="10" cm="1">
        <f t="array" ref="AN3512">Lair(100000000/($AM3512-$AL3512))</f>
        <v>2441.3607810649833</v>
      </c>
      <c r="AO3512" s="10">
        <f t="shared" si="3013"/>
        <v>2442.1008416700547</v>
      </c>
      <c r="AP3512" s="12">
        <v>21600000</v>
      </c>
      <c r="AQ3512" s="3">
        <v>5.7000000000000002E-2</v>
      </c>
      <c r="AR3512" s="3">
        <f t="shared" si="3018"/>
        <v>-6.6545409578122117</v>
      </c>
      <c r="AS3512" s="13">
        <f t="shared" si="3015"/>
        <v>4.9729090907391464</v>
      </c>
      <c r="AT3512" s="3">
        <f t="shared" si="3016"/>
        <v>0.50539271033016642</v>
      </c>
      <c r="AU3512" s="13" cm="1">
        <f t="array" ref="AU3512">$C3512*EXP(poly_from_str(100000000/$E3512,AU$4343))</f>
        <v>11.393567779779097</v>
      </c>
      <c r="AV3512" s="13">
        <f t="shared" si="3019"/>
        <v>-0.82904396732067598</v>
      </c>
      <c r="AW3512" s="13"/>
      <c r="AX3512" s="13"/>
      <c r="AY3512" s="13"/>
    </row>
    <row r="3513" spans="1:51" x14ac:dyDescent="0.25">
      <c r="A3513" t="s">
        <v>3961</v>
      </c>
      <c r="B3513" s="2" t="str">
        <f t="shared" si="2939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3009"/>
        <v>e</v>
      </c>
      <c r="N3513" t="str">
        <f t="shared" si="3010"/>
        <v>7/2</v>
      </c>
      <c r="O3513">
        <v>67398.789999999994</v>
      </c>
      <c r="P3513" t="str">
        <f t="shared" si="3011"/>
        <v>o</v>
      </c>
      <c r="Q3513" t="str">
        <f t="shared" si="3012"/>
        <v>9/2</v>
      </c>
      <c r="R3513">
        <v>33</v>
      </c>
      <c r="S3513" t="s">
        <v>3962</v>
      </c>
      <c r="AA3513" s="10">
        <f t="shared" si="2940"/>
        <v>2441.1509999999998</v>
      </c>
      <c r="AB3513" s="3">
        <f t="shared" si="2941"/>
        <v>40951.870000000003</v>
      </c>
      <c r="AC3513" s="3" cm="1">
        <f t="array" ref="AC3513">100000000/LvacE(AA3513)</f>
        <v>40951.868613957668</v>
      </c>
      <c r="AD3513" s="10">
        <f t="shared" si="2942"/>
        <v>1.3387819642037235E-2</v>
      </c>
      <c r="AE3513" s="10" t="b">
        <f t="shared" si="2943"/>
        <v>1</v>
      </c>
      <c r="AJ3513" t="s">
        <v>4736</v>
      </c>
      <c r="AK3513" t="s">
        <v>4863</v>
      </c>
      <c r="AL3513">
        <v>26446.97</v>
      </c>
      <c r="AM3513">
        <v>67398.789999999994</v>
      </c>
      <c r="AN3513" s="10" cm="1">
        <f t="array" ref="AN3513">Lair(100000000/($AM3513-$AL3513))</f>
        <v>2441.1539002111072</v>
      </c>
      <c r="AO3513" s="10">
        <f t="shared" si="3013"/>
        <v>2441.8939133840699</v>
      </c>
      <c r="AP3513" s="12">
        <v>50800000</v>
      </c>
      <c r="AQ3513" s="3">
        <v>0.183</v>
      </c>
      <c r="AR3513" s="3">
        <f t="shared" si="3018"/>
        <v>-7.2218404871666602</v>
      </c>
      <c r="AS3513" s="13">
        <f t="shared" si="3015"/>
        <v>11.693491020269049</v>
      </c>
      <c r="AT3513" s="3">
        <f t="shared" si="3016"/>
        <v>1.072738002824805</v>
      </c>
      <c r="AU3513" s="13" cm="1">
        <f t="array" ref="AU3513">$C3513*EXP(poly_from_str(100000000/$E3513,AU$4343))</f>
        <v>15.196075658676541</v>
      </c>
      <c r="AV3513" s="13">
        <f t="shared" si="3019"/>
        <v>-0.26200485022302317</v>
      </c>
      <c r="AW3513" s="13"/>
      <c r="AX3513" s="13"/>
      <c r="AY3513" s="13"/>
    </row>
    <row r="3514" spans="1:51" x14ac:dyDescent="0.25">
      <c r="A3514" t="s">
        <v>3963</v>
      </c>
      <c r="B3514" s="2" t="str">
        <f t="shared" si="2939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3009"/>
        <v>e</v>
      </c>
      <c r="N3514" t="str">
        <f t="shared" si="3010"/>
        <v>11/2</v>
      </c>
      <c r="O3514">
        <v>67049.179999999993</v>
      </c>
      <c r="P3514" t="str">
        <f t="shared" si="3011"/>
        <v>o</v>
      </c>
      <c r="Q3514" t="str">
        <f t="shared" si="3012"/>
        <v>9/2</v>
      </c>
      <c r="R3514">
        <v>33</v>
      </c>
      <c r="AA3514" s="10">
        <f t="shared" si="2940"/>
        <v>2441.0279999999998</v>
      </c>
      <c r="AB3514" s="3">
        <f t="shared" si="2941"/>
        <v>40953.93</v>
      </c>
      <c r="AC3514" s="3" cm="1">
        <f t="array" ref="AC3514">100000000/LvacE(AA3514)</f>
        <v>40953.931969107914</v>
      </c>
      <c r="AD3514" s="10">
        <f t="shared" si="2942"/>
        <v>1.3388664933197802E-2</v>
      </c>
      <c r="AE3514" s="10" t="b">
        <f t="shared" si="2943"/>
        <v>1</v>
      </c>
      <c r="AJ3514" t="s">
        <v>4738</v>
      </c>
      <c r="AK3514" t="s">
        <v>4862</v>
      </c>
      <c r="AL3514">
        <v>26095.23</v>
      </c>
      <c r="AM3514">
        <v>67049.179999999993</v>
      </c>
      <c r="AN3514" s="10" cm="1">
        <f t="array" ref="AN3514">Lair(100000000/($AM3514-$AL3514))</f>
        <v>2441.0269273095978</v>
      </c>
      <c r="AO3514" s="10">
        <f t="shared" si="3013"/>
        <v>2441.7669113724073</v>
      </c>
      <c r="AP3514" s="12">
        <v>51000000</v>
      </c>
      <c r="AQ3514" s="3">
        <v>7.1999999999999995E-2</v>
      </c>
      <c r="AR3514" s="3">
        <f t="shared" si="3018"/>
        <v>-6.6660261641030498</v>
      </c>
      <c r="AS3514" s="13">
        <f t="shared" si="3015"/>
        <v>12.052242603504302</v>
      </c>
      <c r="AT3514" s="3">
        <f t="shared" si="3016"/>
        <v>0.54334060174000365</v>
      </c>
      <c r="AU3514" s="13" cm="1">
        <f t="array" ref="AU3514">$C3514*EXP(poly_from_str(100000000/$E3514,AU$4343))</f>
        <v>26.597914922922342</v>
      </c>
      <c r="AV3514" s="13">
        <f t="shared" si="3019"/>
        <v>-0.79158207556366256</v>
      </c>
      <c r="AW3514" s="13"/>
      <c r="AX3514" s="13"/>
      <c r="AY3514" s="13"/>
    </row>
    <row r="3515" spans="1:51" x14ac:dyDescent="0.25">
      <c r="A3515" t="s">
        <v>3964</v>
      </c>
      <c r="B3515" s="2" t="str">
        <f t="shared" si="2939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3009"/>
        <v>e</v>
      </c>
      <c r="N3515" t="str">
        <f t="shared" si="3010"/>
        <v>9/2</v>
      </c>
      <c r="O3515">
        <v>69686.259999999995</v>
      </c>
      <c r="P3515" t="str">
        <f t="shared" si="3011"/>
        <v>o</v>
      </c>
      <c r="Q3515" t="str">
        <f t="shared" si="3012"/>
        <v>9/2</v>
      </c>
      <c r="R3515">
        <v>33</v>
      </c>
      <c r="AA3515" s="10">
        <f t="shared" si="2940"/>
        <v>2440.3330000000001</v>
      </c>
      <c r="AB3515" s="3">
        <f t="shared" si="2941"/>
        <v>40965.589999999997</v>
      </c>
      <c r="AC3515" s="3" cm="1">
        <f t="array" ref="AC3515">100000000/LvacE(AA3515)</f>
        <v>40965.594671927967</v>
      </c>
      <c r="AD3515" s="10">
        <f t="shared" si="2942"/>
        <v>1.3393443573464763E-2</v>
      </c>
      <c r="AE3515" s="10" t="b">
        <f t="shared" si="2943"/>
        <v>1</v>
      </c>
      <c r="AJ3515" t="s">
        <v>4708</v>
      </c>
      <c r="AK3515" t="s">
        <v>4838</v>
      </c>
      <c r="AL3515">
        <v>28720.71</v>
      </c>
      <c r="AM3515">
        <v>69686.259999999995</v>
      </c>
      <c r="AN3515" s="10" cm="1">
        <f t="array" ref="AN3515">Lair(100000000/($AM3515-$AL3515))</f>
        <v>2440.3356634404622</v>
      </c>
      <c r="AO3515" s="10">
        <f t="shared" si="3013"/>
        <v>2441.0754890389612</v>
      </c>
      <c r="AP3515" s="12">
        <v>28300000</v>
      </c>
      <c r="AQ3515" s="3">
        <v>7.5999999999999998E-2</v>
      </c>
      <c r="AR3515" s="3">
        <f t="shared" si="3018"/>
        <v>-6.6359416244489671</v>
      </c>
      <c r="AS3515" s="13">
        <f t="shared" si="3015"/>
        <v>5.4885594071652006</v>
      </c>
      <c r="AT3515" s="3">
        <f t="shared" si="3016"/>
        <v>0.31637145690139223</v>
      </c>
      <c r="AU3515" s="13" cm="1">
        <f t="array" ref="AU3515">$C3515*EXP(poly_from_str(100000000/$E3515,AU$4343))</f>
        <v>15.214314723379774</v>
      </c>
      <c r="AV3515" s="13">
        <f t="shared" si="3019"/>
        <v>-1.0195709247720839</v>
      </c>
      <c r="AW3515" s="13"/>
      <c r="AX3515" s="13"/>
      <c r="AY3515" s="13"/>
    </row>
    <row r="3516" spans="1:51" x14ac:dyDescent="0.25">
      <c r="A3516" t="s">
        <v>3965</v>
      </c>
      <c r="B3516" s="2" t="str">
        <f t="shared" si="2939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2940"/>
        <v>2440.018</v>
      </c>
      <c r="AB3516" s="3">
        <f t="shared" si="2941"/>
        <v>40970.879999999997</v>
      </c>
      <c r="AC3516" s="3" cm="1">
        <f t="array" ref="AC3516">100000000/LvacE(AA3516)</f>
        <v>40970.882832858784</v>
      </c>
      <c r="AD3516" s="10">
        <f t="shared" si="2942"/>
        <v>1.3395610776817789E-2</v>
      </c>
      <c r="AE3516" s="10" t="b">
        <f t="shared" si="2943"/>
        <v>1</v>
      </c>
      <c r="AP3516"/>
      <c r="AQ3516"/>
      <c r="AU3516" s="13" cm="1">
        <f t="array" ref="AU3516">$C3516*EXP(poly_from_str(100000000/$E3516,AU$4343))</f>
        <v>3.8053427738418244</v>
      </c>
    </row>
    <row r="3517" spans="1:51" x14ac:dyDescent="0.25">
      <c r="A3517" t="s">
        <v>3966</v>
      </c>
      <c r="B3517" s="2" t="str">
        <f t="shared" si="2939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3020">$G3517&amp;""</f>
        <v>e</v>
      </c>
      <c r="N3517" t="str">
        <f t="shared" ref="N3517:N3519" si="3021">$H3517&amp;""</f>
        <v>13/2</v>
      </c>
      <c r="O3517">
        <v>64150.94</v>
      </c>
      <c r="P3517" t="str">
        <f t="shared" ref="P3517:P3519" si="3022">$J3517&amp;""</f>
        <v>o</v>
      </c>
      <c r="Q3517" t="str">
        <f t="shared" ref="Q3517:Q3519" si="3023">$K3517&amp;""</f>
        <v>11/2</v>
      </c>
      <c r="R3517">
        <v>33</v>
      </c>
      <c r="AA3517" s="10">
        <f t="shared" si="2940"/>
        <v>2439.7240000000002</v>
      </c>
      <c r="AB3517" s="3">
        <f t="shared" si="2941"/>
        <v>40975.82</v>
      </c>
      <c r="AC3517" s="3" cm="1">
        <f t="array" ref="AC3517">100000000/LvacE(AA3517)</f>
        <v>40975.819681568049</v>
      </c>
      <c r="AD3517" s="10">
        <f t="shared" si="2942"/>
        <v>1.3397634257311081E-2</v>
      </c>
      <c r="AE3517" s="10" t="b">
        <f t="shared" si="2943"/>
        <v>1</v>
      </c>
      <c r="AJ3517" t="s">
        <v>4969</v>
      </c>
      <c r="AK3517" t="s">
        <v>4931</v>
      </c>
      <c r="AL3517">
        <v>23175.09</v>
      </c>
      <c r="AM3517">
        <v>64150.94</v>
      </c>
      <c r="AN3517" s="10" cm="1">
        <f t="array" ref="AN3517">Lair(100000000/($AM3517-$AL3517))</f>
        <v>2439.7221968237391</v>
      </c>
      <c r="AO3517" s="10">
        <f t="shared" ref="AO3517:AO3519" si="3024">100000000/($AM3517-$AL3517)</f>
        <v>2440.4618818157519</v>
      </c>
      <c r="AP3517" s="12">
        <v>47800000</v>
      </c>
      <c r="AQ3517" s="3">
        <v>0.14899999999999999</v>
      </c>
      <c r="AR3517" s="3">
        <f t="shared" ref="AR3517:AR3519" si="3025">LN(AU3517*100000000/($AM3517-$AL3517)/AP3517)</f>
        <v>-6.3485293286790343</v>
      </c>
      <c r="AS3517" s="13">
        <f t="shared" ref="AS3517:AS3519" si="3026">EXP(AR$4341*$AM3517+AR$4342)*$AP3517/(100000000/($AM3517-$AL3517))</f>
        <v>14.048124270121574</v>
      </c>
      <c r="AT3517" s="3">
        <f t="shared" ref="AT3517:AT3519" si="3027">LN(AS3517/$C3517)</f>
        <v>0.4452643056251579</v>
      </c>
      <c r="AU3517" s="13" cm="1">
        <f t="array" ref="AU3517">$C3517*EXP(poly_from_str(100000000/$E3517,AU$4343))</f>
        <v>34.262938938142376</v>
      </c>
      <c r="AV3517" s="13">
        <f t="shared" ref="AV3517:AV3519" si="3028">LN(AS3517/AU3517)</f>
        <v>-0.8915753896220916</v>
      </c>
      <c r="AW3517" s="13"/>
      <c r="AX3517" s="13"/>
      <c r="AY3517" s="13"/>
    </row>
    <row r="3518" spans="1:51" x14ac:dyDescent="0.25">
      <c r="A3518" t="s">
        <v>3967</v>
      </c>
      <c r="B3518" s="2" t="str">
        <f t="shared" si="2939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3020"/>
        <v>e</v>
      </c>
      <c r="N3518" t="str">
        <f t="shared" si="3021"/>
        <v>11/2</v>
      </c>
      <c r="O3518">
        <v>68374.539999999994</v>
      </c>
      <c r="P3518" t="str">
        <f t="shared" si="3022"/>
        <v>o</v>
      </c>
      <c r="Q3518" t="str">
        <f t="shared" si="3023"/>
        <v>9/2</v>
      </c>
      <c r="R3518">
        <v>33</v>
      </c>
      <c r="S3518" t="s">
        <v>3962</v>
      </c>
      <c r="AA3518" s="10">
        <f t="shared" si="2940"/>
        <v>2438.627</v>
      </c>
      <c r="AB3518" s="3">
        <f t="shared" si="2941"/>
        <v>40994.25</v>
      </c>
      <c r="AC3518" s="3" cm="1">
        <f t="array" ref="AC3518">100000000/LvacE(AA3518)</f>
        <v>40994.251013969086</v>
      </c>
      <c r="AD3518" s="10">
        <f t="shared" si="2942"/>
        <v>1.3405190915619546E-2</v>
      </c>
      <c r="AE3518" s="10" t="b">
        <f t="shared" si="2943"/>
        <v>1</v>
      </c>
      <c r="AJ3518" t="s">
        <v>4712</v>
      </c>
      <c r="AK3518" t="s">
        <v>4739</v>
      </c>
      <c r="AL3518">
        <v>27380.31</v>
      </c>
      <c r="AM3518">
        <v>68374.539999999994</v>
      </c>
      <c r="AN3518" s="10" cm="1">
        <f t="array" ref="AN3518">Lair(100000000/($AM3518-$AL3518))</f>
        <v>2438.6282523077739</v>
      </c>
      <c r="AO3518" s="10">
        <f t="shared" si="3024"/>
        <v>2439.3676866232154</v>
      </c>
      <c r="AP3518" s="12">
        <v>458000000</v>
      </c>
      <c r="AQ3518" s="3">
        <v>0.25800000000000001</v>
      </c>
      <c r="AR3518" s="3">
        <f t="shared" si="3025"/>
        <v>-8.5018377258396942</v>
      </c>
      <c r="AS3518" s="13">
        <f t="shared" si="3026"/>
        <v>98.082934270629707</v>
      </c>
      <c r="AT3518" s="3">
        <f t="shared" si="3027"/>
        <v>2.2832282958612509</v>
      </c>
      <c r="AU3518" s="13" cm="1">
        <f t="array" ref="AU3518">$C3518*EXP(poly_from_str(100000000/$E3518,AU$4343))</f>
        <v>38.131773181264265</v>
      </c>
      <c r="AV3518" s="13">
        <f t="shared" si="3028"/>
        <v>0.9447655124934059</v>
      </c>
      <c r="AW3518" s="13"/>
      <c r="AX3518" s="13"/>
      <c r="AY3518" s="13"/>
    </row>
    <row r="3519" spans="1:51" x14ac:dyDescent="0.25">
      <c r="A3519" t="s">
        <v>3968</v>
      </c>
      <c r="B3519" s="2" t="str">
        <f t="shared" si="2939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3020"/>
        <v>o</v>
      </c>
      <c r="N3519" t="str">
        <f t="shared" si="3021"/>
        <v>9/2</v>
      </c>
      <c r="O3519">
        <v>101165.33</v>
      </c>
      <c r="P3519" t="str">
        <f t="shared" si="3022"/>
        <v>e</v>
      </c>
      <c r="Q3519" t="str">
        <f t="shared" si="3023"/>
        <v>11/2</v>
      </c>
      <c r="R3519">
        <v>33</v>
      </c>
      <c r="S3519" t="s">
        <v>420</v>
      </c>
      <c r="AA3519" s="10">
        <f t="shared" si="2940"/>
        <v>2438.3380000000002</v>
      </c>
      <c r="AB3519" s="3">
        <f t="shared" si="2941"/>
        <v>40999.11</v>
      </c>
      <c r="AC3519" s="3" cm="1">
        <f t="array" ref="AC3519">100000000/LvacE(AA3519)</f>
        <v>40999.10943001022</v>
      </c>
      <c r="AD3519" s="10">
        <f t="shared" si="2942"/>
        <v>1.3407183382699653E-2</v>
      </c>
      <c r="AE3519" s="10" t="b">
        <f t="shared" si="2943"/>
        <v>1</v>
      </c>
      <c r="AJ3519" t="s">
        <v>4726</v>
      </c>
      <c r="AK3519" t="s">
        <v>4953</v>
      </c>
      <c r="AL3519">
        <v>60166.2</v>
      </c>
      <c r="AM3519">
        <v>101165.33</v>
      </c>
      <c r="AN3519" s="10" cm="1">
        <f t="array" ref="AN3519">Lair(100000000/($AM3519-$AL3519))</f>
        <v>2438.3367787134512</v>
      </c>
      <c r="AO3519" s="10">
        <f t="shared" si="3024"/>
        <v>2439.0761462499322</v>
      </c>
      <c r="AP3519" s="12">
        <v>765000000</v>
      </c>
      <c r="AQ3519" s="3">
        <v>0.187</v>
      </c>
      <c r="AR3519" s="3">
        <f t="shared" si="3025"/>
        <v>-9.7076816309934681</v>
      </c>
      <c r="AS3519" s="13">
        <f t="shared" si="3026"/>
        <v>13.986562075485907</v>
      </c>
      <c r="AT3519" s="3">
        <f t="shared" si="3027"/>
        <v>1.0286591044774718</v>
      </c>
      <c r="AU3519" s="13" cm="1">
        <f t="array" ref="AU3519">$C3519*EXP(poly_from_str(100000000/$E3519,AU$4343))</f>
        <v>19.074076136643114</v>
      </c>
      <c r="AV3519" s="13">
        <f t="shared" si="3028"/>
        <v>-0.31023312588251656</v>
      </c>
      <c r="AW3519" s="13"/>
      <c r="AX3519" s="13"/>
      <c r="AY3519" s="13"/>
    </row>
    <row r="3520" spans="1:51" x14ac:dyDescent="0.25">
      <c r="A3520" t="s">
        <v>3969</v>
      </c>
      <c r="B3520" s="2" t="str">
        <f t="shared" si="2939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2940"/>
        <v>2437.6529999999998</v>
      </c>
      <c r="AB3520" s="3">
        <f t="shared" si="2941"/>
        <v>41010.629999999997</v>
      </c>
      <c r="AC3520" s="3" cm="1">
        <f t="array" ref="AC3520">100000000/LvacE(AA3520)</f>
        <v>41010.629653367418</v>
      </c>
      <c r="AD3520" s="10">
        <f t="shared" si="2942"/>
        <v>1.3411908842925434E-2</v>
      </c>
      <c r="AE3520" s="10" t="b">
        <f t="shared" si="2943"/>
        <v>1</v>
      </c>
      <c r="AP3520"/>
      <c r="AQ3520"/>
      <c r="AU3520" s="13" cm="1">
        <f t="array" ref="AU3520">$C3520*EXP(poly_from_str(100000000/$E3520,AU$4343))</f>
        <v>19.093549554822392</v>
      </c>
    </row>
    <row r="3521" spans="1:51" x14ac:dyDescent="0.25">
      <c r="A3521" t="s">
        <v>3970</v>
      </c>
      <c r="B3521" s="2" t="str">
        <f t="shared" si="2939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3029">$G3521&amp;""</f>
        <v>e</v>
      </c>
      <c r="N3521" t="str">
        <f t="shared" ref="N3521:N3524" si="3030">$H3521&amp;""</f>
        <v>9/2</v>
      </c>
      <c r="O3521">
        <v>64857.15</v>
      </c>
      <c r="P3521" t="str">
        <f t="shared" ref="P3521:P3524" si="3031">$J3521&amp;""</f>
        <v>o</v>
      </c>
      <c r="Q3521" t="str">
        <f t="shared" ref="Q3521:Q3524" si="3032">$K3521&amp;""</f>
        <v>9/2</v>
      </c>
      <c r="R3521">
        <v>33</v>
      </c>
      <c r="AA3521" s="10">
        <f t="shared" si="2940"/>
        <v>2437.5410000000002</v>
      </c>
      <c r="AB3521" s="3">
        <f t="shared" si="2941"/>
        <v>41012.51</v>
      </c>
      <c r="AC3521" s="3" cm="1">
        <f t="array" ref="AC3521">100000000/LvacE(AA3521)</f>
        <v>41012.513867718575</v>
      </c>
      <c r="AD3521" s="10">
        <f t="shared" si="2942"/>
        <v>1.3412681851857788E-2</v>
      </c>
      <c r="AE3521" s="10" t="b">
        <f t="shared" si="2943"/>
        <v>1</v>
      </c>
      <c r="AJ3521" t="s">
        <v>4763</v>
      </c>
      <c r="AK3521" t="s">
        <v>4854</v>
      </c>
      <c r="AL3521">
        <v>23844.58</v>
      </c>
      <c r="AM3521">
        <v>64857.15</v>
      </c>
      <c r="AN3521" s="10" cm="1">
        <f t="array" ref="AN3521">Lair(100000000/($AM3521-$AL3521))</f>
        <v>2437.5376657645497</v>
      </c>
      <c r="AO3521" s="10">
        <f t="shared" ref="AO3521:AO3524" si="3033">100000000/($AM3521-$AL3521)</f>
        <v>2438.2768502437179</v>
      </c>
      <c r="AP3521" s="12">
        <v>22100000</v>
      </c>
      <c r="AQ3521" s="3">
        <v>2.1000000000000001E-2</v>
      </c>
      <c r="AR3521" s="3"/>
      <c r="AS3521" s="13">
        <f t="shared" ref="AS3521:AS3524" si="3034">EXP(AR$4341*$AM3521+AR$4342)*$AP3521/(100000000/($AM3521-$AL3521))</f>
        <v>6.165306281018001</v>
      </c>
      <c r="AT3521" s="3"/>
      <c r="AU3521" s="13" cm="1">
        <f t="array" ref="AU3521">$C3521*EXP(poly_from_str(100000000/$E3521,AU$4343))</f>
        <v>11.458041467049714</v>
      </c>
      <c r="AV3521" s="13"/>
      <c r="AW3521" s="13"/>
      <c r="AX3521" s="13"/>
      <c r="AY3521" s="13"/>
    </row>
    <row r="3522" spans="1:51" x14ac:dyDescent="0.25">
      <c r="A3522" t="s">
        <v>3971</v>
      </c>
      <c r="B3522" s="2" t="str">
        <f t="shared" ref="B3522:B3585" si="3035">IF(OR(A3522=A3521,A3522=A3523),IF(B3521="",1,B3521+1),"")</f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3029"/>
        <v>e</v>
      </c>
      <c r="N3522" t="str">
        <f t="shared" si="3030"/>
        <v>9/2</v>
      </c>
      <c r="O3522">
        <v>64865.15</v>
      </c>
      <c r="P3522" t="str">
        <f t="shared" si="3031"/>
        <v>o</v>
      </c>
      <c r="Q3522" t="str">
        <f t="shared" si="3032"/>
        <v>11/2</v>
      </c>
      <c r="R3522">
        <v>33</v>
      </c>
      <c r="AA3522" s="10">
        <f t="shared" si="2940"/>
        <v>2437.0639999999999</v>
      </c>
      <c r="AB3522" s="3">
        <f t="shared" si="2941"/>
        <v>41020.54</v>
      </c>
      <c r="AC3522" s="3" cm="1">
        <f t="array" ref="AC3522">100000000/LvacE(AA3522)</f>
        <v>41020.540541220449</v>
      </c>
      <c r="AD3522" s="10">
        <f t="shared" si="2942"/>
        <v>1.3415975235205241E-2</v>
      </c>
      <c r="AE3522" s="10" t="b">
        <f t="shared" si="2943"/>
        <v>1</v>
      </c>
      <c r="AJ3522" t="s">
        <v>4763</v>
      </c>
      <c r="AK3522" t="s">
        <v>4896</v>
      </c>
      <c r="AL3522">
        <v>23844.58</v>
      </c>
      <c r="AM3522">
        <v>64865.15</v>
      </c>
      <c r="AN3522" s="10" cm="1">
        <f t="array" ref="AN3522">Lair(100000000/($AM3522-$AL3522))</f>
        <v>2437.0622518888517</v>
      </c>
      <c r="AO3522" s="10">
        <f t="shared" si="3033"/>
        <v>2437.8013274803347</v>
      </c>
      <c r="AP3522" s="12">
        <v>82500000</v>
      </c>
      <c r="AQ3522" s="3">
        <v>0.27200000000000002</v>
      </c>
      <c r="AR3522" s="3">
        <f t="shared" ref="AR3522:AR3524" si="3036">LN(AU3522*100000000/($AM3522-$AL3522)/AP3522)</f>
        <v>-7.0092222054584674</v>
      </c>
      <c r="AS3522" s="13">
        <f t="shared" si="3034"/>
        <v>23.005956711755157</v>
      </c>
      <c r="AT3522" s="3">
        <f t="shared" ref="AT3522:AT3524" si="3037">LN(AS3522/$C3522)</f>
        <v>1.0563116281854645</v>
      </c>
      <c r="AU3522" s="13" cm="1">
        <f t="array" ref="AU3522">$C3522*EXP(poly_from_str(100000000/$E3522,AU$4343))</f>
        <v>30.576594451731648</v>
      </c>
      <c r="AV3522" s="13">
        <f t="shared" ref="AV3522:AV3524" si="3038">LN(AS3522/AU3522)</f>
        <v>-0.28448165921925739</v>
      </c>
      <c r="AW3522" s="13"/>
      <c r="AX3522" s="13"/>
      <c r="AY3522" s="13"/>
    </row>
    <row r="3523" spans="1:51" x14ac:dyDescent="0.25">
      <c r="A3523" t="s">
        <v>3972</v>
      </c>
      <c r="B3523" s="2" t="str">
        <f t="shared" si="3035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3029"/>
        <v>e</v>
      </c>
      <c r="N3523" t="str">
        <f t="shared" si="3030"/>
        <v>9/2</v>
      </c>
      <c r="O3523">
        <v>62558.67</v>
      </c>
      <c r="P3523" t="str">
        <f t="shared" si="3031"/>
        <v>o</v>
      </c>
      <c r="Q3523" t="str">
        <f t="shared" si="3032"/>
        <v>11/2</v>
      </c>
      <c r="R3523">
        <v>33</v>
      </c>
      <c r="AA3523" s="10">
        <f t="shared" ref="AA3523:AA3586" si="3039">ROUND($A3523,3)+0</f>
        <v>2436.8890000000001</v>
      </c>
      <c r="AB3523" s="3">
        <f t="shared" ref="AB3523:AB3586" si="3040">ROUND($E3523,2)+0</f>
        <v>41023.49</v>
      </c>
      <c r="AC3523" s="3" cm="1">
        <f t="array" ref="AC3523">100000000/LvacE(AA3523)</f>
        <v>41023.486125355543</v>
      </c>
      <c r="AD3523" s="10">
        <f t="shared" ref="AD3523:AD3586" si="3041">0.0005/$AA3523*AC3523+0.005</f>
        <v>1.3417183984448109E-2</v>
      </c>
      <c r="AE3523" s="10" t="b">
        <f t="shared" ref="AE3523:AE3586" si="3042">ABS(AB3523-AC3523)&lt;AD3523</f>
        <v>1</v>
      </c>
      <c r="AJ3523" t="s">
        <v>4798</v>
      </c>
      <c r="AK3523" t="s">
        <v>4821</v>
      </c>
      <c r="AL3523">
        <v>21535.17</v>
      </c>
      <c r="AM3523">
        <v>62558.67</v>
      </c>
      <c r="AN3523" s="10" cm="1">
        <f t="array" ref="AN3523">Lair(100000000/($AM3523-$AL3523))</f>
        <v>2436.8881779448479</v>
      </c>
      <c r="AO3523" s="10">
        <f t="shared" si="3033"/>
        <v>2437.6272136702132</v>
      </c>
      <c r="AP3523" s="12">
        <v>115000000</v>
      </c>
      <c r="AQ3523" s="3">
        <v>0.28100000000000003</v>
      </c>
      <c r="AR3523" s="3">
        <f t="shared" si="3036"/>
        <v>-7.1180212491885362</v>
      </c>
      <c r="AS3523" s="13">
        <f t="shared" si="3034"/>
        <v>38.131941125053771</v>
      </c>
      <c r="AT3523" s="3">
        <f t="shared" si="3037"/>
        <v>1.3384671876586938</v>
      </c>
      <c r="AU3523" s="13" cm="1">
        <f t="array" ref="AU3523">$C3523*EXP(poly_from_str(100000000/$E3523,AU$4343))</f>
        <v>38.230783634981876</v>
      </c>
      <c r="AV3523" s="13">
        <f t="shared" si="3038"/>
        <v>-2.5887647524312487E-3</v>
      </c>
      <c r="AW3523" s="13"/>
      <c r="AX3523" s="13"/>
      <c r="AY3523" s="13"/>
    </row>
    <row r="3524" spans="1:51" x14ac:dyDescent="0.25">
      <c r="A3524" t="s">
        <v>3973</v>
      </c>
      <c r="B3524" s="2" t="str">
        <f t="shared" si="3035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3029"/>
        <v>e</v>
      </c>
      <c r="N3524" t="str">
        <f t="shared" si="3030"/>
        <v>5/2</v>
      </c>
      <c r="O3524">
        <v>68492.429999999993</v>
      </c>
      <c r="P3524" t="str">
        <f t="shared" si="3031"/>
        <v>o</v>
      </c>
      <c r="Q3524" t="str">
        <f t="shared" si="3032"/>
        <v>7/2</v>
      </c>
      <c r="R3524">
        <v>33</v>
      </c>
      <c r="AA3524" s="10">
        <f t="shared" si="3039"/>
        <v>2435.9070000000002</v>
      </c>
      <c r="AB3524" s="3">
        <f t="shared" si="3040"/>
        <v>41040.019999999997</v>
      </c>
      <c r="AC3524" s="3" cm="1">
        <f t="array" ref="AC3524">100000000/LvacE(AA3524)</f>
        <v>41040.022910041</v>
      </c>
      <c r="AD3524" s="10">
        <f t="shared" si="3041"/>
        <v>1.3423971627414551E-2</v>
      </c>
      <c r="AE3524" s="10" t="b">
        <f t="shared" si="3042"/>
        <v>1</v>
      </c>
      <c r="AJ3524" t="s">
        <v>4783</v>
      </c>
      <c r="AK3524" t="s">
        <v>4831</v>
      </c>
      <c r="AL3524">
        <v>27452.45</v>
      </c>
      <c r="AM3524">
        <v>68492.429999999993</v>
      </c>
      <c r="AN3524" s="10" cm="1">
        <f t="array" ref="AN3524">Lair(100000000/($AM3524-$AL3524))</f>
        <v>2435.9095493045511</v>
      </c>
      <c r="AO3524" s="10">
        <f t="shared" si="3033"/>
        <v>2436.6483609397474</v>
      </c>
      <c r="AP3524" s="12">
        <v>240000000</v>
      </c>
      <c r="AQ3524" s="3">
        <v>0.51900000000000002</v>
      </c>
      <c r="AR3524" s="3">
        <f t="shared" si="3036"/>
        <v>-7.85265338648935</v>
      </c>
      <c r="AS3524" s="13">
        <f t="shared" si="3034"/>
        <v>51.00130670179945</v>
      </c>
      <c r="AT3524" s="3">
        <f t="shared" si="3037"/>
        <v>1.6292661610059633</v>
      </c>
      <c r="AU3524" s="13" cm="1">
        <f t="array" ref="AU3524">$C3524*EXP(poly_from_str(100000000/$E3524,AU$4343))</f>
        <v>38.287265345083703</v>
      </c>
      <c r="AV3524" s="13">
        <f t="shared" si="3038"/>
        <v>0.28673391062036102</v>
      </c>
      <c r="AW3524" s="13"/>
      <c r="AX3524" s="13"/>
      <c r="AY3524" s="13"/>
    </row>
    <row r="3525" spans="1:51" x14ac:dyDescent="0.25">
      <c r="A3525" t="s">
        <v>3974</v>
      </c>
      <c r="B3525" s="2" t="str">
        <f t="shared" si="3035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3039"/>
        <v>2435.7759999999998</v>
      </c>
      <c r="AB3525" s="3">
        <f t="shared" si="3040"/>
        <v>41042.230000000003</v>
      </c>
      <c r="AC3525" s="3" cm="1">
        <f t="array" ref="AC3525">100000000/LvacE(AA3525)</f>
        <v>41042.229945196486</v>
      </c>
      <c r="AD3525" s="10">
        <f t="shared" si="3041"/>
        <v>1.3424877727918432E-2</v>
      </c>
      <c r="AE3525" s="10" t="b">
        <f t="shared" si="3042"/>
        <v>1</v>
      </c>
      <c r="AP3525"/>
      <c r="AQ3525"/>
      <c r="AU3525" s="13" cm="1">
        <f t="array" ref="AU3525">$C3525*EXP(poly_from_str(100000000/$E3525,AU$4343))</f>
        <v>7.6589691017723061</v>
      </c>
    </row>
    <row r="3526" spans="1:51" x14ac:dyDescent="0.25">
      <c r="A3526" t="s">
        <v>3975</v>
      </c>
      <c r="B3526" s="2" t="str">
        <f t="shared" si="3035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3043">$G3526&amp;""</f>
        <v>e</v>
      </c>
      <c r="N3526" t="str">
        <f t="shared" ref="N3526:N3536" si="3044">$H3526&amp;""</f>
        <v>7/2</v>
      </c>
      <c r="O3526">
        <v>63576.27</v>
      </c>
      <c r="P3526" t="str">
        <f t="shared" ref="P3526:P3536" si="3045">$J3526&amp;""</f>
        <v>o</v>
      </c>
      <c r="Q3526" t="str">
        <f t="shared" ref="Q3526:Q3536" si="3046">$K3526&amp;""</f>
        <v>5/2</v>
      </c>
      <c r="R3526">
        <v>33</v>
      </c>
      <c r="AA3526" s="10">
        <f t="shared" si="3039"/>
        <v>2435.402</v>
      </c>
      <c r="AB3526" s="3">
        <f t="shared" si="3040"/>
        <v>41048.53</v>
      </c>
      <c r="AC3526" s="3" cm="1">
        <f t="array" ref="AC3526">100000000/LvacE(AA3526)</f>
        <v>41048.532252697696</v>
      </c>
      <c r="AD3526" s="10">
        <f t="shared" si="3041"/>
        <v>1.3427465414887912E-2</v>
      </c>
      <c r="AE3526" s="10" t="b">
        <f t="shared" si="3042"/>
        <v>1</v>
      </c>
      <c r="AJ3526" t="s">
        <v>4799</v>
      </c>
      <c r="AK3526" t="s">
        <v>4843</v>
      </c>
      <c r="AL3526">
        <v>22527.7</v>
      </c>
      <c r="AM3526">
        <v>63576.27</v>
      </c>
      <c r="AN3526" s="10" cm="1">
        <f t="array" ref="AN3526">Lair(100000000/($AM3526-$AL3526))</f>
        <v>2435.3997625170614</v>
      </c>
      <c r="AO3526" s="10">
        <f t="shared" ref="AO3526:AO3536" si="3047">100000000/($AM3526-$AL3526)</f>
        <v>2436.1384574420013</v>
      </c>
      <c r="AP3526" s="12">
        <v>13700000</v>
      </c>
      <c r="AQ3526" s="3">
        <v>4.2999999999999997E-2</v>
      </c>
      <c r="AR3526" s="3"/>
      <c r="AS3526" s="13">
        <f t="shared" ref="AS3526:AS3536" si="3048">EXP(AR$4341*$AM3526+AR$4342)*$AP3526/(100000000/($AM3526-$AL3526))</f>
        <v>4.2112492125640113</v>
      </c>
      <c r="AT3526" s="3"/>
      <c r="AU3526" s="13" cm="1">
        <f t="array" ref="AU3526">$C3526*EXP(poly_from_str(100000000/$E3526,AU$4343))</f>
        <v>11.494947592085039</v>
      </c>
      <c r="AV3526" s="13"/>
      <c r="AW3526" s="13"/>
      <c r="AX3526" s="13"/>
      <c r="AY3526" s="13"/>
    </row>
    <row r="3527" spans="1:51" x14ac:dyDescent="0.25">
      <c r="A3527" t="s">
        <v>3976</v>
      </c>
      <c r="B3527" s="2" t="str">
        <f t="shared" si="3035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3043"/>
        <v>e</v>
      </c>
      <c r="N3527" t="str">
        <f t="shared" si="3044"/>
        <v>13/2</v>
      </c>
      <c r="O3527">
        <v>60419.73</v>
      </c>
      <c r="P3527" t="str">
        <f t="shared" si="3045"/>
        <v>o</v>
      </c>
      <c r="Q3527" t="str">
        <f t="shared" si="3046"/>
        <v>11/2</v>
      </c>
      <c r="R3527">
        <v>33</v>
      </c>
      <c r="AA3527" s="10">
        <f t="shared" si="3039"/>
        <v>2434.7429999999999</v>
      </c>
      <c r="AB3527" s="3">
        <f t="shared" si="3040"/>
        <v>41059.64</v>
      </c>
      <c r="AC3527" s="3" cm="1">
        <f t="array" ref="AC3527">100000000/LvacE(AA3527)</f>
        <v>41059.641831548513</v>
      </c>
      <c r="AD3527" s="10">
        <f t="shared" si="3041"/>
        <v>1.3432027904289798E-2</v>
      </c>
      <c r="AE3527" s="10" t="b">
        <f t="shared" si="3042"/>
        <v>1</v>
      </c>
      <c r="AJ3527" t="s">
        <v>4748</v>
      </c>
      <c r="AK3527" t="s">
        <v>4849</v>
      </c>
      <c r="AL3527">
        <v>19360.099999999999</v>
      </c>
      <c r="AM3527">
        <v>60419.73</v>
      </c>
      <c r="AN3527" s="10" cm="1">
        <f t="array" ref="AN3527">Lair(100000000/($AM3527-$AL3527))</f>
        <v>2434.7437038720955</v>
      </c>
      <c r="AO3527" s="10">
        <f t="shared" si="3047"/>
        <v>2435.4822486223084</v>
      </c>
      <c r="AP3527" s="12">
        <v>45600000</v>
      </c>
      <c r="AQ3527" s="3">
        <v>5.3999999999999999E-2</v>
      </c>
      <c r="AR3527" s="3">
        <f t="shared" ref="AR3527:AR3530" si="3049">LN(AU3527*100000000/($AM3527-$AL3527)/AP3527)</f>
        <v>-6.7014640556797618</v>
      </c>
      <c r="AS3527" s="13">
        <f t="shared" si="3048"/>
        <v>17.768526401040837</v>
      </c>
      <c r="AT3527" s="3">
        <f t="shared" ref="AT3527:AT3536" si="3050">LN(AS3527/$C3527)</f>
        <v>1.0856692432782609</v>
      </c>
      <c r="AU3527" s="13" cm="1">
        <f t="array" ref="AU3527">$C3527*EXP(poly_from_str(100000000/$E3527,AU$4343))</f>
        <v>23.012882186086308</v>
      </c>
      <c r="AV3527" s="13">
        <f t="shared" ref="AV3527:AV3530" si="3051">LN(AS3527/AU3527)</f>
        <v>-0.25862544167537754</v>
      </c>
      <c r="AW3527" s="13"/>
      <c r="AX3527" s="13"/>
      <c r="AY3527" s="13"/>
    </row>
    <row r="3528" spans="1:51" x14ac:dyDescent="0.25">
      <c r="A3528" t="s">
        <v>3977</v>
      </c>
      <c r="B3528" s="2" t="str">
        <f t="shared" si="3035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3043"/>
        <v>e</v>
      </c>
      <c r="N3528" t="str">
        <f t="shared" si="3044"/>
        <v>7/2</v>
      </c>
      <c r="O3528">
        <v>63593.35</v>
      </c>
      <c r="P3528" t="str">
        <f t="shared" si="3045"/>
        <v>o</v>
      </c>
      <c r="Q3528" t="str">
        <f t="shared" si="3046"/>
        <v>9/2</v>
      </c>
      <c r="R3528">
        <v>33</v>
      </c>
      <c r="AA3528" s="10">
        <f t="shared" si="3039"/>
        <v>2434.3870000000002</v>
      </c>
      <c r="AB3528" s="3">
        <f t="shared" si="3040"/>
        <v>41065.65</v>
      </c>
      <c r="AC3528" s="3" cm="1">
        <f t="array" ref="AC3528">100000000/LvacE(AA3528)</f>
        <v>41065.645866207647</v>
      </c>
      <c r="AD3528" s="10">
        <f t="shared" si="3041"/>
        <v>1.3434494159352571E-2</v>
      </c>
      <c r="AE3528" s="10" t="b">
        <f t="shared" si="3042"/>
        <v>1</v>
      </c>
      <c r="AJ3528" t="s">
        <v>4799</v>
      </c>
      <c r="AK3528" t="s">
        <v>4840</v>
      </c>
      <c r="AL3528">
        <v>22527.7</v>
      </c>
      <c r="AM3528">
        <v>63593.35</v>
      </c>
      <c r="AN3528" s="10" cm="1">
        <f t="array" ref="AN3528">Lair(100000000/($AM3528-$AL3528))</f>
        <v>2434.3867571722585</v>
      </c>
      <c r="AO3528" s="10">
        <f t="shared" si="3047"/>
        <v>2435.1252202266373</v>
      </c>
      <c r="AP3528" s="12">
        <v>211000000</v>
      </c>
      <c r="AQ3528" s="3">
        <v>0.26</v>
      </c>
      <c r="AR3528" s="3">
        <f t="shared" si="3049"/>
        <v>-7.7221933085694934</v>
      </c>
      <c r="AS3528" s="13">
        <f t="shared" si="3048"/>
        <v>64.803255198673284</v>
      </c>
      <c r="AT3528" s="3">
        <f t="shared" si="3050"/>
        <v>1.8687707436498979</v>
      </c>
      <c r="AU3528" s="13" cm="1">
        <f t="array" ref="AU3528">$C3528*EXP(poly_from_str(100000000/$E3528,AU$4343))</f>
        <v>38.375603168584718</v>
      </c>
      <c r="AV3528" s="13">
        <f t="shared" si="3051"/>
        <v>0.52393391311196902</v>
      </c>
      <c r="AW3528" s="13"/>
      <c r="AX3528" s="13"/>
      <c r="AY3528" s="13"/>
    </row>
    <row r="3529" spans="1:51" x14ac:dyDescent="0.25">
      <c r="A3529" t="s">
        <v>3978</v>
      </c>
      <c r="B3529" s="2" t="str">
        <f t="shared" si="3035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3043"/>
        <v>e</v>
      </c>
      <c r="N3529" t="str">
        <f t="shared" si="3044"/>
        <v>9/2</v>
      </c>
      <c r="O3529">
        <v>63816.91</v>
      </c>
      <c r="P3529" t="str">
        <f t="shared" si="3045"/>
        <v>o</v>
      </c>
      <c r="Q3529" t="str">
        <f t="shared" si="3046"/>
        <v>11/2</v>
      </c>
      <c r="R3529">
        <v>33</v>
      </c>
      <c r="AA3529" s="10">
        <f t="shared" si="3039"/>
        <v>2434.1779999999999</v>
      </c>
      <c r="AB3529" s="3">
        <f t="shared" si="3040"/>
        <v>41069.17</v>
      </c>
      <c r="AC3529" s="3" cm="1">
        <f t="array" ref="AC3529">100000000/LvacE(AA3529)</f>
        <v>41069.171524814265</v>
      </c>
      <c r="AD3529" s="10">
        <f t="shared" si="3041"/>
        <v>1.3435942549150939E-2</v>
      </c>
      <c r="AE3529" s="10" t="b">
        <f t="shared" si="3042"/>
        <v>1</v>
      </c>
      <c r="AJ3529" t="s">
        <v>4797</v>
      </c>
      <c r="AK3529" t="s">
        <v>4928</v>
      </c>
      <c r="AL3529">
        <v>22747.69</v>
      </c>
      <c r="AM3529">
        <v>63816.91</v>
      </c>
      <c r="AN3529" s="10" cm="1">
        <f t="array" ref="AN3529">Lair(100000000/($AM3529-$AL3529))</f>
        <v>2434.1751289030358</v>
      </c>
      <c r="AO3529" s="10">
        <f t="shared" si="3047"/>
        <v>2434.9135435248099</v>
      </c>
      <c r="AP3529" s="12">
        <v>93800000</v>
      </c>
      <c r="AQ3529" s="3">
        <v>0.30099999999999999</v>
      </c>
      <c r="AR3529" s="3">
        <f t="shared" si="3049"/>
        <v>-6.9112689257675717</v>
      </c>
      <c r="AS3529" s="13">
        <f t="shared" si="3048"/>
        <v>28.33143698758208</v>
      </c>
      <c r="AT3529" s="3">
        <f t="shared" si="3050"/>
        <v>1.0413869427382145</v>
      </c>
      <c r="AU3529" s="13" cm="1">
        <f t="array" ref="AU3529">$C3529*EXP(poly_from_str(100000000/$E3529,AU$4343))</f>
        <v>38.387809914858686</v>
      </c>
      <c r="AV3529" s="13">
        <f t="shared" si="3051"/>
        <v>-0.3037679233295727</v>
      </c>
      <c r="AW3529" s="13"/>
      <c r="AX3529" s="13"/>
      <c r="AY3529" s="13"/>
    </row>
    <row r="3530" spans="1:51" x14ac:dyDescent="0.25">
      <c r="A3530" t="s">
        <v>3979</v>
      </c>
      <c r="B3530" s="2" t="str">
        <f t="shared" si="3035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3043"/>
        <v>o</v>
      </c>
      <c r="N3530" t="str">
        <f t="shared" si="3044"/>
        <v>9/2</v>
      </c>
      <c r="O3530">
        <v>102435.67</v>
      </c>
      <c r="P3530" t="str">
        <f t="shared" si="3045"/>
        <v>e</v>
      </c>
      <c r="Q3530" t="str">
        <f t="shared" si="3046"/>
        <v>11/2</v>
      </c>
      <c r="R3530">
        <v>33</v>
      </c>
      <c r="AA3530" s="10">
        <f t="shared" si="3039"/>
        <v>2433.6190000000001</v>
      </c>
      <c r="AB3530" s="3">
        <f t="shared" si="3040"/>
        <v>41078.6</v>
      </c>
      <c r="AC3530" s="3" cm="1">
        <f t="array" ref="AC3530">100000000/LvacE(AA3530)</f>
        <v>41078.604371831992</v>
      </c>
      <c r="AD3530" s="10">
        <f t="shared" si="3041"/>
        <v>1.3439818305953397E-2</v>
      </c>
      <c r="AE3530" s="10" t="b">
        <f t="shared" si="3042"/>
        <v>1</v>
      </c>
      <c r="AJ3530" t="s">
        <v>4903</v>
      </c>
      <c r="AK3530" t="s">
        <v>4950</v>
      </c>
      <c r="AL3530">
        <v>61357.04</v>
      </c>
      <c r="AM3530">
        <v>102435.67</v>
      </c>
      <c r="AN3530" s="10" cm="1">
        <f t="array" ref="AN3530">Lair(100000000/($AM3530-$AL3530))</f>
        <v>2433.6174838579104</v>
      </c>
      <c r="AO3530" s="10">
        <f t="shared" si="3047"/>
        <v>2434.3557708716189</v>
      </c>
      <c r="AP3530" s="12">
        <v>159000000</v>
      </c>
      <c r="AQ3530" s="3">
        <v>0.157</v>
      </c>
      <c r="AR3530" s="3">
        <f t="shared" si="3049"/>
        <v>-9.7409685879272949</v>
      </c>
      <c r="AS3530" s="13">
        <f t="shared" si="3048"/>
        <v>2.6477962025505248</v>
      </c>
      <c r="AT3530" s="3">
        <f t="shared" si="3050"/>
        <v>0.9737276723299404</v>
      </c>
      <c r="AU3530" s="13" cm="1">
        <f t="array" ref="AU3530">$C3530*EXP(poly_from_str(100000000/$E3530,AU$4343))</f>
        <v>3.8420602348988009</v>
      </c>
      <c r="AV3530" s="13">
        <f t="shared" si="3051"/>
        <v>-0.37228106989946053</v>
      </c>
      <c r="AW3530" s="13"/>
      <c r="AX3530" s="13"/>
      <c r="AY3530" s="13"/>
    </row>
    <row r="3531" spans="1:51" x14ac:dyDescent="0.25">
      <c r="A3531" t="s">
        <v>3980</v>
      </c>
      <c r="B3531" s="2" t="str">
        <f t="shared" si="3035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3043"/>
        <v>e</v>
      </c>
      <c r="N3531" t="str">
        <f t="shared" si="3044"/>
        <v>11/2</v>
      </c>
      <c r="O3531">
        <v>71592.34</v>
      </c>
      <c r="P3531" t="str">
        <f t="shared" si="3045"/>
        <v>o</v>
      </c>
      <c r="Q3531" t="str">
        <f t="shared" si="3046"/>
        <v>9/2</v>
      </c>
      <c r="R3531">
        <v>33</v>
      </c>
      <c r="AA3531" s="10">
        <f t="shared" si="3039"/>
        <v>2433.1419999999998</v>
      </c>
      <c r="AB3531" s="3">
        <f t="shared" si="3040"/>
        <v>41086.660000000003</v>
      </c>
      <c r="AC3531" s="3" cm="1">
        <f t="array" ref="AC3531">100000000/LvacE(AA3531)</f>
        <v>41086.656936337982</v>
      </c>
      <c r="AD3531" s="10">
        <f t="shared" si="3041"/>
        <v>1.3443127638324847E-2</v>
      </c>
      <c r="AE3531" s="10" t="b">
        <f t="shared" si="3042"/>
        <v>1</v>
      </c>
      <c r="AJ3531" t="s">
        <v>4706</v>
      </c>
      <c r="AK3531" t="s">
        <v>4881</v>
      </c>
      <c r="AL3531">
        <v>30505.72</v>
      </c>
      <c r="AM3531">
        <v>71592.34</v>
      </c>
      <c r="AN3531" s="10" cm="1">
        <f t="array" ref="AN3531">Lair(100000000/($AM3531-$AL3531))</f>
        <v>2433.1441897953441</v>
      </c>
      <c r="AO3531" s="10">
        <f t="shared" si="3047"/>
        <v>2433.8823685180241</v>
      </c>
      <c r="AP3531" s="12">
        <v>47600000</v>
      </c>
      <c r="AQ3531" s="3">
        <v>3.4000000000000002E-2</v>
      </c>
      <c r="AR3531" s="3"/>
      <c r="AS3531" s="13">
        <f t="shared" si="3048"/>
        <v>8.0248477589272209</v>
      </c>
      <c r="AT3531" s="3"/>
      <c r="AU3531" s="13" cm="1">
        <f t="array" ref="AU3531">$C3531*EXP(poly_from_str(100000000/$E3531,AU$4343))</f>
        <v>11.534621064965961</v>
      </c>
      <c r="AV3531" s="13"/>
      <c r="AW3531" s="13"/>
      <c r="AX3531" s="13"/>
      <c r="AY3531" s="13"/>
    </row>
    <row r="3532" spans="1:51" x14ac:dyDescent="0.25">
      <c r="A3532" t="s">
        <v>3981</v>
      </c>
      <c r="B3532" s="2" t="str">
        <f t="shared" si="3035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3043"/>
        <v>e</v>
      </c>
      <c r="N3532" t="str">
        <f t="shared" si="3044"/>
        <v>5/2</v>
      </c>
      <c r="O3532">
        <v>75614.81</v>
      </c>
      <c r="P3532" t="str">
        <f t="shared" si="3045"/>
        <v>o</v>
      </c>
      <c r="Q3532" t="str">
        <f t="shared" si="3046"/>
        <v>5/2</v>
      </c>
      <c r="R3532">
        <v>33</v>
      </c>
      <c r="AA3532" s="10">
        <f t="shared" si="3039"/>
        <v>2432.6779999999999</v>
      </c>
      <c r="AB3532" s="3">
        <f t="shared" si="3040"/>
        <v>41094.49</v>
      </c>
      <c r="AC3532" s="3" cm="1">
        <f t="array" ref="AC3532">100000000/LvacE(AA3532)</f>
        <v>41094.493068443371</v>
      </c>
      <c r="AD3532" s="10">
        <f t="shared" si="3041"/>
        <v>1.3446348647137715E-2</v>
      </c>
      <c r="AE3532" s="10" t="b">
        <f t="shared" si="3042"/>
        <v>1</v>
      </c>
      <c r="AJ3532" t="s">
        <v>4722</v>
      </c>
      <c r="AK3532" t="s">
        <v>4947</v>
      </c>
      <c r="AL3532">
        <v>34520.269999999997</v>
      </c>
      <c r="AM3532">
        <v>75614.81</v>
      </c>
      <c r="AN3532" s="10" cm="1">
        <f t="array" ref="AN3532">Lair(100000000/($AM3532-$AL3532))</f>
        <v>2432.6752238589706</v>
      </c>
      <c r="AO3532" s="10">
        <f t="shared" si="3047"/>
        <v>2433.4132952942168</v>
      </c>
      <c r="AP3532" s="12">
        <v>184000000</v>
      </c>
      <c r="AQ3532" s="3">
        <v>0.22700000000000001</v>
      </c>
      <c r="AR3532" s="3">
        <f t="shared" ref="AR3532:AR3536" si="3052">LN(AU3532*100000000/($AM3532-$AL3532)/AP3532)</f>
        <v>-7.9400321339614424</v>
      </c>
      <c r="AS3532" s="13">
        <f t="shared" si="3048"/>
        <v>22.941903808429593</v>
      </c>
      <c r="AT3532" s="3">
        <f t="shared" si="3050"/>
        <v>1.1870549499795946</v>
      </c>
      <c r="AU3532" s="13" cm="1">
        <f t="array" ref="AU3532">$C3532*EXP(poly_from_str(100000000/$E3532,AU$4343))</f>
        <v>26.93331463472779</v>
      </c>
      <c r="AV3532" s="13">
        <f t="shared" ref="AV3532:AV3536" si="3053">LN(AS3532/AU3532)</f>
        <v>-0.1603988835686348</v>
      </c>
      <c r="AW3532" s="13"/>
      <c r="AX3532" s="13"/>
      <c r="AY3532" s="13"/>
    </row>
    <row r="3533" spans="1:51" x14ac:dyDescent="0.25">
      <c r="A3533" t="s">
        <v>3982</v>
      </c>
      <c r="B3533" s="2" t="str">
        <f t="shared" si="3035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3043"/>
        <v>o</v>
      </c>
      <c r="N3533" t="str">
        <f t="shared" si="3044"/>
        <v>11/2</v>
      </c>
      <c r="O3533">
        <v>103344.35</v>
      </c>
      <c r="P3533" t="str">
        <f t="shared" si="3045"/>
        <v>e</v>
      </c>
      <c r="Q3533" t="str">
        <f t="shared" si="3046"/>
        <v>11/2</v>
      </c>
      <c r="R3533">
        <v>33</v>
      </c>
      <c r="AA3533" s="10">
        <f t="shared" si="3039"/>
        <v>2432.1460000000002</v>
      </c>
      <c r="AB3533" s="3">
        <f t="shared" si="3040"/>
        <v>41103.480000000003</v>
      </c>
      <c r="AC3533" s="3" cm="1">
        <f t="array" ref="AC3533">100000000/LvacE(AA3533)</f>
        <v>41103.481277973813</v>
      </c>
      <c r="AD3533" s="10">
        <f t="shared" si="3041"/>
        <v>1.3450043968983319E-2</v>
      </c>
      <c r="AE3533" s="10" t="b">
        <f t="shared" si="3042"/>
        <v>1</v>
      </c>
      <c r="AJ3533" t="s">
        <v>4892</v>
      </c>
      <c r="AK3533" t="s">
        <v>4904</v>
      </c>
      <c r="AL3533">
        <v>62240.83</v>
      </c>
      <c r="AM3533">
        <v>103344.35</v>
      </c>
      <c r="AN3533" s="10" cm="1">
        <f t="array" ref="AN3533">Lair(100000000/($AM3533-$AL3533))</f>
        <v>2432.1437108887299</v>
      </c>
      <c r="AO3533" s="10">
        <f t="shared" si="3047"/>
        <v>2432.8816607434105</v>
      </c>
      <c r="AP3533" s="12">
        <v>389000000</v>
      </c>
      <c r="AQ3533" s="3">
        <v>6.5000000000000002E-2</v>
      </c>
      <c r="AR3533" s="3">
        <f t="shared" si="3052"/>
        <v>-9.9408360386129324</v>
      </c>
      <c r="AS3533" s="13">
        <f t="shared" si="3048"/>
        <v>6.0545802493329228</v>
      </c>
      <c r="AT3533" s="3">
        <f t="shared" si="3050"/>
        <v>1.1076678710583334</v>
      </c>
      <c r="AU3533" s="13" cm="1">
        <f t="array" ref="AU3533">$C3533*EXP(poly_from_str(100000000/$E3533,AU$4343))</f>
        <v>7.7015542612705659</v>
      </c>
      <c r="AV3533" s="13">
        <f t="shared" si="3053"/>
        <v>-0.24060710898502316</v>
      </c>
      <c r="AW3533" s="13"/>
      <c r="AX3533" s="13"/>
      <c r="AY3533" s="13"/>
    </row>
    <row r="3534" spans="1:51" x14ac:dyDescent="0.25">
      <c r="A3534" t="s">
        <v>3983</v>
      </c>
      <c r="B3534" s="2" t="str">
        <f t="shared" si="3035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3043"/>
        <v>e</v>
      </c>
      <c r="N3534" t="str">
        <f t="shared" si="3044"/>
        <v>11/2</v>
      </c>
      <c r="O3534">
        <v>60419.73</v>
      </c>
      <c r="P3534" t="str">
        <f t="shared" si="3045"/>
        <v>o</v>
      </c>
      <c r="Q3534" t="str">
        <f t="shared" si="3046"/>
        <v>11/2</v>
      </c>
      <c r="R3534">
        <v>33</v>
      </c>
      <c r="AA3534" s="10">
        <f t="shared" si="3039"/>
        <v>2431.7130000000002</v>
      </c>
      <c r="AB3534" s="3">
        <f t="shared" si="3040"/>
        <v>41110.800000000003</v>
      </c>
      <c r="AC3534" s="3" cm="1">
        <f t="array" ref="AC3534">100000000/LvacE(AA3534)</f>
        <v>41110.799772251616</v>
      </c>
      <c r="AD3534" s="10">
        <f t="shared" si="3041"/>
        <v>1.3453053417950972E-2</v>
      </c>
      <c r="AE3534" s="10" t="b">
        <f t="shared" si="3042"/>
        <v>1</v>
      </c>
      <c r="AJ3534" t="s">
        <v>4813</v>
      </c>
      <c r="AK3534" t="s">
        <v>4849</v>
      </c>
      <c r="AL3534">
        <v>19308.93</v>
      </c>
      <c r="AM3534">
        <v>60419.73</v>
      </c>
      <c r="AN3534" s="10" cm="1">
        <f t="array" ref="AN3534">Lair(100000000/($AM3534-$AL3534))</f>
        <v>2431.712988826549</v>
      </c>
      <c r="AO3534" s="10">
        <f t="shared" si="3047"/>
        <v>2432.4508401685202</v>
      </c>
      <c r="AP3534" s="12">
        <v>140000000</v>
      </c>
      <c r="AQ3534" s="3">
        <v>0.187</v>
      </c>
      <c r="AR3534" s="3">
        <f t="shared" si="3052"/>
        <v>-7.414328267575276</v>
      </c>
      <c r="AS3534" s="13">
        <f t="shared" si="3048"/>
        <v>54.620478632159418</v>
      </c>
      <c r="AT3534" s="3">
        <f t="shared" si="3050"/>
        <v>1.8031843016178404</v>
      </c>
      <c r="AU3534" s="13" cm="1">
        <f t="array" ref="AU3534">$C3534*EXP(poly_from_str(100000000/$E3534,AU$4343))</f>
        <v>34.680241263411659</v>
      </c>
      <c r="AV3534" s="13">
        <f t="shared" si="3053"/>
        <v>0.45423877022013714</v>
      </c>
      <c r="AW3534" s="13"/>
      <c r="AX3534" s="13"/>
      <c r="AY3534" s="13"/>
    </row>
    <row r="3535" spans="1:51" x14ac:dyDescent="0.25">
      <c r="A3535" t="s">
        <v>3984</v>
      </c>
      <c r="B3535" s="2" t="str">
        <f t="shared" si="3035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3043"/>
        <v>e</v>
      </c>
      <c r="N3535" t="str">
        <f t="shared" si="3044"/>
        <v>13/2</v>
      </c>
      <c r="O3535">
        <v>70381.48</v>
      </c>
      <c r="P3535" t="str">
        <f t="shared" si="3045"/>
        <v>o</v>
      </c>
      <c r="Q3535" t="str">
        <f t="shared" si="3046"/>
        <v>13/2</v>
      </c>
      <c r="R3535">
        <v>33</v>
      </c>
      <c r="AA3535" s="10">
        <f t="shared" si="3039"/>
        <v>2431.2600000000002</v>
      </c>
      <c r="AB3535" s="3">
        <f t="shared" si="3040"/>
        <v>41118.46</v>
      </c>
      <c r="AC3535" s="3" cm="1">
        <f t="array" ref="AC3535">100000000/LvacE(AA3535)</f>
        <v>41118.459092996673</v>
      </c>
      <c r="AD3535" s="10">
        <f t="shared" si="3041"/>
        <v>1.3456203592580939E-2</v>
      </c>
      <c r="AE3535" s="10" t="b">
        <f t="shared" si="3042"/>
        <v>1</v>
      </c>
      <c r="AJ3535" t="s">
        <v>4699</v>
      </c>
      <c r="AK3535" t="s">
        <v>4876</v>
      </c>
      <c r="AL3535">
        <v>29263.08</v>
      </c>
      <c r="AM3535">
        <v>70381.48</v>
      </c>
      <c r="AN3535" s="10" cm="1">
        <f t="array" ref="AN3535">Lair(100000000/($AM3535-$AL3535))</f>
        <v>2431.2634966364349</v>
      </c>
      <c r="AO3535" s="10">
        <f t="shared" si="3047"/>
        <v>2432.0012451846378</v>
      </c>
      <c r="AP3535" s="12">
        <v>369000000</v>
      </c>
      <c r="AQ3535" s="3">
        <v>0.63</v>
      </c>
      <c r="AR3535" s="3">
        <f t="shared" si="3052"/>
        <v>-8.5007467811844961</v>
      </c>
      <c r="AS3535" s="13">
        <f t="shared" si="3048"/>
        <v>68.17997426760455</v>
      </c>
      <c r="AT3535" s="3">
        <f t="shared" si="3050"/>
        <v>2.1427093476113188</v>
      </c>
      <c r="AU3535" s="13" cm="1">
        <f t="array" ref="AU3535">$C3535*EXP(poly_from_str(100000000/$E3535,AU$4343))</f>
        <v>30.848578322315902</v>
      </c>
      <c r="AV3535" s="13">
        <f t="shared" si="3053"/>
        <v>0.79306022355703787</v>
      </c>
      <c r="AW3535" s="13"/>
      <c r="AX3535" s="13"/>
      <c r="AY3535" s="13"/>
    </row>
    <row r="3536" spans="1:51" x14ac:dyDescent="0.25">
      <c r="A3536" t="s">
        <v>3985</v>
      </c>
      <c r="B3536" s="2" t="str">
        <f t="shared" si="3035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3043"/>
        <v>e</v>
      </c>
      <c r="N3536" t="str">
        <f t="shared" si="3044"/>
        <v>9/2</v>
      </c>
      <c r="O3536">
        <v>65922.42</v>
      </c>
      <c r="P3536" t="str">
        <f t="shared" si="3045"/>
        <v>o</v>
      </c>
      <c r="Q3536" t="str">
        <f t="shared" si="3046"/>
        <v>11/2</v>
      </c>
      <c r="R3536">
        <v>33</v>
      </c>
      <c r="AA3536" s="10">
        <f t="shared" si="3039"/>
        <v>2430.317</v>
      </c>
      <c r="AB3536" s="3">
        <f t="shared" si="3040"/>
        <v>41134.410000000003</v>
      </c>
      <c r="AC3536" s="3" cm="1">
        <f t="array" ref="AC3536">100000000/LvacE(AA3536)</f>
        <v>41134.41248740146</v>
      </c>
      <c r="AD3536" s="10">
        <f t="shared" si="3041"/>
        <v>1.346276689160333E-2</v>
      </c>
      <c r="AE3536" s="10" t="b">
        <f t="shared" si="3042"/>
        <v>1</v>
      </c>
      <c r="AJ3536" t="s">
        <v>4705</v>
      </c>
      <c r="AK3536" t="s">
        <v>4833</v>
      </c>
      <c r="AL3536">
        <v>24788.02</v>
      </c>
      <c r="AM3536">
        <v>65922.42</v>
      </c>
      <c r="AN3536" s="10" cm="1">
        <f t="array" ref="AN3536">Lair(100000000/($AM3536-$AL3536))</f>
        <v>2430.3177401683238</v>
      </c>
      <c r="AO3536" s="10">
        <f t="shared" si="3047"/>
        <v>2431.0552724726754</v>
      </c>
      <c r="AP3536" s="12">
        <v>270000000</v>
      </c>
      <c r="AQ3536" s="3">
        <v>0.48299999999999998</v>
      </c>
      <c r="AR3536" s="3">
        <f t="shared" si="3052"/>
        <v>-7.9641461963209998</v>
      </c>
      <c r="AS3536" s="13">
        <f t="shared" si="3048"/>
        <v>69.742037319305808</v>
      </c>
      <c r="AT3536" s="3">
        <f t="shared" si="3050"/>
        <v>1.9422181608939557</v>
      </c>
      <c r="AU3536" s="13" cm="1">
        <f t="array" ref="AU3536">$C3536*EXP(poly_from_str(100000000/$E3536,AU$4343))</f>
        <v>38.617502643784654</v>
      </c>
      <c r="AV3536" s="13">
        <f t="shared" si="3053"/>
        <v>0.59109764382094221</v>
      </c>
      <c r="AW3536" s="13"/>
      <c r="AX3536" s="13"/>
      <c r="AY3536" s="13"/>
    </row>
    <row r="3537" spans="1:51" x14ac:dyDescent="0.25">
      <c r="A3537" t="s">
        <v>3986</v>
      </c>
      <c r="B3537" s="2" t="str">
        <f t="shared" si="3035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3039"/>
        <v>2430.2170000000001</v>
      </c>
      <c r="AB3537" s="3">
        <f t="shared" si="3040"/>
        <v>41136.1</v>
      </c>
      <c r="AC3537" s="3" cm="1">
        <f t="array" ref="AC3537">100000000/LvacE(AA3537)</f>
        <v>41136.104983717698</v>
      </c>
      <c r="AD3537" s="10">
        <f t="shared" si="3041"/>
        <v>1.3463463341692881E-2</v>
      </c>
      <c r="AE3537" s="10" t="b">
        <f t="shared" si="3042"/>
        <v>1</v>
      </c>
      <c r="AP3537"/>
      <c r="AQ3537"/>
      <c r="AU3537" s="13" cm="1">
        <f t="array" ref="AU3537">$C3537*EXP(poly_from_str(100000000/$E3537,AU$4343))</f>
        <v>11.587063015871649</v>
      </c>
    </row>
    <row r="3538" spans="1:51" x14ac:dyDescent="0.25">
      <c r="A3538" t="s">
        <v>3987</v>
      </c>
      <c r="B3538" s="2" t="str">
        <f t="shared" si="3035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3054">$G3538&amp;""</f>
        <v>o</v>
      </c>
      <c r="N3538" t="str">
        <f t="shared" ref="N3538:N3539" si="3055">$H3538&amp;""</f>
        <v>7/2</v>
      </c>
      <c r="O3538">
        <v>101665.58</v>
      </c>
      <c r="P3538" t="str">
        <f t="shared" ref="P3538:P3539" si="3056">$J3538&amp;""</f>
        <v>e</v>
      </c>
      <c r="Q3538" t="str">
        <f t="shared" ref="Q3538:Q3539" si="3057">$K3538&amp;""</f>
        <v>5/2</v>
      </c>
      <c r="R3538">
        <v>33</v>
      </c>
      <c r="AA3538" s="10">
        <f t="shared" si="3039"/>
        <v>2429.6799999999998</v>
      </c>
      <c r="AB3538" s="3">
        <f t="shared" si="3040"/>
        <v>41145.199999999997</v>
      </c>
      <c r="AC3538" s="3" cm="1">
        <f t="array" ref="AC3538">100000000/LvacE(AA3538)</f>
        <v>41145.196071407969</v>
      </c>
      <c r="AD3538" s="10">
        <f t="shared" si="3041"/>
        <v>1.3467204749474822E-2</v>
      </c>
      <c r="AE3538" s="10" t="b">
        <f t="shared" si="3042"/>
        <v>1</v>
      </c>
      <c r="AJ3538" t="s">
        <v>4730</v>
      </c>
      <c r="AK3538" t="s">
        <v>4946</v>
      </c>
      <c r="AL3538">
        <v>60520.32</v>
      </c>
      <c r="AM3538">
        <v>101665.58</v>
      </c>
      <c r="AN3538" s="10" cm="1">
        <f t="array" ref="AN3538">Lair(100000000/($AM3538-$AL3538))</f>
        <v>2429.6762269939168</v>
      </c>
      <c r="AO3538" s="10">
        <f t="shared" ref="AO3538:AO3539" si="3058">100000000/($AM3538-$AL3538)</f>
        <v>2430.4136126494277</v>
      </c>
      <c r="AP3538" s="12">
        <v>229000000</v>
      </c>
      <c r="AQ3538" s="3">
        <v>0.317</v>
      </c>
      <c r="AR3538" s="3">
        <f>LN(AU3538*100000000/($AM3538-$AL3538)/AP3538)</f>
        <v>-10.101294970784277</v>
      </c>
      <c r="AS3538" s="13">
        <f t="shared" ref="AS3538:AS3539" si="3059">EXP(AR$4341*$AM3538+AR$4342)*$AP3538/(100000000/($AM3538-$AL3538))</f>
        <v>4.0469314618014307</v>
      </c>
      <c r="AT3538" s="3">
        <f t="shared" ref="AT3538" si="3060">LN(AS3538/$C3538)</f>
        <v>1.3979589301934709</v>
      </c>
      <c r="AU3538" s="13" cm="1">
        <f t="array" ref="AU3538">$C3538*EXP(poly_from_str(100000000/$E3538,AU$4343))</f>
        <v>3.8656152637334218</v>
      </c>
      <c r="AV3538" s="13">
        <f>LN(AS3538/AU3538)</f>
        <v>4.5838072276427694E-2</v>
      </c>
      <c r="AW3538" s="13"/>
      <c r="AX3538" s="13"/>
      <c r="AY3538" s="13"/>
    </row>
    <row r="3539" spans="1:51" x14ac:dyDescent="0.25">
      <c r="A3539" t="s">
        <v>3988</v>
      </c>
      <c r="B3539" s="2" t="str">
        <f t="shared" si="3035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3054"/>
        <v>e</v>
      </c>
      <c r="N3539" t="str">
        <f t="shared" si="3055"/>
        <v>9/2</v>
      </c>
      <c r="O3539">
        <v>65935.25</v>
      </c>
      <c r="P3539" t="str">
        <f t="shared" si="3056"/>
        <v>o</v>
      </c>
      <c r="Q3539" t="str">
        <f t="shared" si="3057"/>
        <v>7/2</v>
      </c>
      <c r="R3539">
        <v>33</v>
      </c>
      <c r="AA3539" s="10">
        <f t="shared" si="3039"/>
        <v>2429.5619999999999</v>
      </c>
      <c r="AB3539" s="3">
        <f t="shared" si="3040"/>
        <v>41147.19</v>
      </c>
      <c r="AC3539" s="3" cm="1">
        <f t="array" ref="AC3539">100000000/LvacE(AA3539)</f>
        <v>41147.194279067226</v>
      </c>
      <c r="AD3539" s="10">
        <f t="shared" si="3041"/>
        <v>1.3468027216236349E-2</v>
      </c>
      <c r="AE3539" s="10" t="b">
        <f t="shared" si="3042"/>
        <v>1</v>
      </c>
      <c r="AJ3539" t="s">
        <v>4705</v>
      </c>
      <c r="AK3539" t="s">
        <v>4858</v>
      </c>
      <c r="AL3539">
        <v>24788.02</v>
      </c>
      <c r="AM3539">
        <v>65935.25</v>
      </c>
      <c r="AN3539" s="10" cm="1">
        <f t="array" ref="AN3539">Lair(100000000/($AM3539-$AL3539))</f>
        <v>2429.5598930227652</v>
      </c>
      <c r="AO3539" s="10">
        <f t="shared" si="3058"/>
        <v>2430.2972520872004</v>
      </c>
      <c r="AP3539" s="12">
        <v>30400000</v>
      </c>
      <c r="AQ3539" s="3">
        <v>0.03</v>
      </c>
      <c r="AR3539" s="3"/>
      <c r="AS3539" s="13">
        <f t="shared" si="3059"/>
        <v>7.8473265674416526</v>
      </c>
      <c r="AT3539" s="3"/>
      <c r="AU3539" s="13" cm="1">
        <f t="array" ref="AU3539">$C3539*EXP(poly_from_str(100000000/$E3539,AU$4343))</f>
        <v>3.8663302271757449</v>
      </c>
      <c r="AV3539" s="13"/>
      <c r="AW3539" s="13"/>
      <c r="AX3539" s="13"/>
      <c r="AY3539" s="13"/>
    </row>
    <row r="3540" spans="1:51" x14ac:dyDescent="0.25">
      <c r="A3540" t="s">
        <v>3989</v>
      </c>
      <c r="B3540" s="2" t="str">
        <f t="shared" si="3035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3039"/>
        <v>2429.4920000000002</v>
      </c>
      <c r="AB3540" s="3">
        <f t="shared" si="3040"/>
        <v>41148.379999999997</v>
      </c>
      <c r="AC3540" s="3" cm="1">
        <f t="array" ref="AC3540">100000000/LvacE(AA3540)</f>
        <v>41148.379748205953</v>
      </c>
      <c r="AD3540" s="10">
        <f t="shared" si="3041"/>
        <v>1.3468515176877707E-2</v>
      </c>
      <c r="AE3540" s="10" t="b">
        <f t="shared" si="3042"/>
        <v>1</v>
      </c>
      <c r="AP3540"/>
      <c r="AQ3540"/>
      <c r="AU3540" s="13" cm="1">
        <f t="array" ref="AU3540">$C3540*EXP(poly_from_str(100000000/$E3540,AU$4343))</f>
        <v>3.8667580892197311</v>
      </c>
    </row>
    <row r="3541" spans="1:51" x14ac:dyDescent="0.25">
      <c r="A3541" t="s">
        <v>3990</v>
      </c>
      <c r="B3541" s="2" t="str">
        <f t="shared" si="3035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3061">$G3541&amp;""</f>
        <v>e</v>
      </c>
      <c r="N3541" t="str">
        <f t="shared" ref="N3541:N3545" si="3062">$H3541&amp;""</f>
        <v>11/2</v>
      </c>
      <c r="O3541">
        <v>68544.19</v>
      </c>
      <c r="P3541" t="str">
        <f t="shared" ref="P3541:P3545" si="3063">$J3541&amp;""</f>
        <v>o</v>
      </c>
      <c r="Q3541" t="str">
        <f t="shared" ref="Q3541:Q3545" si="3064">$K3541&amp;""</f>
        <v>9/2</v>
      </c>
      <c r="R3541">
        <v>33</v>
      </c>
      <c r="AA3541" s="10">
        <f t="shared" si="3039"/>
        <v>2428.5810000000001</v>
      </c>
      <c r="AB3541" s="3">
        <f t="shared" si="3040"/>
        <v>41163.81</v>
      </c>
      <c r="AC3541" s="3" cm="1">
        <f t="array" ref="AC3541">100000000/LvacE(AA3541)</f>
        <v>41163.814013348805</v>
      </c>
      <c r="AD3541" s="10">
        <f t="shared" si="3041"/>
        <v>1.3474869484145023E-2</v>
      </c>
      <c r="AE3541" s="10" t="b">
        <f t="shared" si="3042"/>
        <v>1</v>
      </c>
      <c r="AJ3541" t="s">
        <v>4712</v>
      </c>
      <c r="AK3541" t="s">
        <v>4901</v>
      </c>
      <c r="AL3541">
        <v>27380.31</v>
      </c>
      <c r="AM3541">
        <v>68544.19</v>
      </c>
      <c r="AN3541" s="10" cm="1">
        <f t="array" ref="AN3541">Lair(100000000/($AM3541-$AL3541))</f>
        <v>2428.5771090010148</v>
      </c>
      <c r="AO3541" s="10">
        <f t="shared" ref="AO3541:AO3545" si="3065">100000000/($AM3541-$AL3541)</f>
        <v>2429.3142434580996</v>
      </c>
      <c r="AP3541" s="12">
        <v>857000</v>
      </c>
      <c r="AQ3541" s="3">
        <v>2E-3</v>
      </c>
      <c r="AR3541" s="3"/>
      <c r="AS3541" s="13">
        <f t="shared" ref="AS3541:AS3542" si="3066">EXP(AR$4341*$AM3541+AR$4342)*$AP3541/(100000000/($AM3541-$AL3541))</f>
        <v>0.18195880007427712</v>
      </c>
      <c r="AT3541" s="3"/>
      <c r="AU3541" s="13" cm="1">
        <f t="array" ref="AU3541">$C3541*EXP(poly_from_str(100000000/$E3541,AU$4343))</f>
        <v>3.8723278943252115</v>
      </c>
      <c r="AV3541" s="13"/>
      <c r="AW3541" s="13"/>
      <c r="AX3541" s="13"/>
      <c r="AY3541" s="13"/>
    </row>
    <row r="3542" spans="1:51" x14ac:dyDescent="0.25">
      <c r="A3542" t="s">
        <v>3991</v>
      </c>
      <c r="B3542" s="2" t="str">
        <f t="shared" si="3035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3061"/>
        <v>e</v>
      </c>
      <c r="N3542" t="str">
        <f t="shared" si="3062"/>
        <v>7/2</v>
      </c>
      <c r="O3542">
        <v>68331.73</v>
      </c>
      <c r="P3542" t="str">
        <f t="shared" si="3063"/>
        <v>o</v>
      </c>
      <c r="Q3542" t="str">
        <f t="shared" si="3064"/>
        <v>7/2</v>
      </c>
      <c r="R3542">
        <v>33</v>
      </c>
      <c r="AA3542" s="10">
        <f t="shared" si="3039"/>
        <v>2426.8510000000001</v>
      </c>
      <c r="AB3542" s="3">
        <f t="shared" si="3040"/>
        <v>41193.160000000003</v>
      </c>
      <c r="AC3542" s="3" cm="1">
        <f t="array" ref="AC3542">100000000/LvacE(AA3542)</f>
        <v>41193.155760663503</v>
      </c>
      <c r="AD3542" s="10">
        <f t="shared" si="3041"/>
        <v>1.3486956092620336E-2</v>
      </c>
      <c r="AE3542" s="10" t="b">
        <f t="shared" si="3042"/>
        <v>1</v>
      </c>
      <c r="AJ3542" t="s">
        <v>4723</v>
      </c>
      <c r="AK3542" t="s">
        <v>4923</v>
      </c>
      <c r="AL3542">
        <v>27138.55</v>
      </c>
      <c r="AM3542">
        <v>68331.75</v>
      </c>
      <c r="AN3542" s="10" cm="1">
        <f t="array" ref="AN3542">Lair(100000000/($AM3542-$AL3542))</f>
        <v>2426.8483958942447</v>
      </c>
      <c r="AO3542" s="10">
        <f t="shared" si="3065"/>
        <v>2427.585135410699</v>
      </c>
      <c r="AP3542" s="12">
        <v>256000000</v>
      </c>
      <c r="AQ3542" s="3">
        <v>0.28399999999999997</v>
      </c>
      <c r="AR3542" s="3">
        <f>LN(AU3542*100000000/($AM3542-$AL3542)/AP3542)</f>
        <v>-7.9068328307793827</v>
      </c>
      <c r="AS3542" s="13">
        <f t="shared" si="3066"/>
        <v>55.266932784013882</v>
      </c>
      <c r="AT3542" s="3">
        <f t="shared" ref="AT3542" si="3067">LN(AS3542/$C3542)</f>
        <v>1.7095896761784817</v>
      </c>
      <c r="AU3542" s="13" cm="1">
        <f t="array" ref="AU3542">$C3542*EXP(poly_from_str(100000000/$E3542,AU$4343))</f>
        <v>38.830378871611281</v>
      </c>
      <c r="AV3542" s="13">
        <f>LN(AS3542/AU3542)</f>
        <v>0.35297186828852056</v>
      </c>
      <c r="AW3542" s="13"/>
      <c r="AX3542" s="13"/>
      <c r="AY3542" s="13"/>
    </row>
    <row r="3543" spans="1:51" x14ac:dyDescent="0.25">
      <c r="A3543" t="s">
        <v>3992</v>
      </c>
      <c r="B3543" s="2" t="str">
        <f t="shared" si="3035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3061"/>
        <v>o</v>
      </c>
      <c r="N3543" t="str">
        <f t="shared" si="3062"/>
        <v>11/2</v>
      </c>
      <c r="O3543">
        <v>105019.06</v>
      </c>
      <c r="P3543" t="str">
        <f t="shared" si="3063"/>
        <v>e</v>
      </c>
      <c r="Q3543" t="str">
        <f t="shared" si="3064"/>
        <v>13/2</v>
      </c>
      <c r="R3543">
        <v>33</v>
      </c>
      <c r="AA3543" s="10">
        <f t="shared" si="3039"/>
        <v>2426.3249999999998</v>
      </c>
      <c r="AB3543" s="3">
        <f t="shared" si="3040"/>
        <v>41202.080000000002</v>
      </c>
      <c r="AC3543" s="3" cm="1">
        <f t="array" ref="AC3543">100000000/LvacE(AA3543)</f>
        <v>41202.085302439642</v>
      </c>
      <c r="AD3543" s="10">
        <f t="shared" si="3041"/>
        <v>1.3490636106547896E-2</v>
      </c>
      <c r="AE3543" s="10" t="b">
        <f t="shared" si="3042"/>
        <v>1</v>
      </c>
      <c r="AJ3543" t="s">
        <v>4928</v>
      </c>
      <c r="AK3543" t="s">
        <v>4855</v>
      </c>
      <c r="AL3543">
        <v>63816.91</v>
      </c>
      <c r="AM3543">
        <v>105019.06</v>
      </c>
      <c r="AN3543" s="10" cm="1">
        <f t="array" ref="AN3543">Lair(100000000/($AM3543-$AL3543))</f>
        <v>2426.3211921953612</v>
      </c>
      <c r="AO3543" s="10">
        <f t="shared" si="3065"/>
        <v>2427.0578113035367</v>
      </c>
      <c r="AU3543" s="13" cm="1">
        <f t="array" ref="AU3543">$C3543*EXP(poly_from_str(100000000/$E3543,AU$4343))</f>
        <v>7.7726473748523786</v>
      </c>
    </row>
    <row r="3544" spans="1:51" x14ac:dyDescent="0.25">
      <c r="A3544" t="s">
        <v>3993</v>
      </c>
      <c r="B3544" s="2" t="str">
        <f t="shared" si="3035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3061"/>
        <v>e</v>
      </c>
      <c r="N3544" t="str">
        <f t="shared" si="3062"/>
        <v>7/2</v>
      </c>
      <c r="O3544">
        <v>64857.15</v>
      </c>
      <c r="P3544" t="str">
        <f t="shared" si="3063"/>
        <v>o</v>
      </c>
      <c r="Q3544" t="str">
        <f t="shared" si="3064"/>
        <v>9/2</v>
      </c>
      <c r="R3544">
        <v>33</v>
      </c>
      <c r="AA3544" s="10">
        <f t="shared" si="3039"/>
        <v>2426.1390000000001</v>
      </c>
      <c r="AB3544" s="3">
        <f t="shared" si="3040"/>
        <v>41205.24</v>
      </c>
      <c r="AC3544" s="3" cm="1">
        <f t="array" ref="AC3544">100000000/LvacE(AA3544)</f>
        <v>41205.243823582125</v>
      </c>
      <c r="AD3544" s="10">
        <f t="shared" si="3041"/>
        <v>1.3491937977086664E-2</v>
      </c>
      <c r="AE3544" s="10" t="b">
        <f t="shared" si="3042"/>
        <v>1</v>
      </c>
      <c r="AJ3544" t="s">
        <v>4759</v>
      </c>
      <c r="AK3544" t="s">
        <v>4854</v>
      </c>
      <c r="AL3544">
        <v>23651.88</v>
      </c>
      <c r="AM3544">
        <v>64857.15</v>
      </c>
      <c r="AN3544" s="10" cm="1">
        <f t="array" ref="AN3544">Lair(100000000/($AM3544-$AL3544))</f>
        <v>2426.1374610497451</v>
      </c>
      <c r="AO3544" s="10">
        <f t="shared" si="3065"/>
        <v>2426.8740381994826</v>
      </c>
      <c r="AP3544" s="12">
        <v>195000000</v>
      </c>
      <c r="AQ3544" s="3">
        <v>0.38100000000000001</v>
      </c>
      <c r="AR3544" s="3">
        <f t="shared" ref="AR3544:AR3545" si="3068">LN(AU3544*100000000/($AM3544-$AL3544)/AP3544)</f>
        <v>-7.6338016959133759</v>
      </c>
      <c r="AS3544" s="13">
        <f t="shared" ref="AS3544:AS3545" si="3069">EXP(AR$4341*$AM3544+AR$4342)*$AP3544/(100000000/($AM3544-$AL3544))</f>
        <v>54.65536181784725</v>
      </c>
      <c r="AT3544" s="3">
        <f t="shared" ref="AT3544:AT3545" si="3070">LN(AS3544/$C3544)</f>
        <v>1.6984622287618096</v>
      </c>
      <c r="AU3544" s="13" cm="1">
        <f t="array" ref="AU3544">$C3544*EXP(poly_from_str(100000000/$E3544,AU$4343))</f>
        <v>38.874912373583768</v>
      </c>
      <c r="AV3544" s="13">
        <f t="shared" ref="AV3544:AV3545" si="3071">LN(AS3544/AU3544)</f>
        <v>0.34069820531472039</v>
      </c>
      <c r="AW3544" s="13"/>
      <c r="AX3544" s="13"/>
      <c r="AY3544" s="13"/>
    </row>
    <row r="3545" spans="1:51" x14ac:dyDescent="0.25">
      <c r="A3545" t="s">
        <v>3994</v>
      </c>
      <c r="B3545" s="2" t="str">
        <f t="shared" si="3035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3061"/>
        <v>e</v>
      </c>
      <c r="N3545" t="str">
        <f t="shared" si="3062"/>
        <v>1/2</v>
      </c>
      <c r="O3545">
        <v>75409.58</v>
      </c>
      <c r="P3545" t="str">
        <f t="shared" si="3063"/>
        <v>o</v>
      </c>
      <c r="Q3545" t="str">
        <f t="shared" si="3064"/>
        <v>3/2</v>
      </c>
      <c r="R3545">
        <v>33</v>
      </c>
      <c r="AA3545" s="10">
        <f t="shared" si="3039"/>
        <v>2425.8049999999998</v>
      </c>
      <c r="AB3545" s="3">
        <f t="shared" si="3040"/>
        <v>41210.92</v>
      </c>
      <c r="AC3545" s="3" cm="1">
        <f t="array" ref="AC3545">100000000/LvacE(AA3545)</f>
        <v>41210.916792226941</v>
      </c>
      <c r="AD3545" s="10">
        <f t="shared" si="3041"/>
        <v>1.3494276496302658E-2</v>
      </c>
      <c r="AE3545" s="10" t="b">
        <f t="shared" si="3042"/>
        <v>1</v>
      </c>
      <c r="AJ3545" t="s">
        <v>4727</v>
      </c>
      <c r="AK3545" t="s">
        <v>4905</v>
      </c>
      <c r="AL3545">
        <v>34198.61</v>
      </c>
      <c r="AM3545">
        <v>75409.58</v>
      </c>
      <c r="AN3545" s="10" cm="1">
        <f t="array" ref="AN3545">Lair(100000000/($AM3545-$AL3545))</f>
        <v>2425.801870213289</v>
      </c>
      <c r="AO3545" s="10">
        <f t="shared" si="3065"/>
        <v>2426.5383707299293</v>
      </c>
      <c r="AP3545" s="12">
        <v>21200000</v>
      </c>
      <c r="AQ3545" s="3">
        <v>5.0999999999999997E-2</v>
      </c>
      <c r="AR3545" s="3">
        <f t="shared" si="3068"/>
        <v>-7.7169858354068017</v>
      </c>
      <c r="AS3545" s="13">
        <f t="shared" si="3069"/>
        <v>2.6919385556406188</v>
      </c>
      <c r="AT3545" s="3">
        <f t="shared" si="3070"/>
        <v>0.99026158672281595</v>
      </c>
      <c r="AU3545" s="13" cm="1">
        <f t="array" ref="AU3545">$C3545*EXP(poly_from_str(100000000/$E3545,AU$4343))</f>
        <v>3.8895945457555143</v>
      </c>
      <c r="AV3545" s="13">
        <f t="shared" si="3071"/>
        <v>-0.36804333559232605</v>
      </c>
      <c r="AW3545" s="13"/>
      <c r="AX3545" s="13"/>
      <c r="AY3545" s="13"/>
    </row>
    <row r="3546" spans="1:51" x14ac:dyDescent="0.25">
      <c r="A3546" t="s">
        <v>3995</v>
      </c>
      <c r="B3546" s="2" t="str">
        <f t="shared" si="3035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3039"/>
        <v>2425.63</v>
      </c>
      <c r="AB3546" s="3">
        <f t="shared" si="3040"/>
        <v>41213.89</v>
      </c>
      <c r="AC3546" s="3" cm="1">
        <f t="array" ref="AC3546">100000000/LvacE(AA3546)</f>
        <v>41213.889779672434</v>
      </c>
      <c r="AD3546" s="10">
        <f t="shared" si="3041"/>
        <v>1.3495502154012039E-2</v>
      </c>
      <c r="AE3546" s="10" t="b">
        <f t="shared" si="3042"/>
        <v>1</v>
      </c>
      <c r="AP3546"/>
      <c r="AQ3546"/>
      <c r="AU3546" s="13" cm="1">
        <f t="array" ref="AU3546">$C3546*EXP(poly_from_str(100000000/$E3546,AU$4343))</f>
        <v>3.8906967448401013</v>
      </c>
    </row>
    <row r="3547" spans="1:51" x14ac:dyDescent="0.25">
      <c r="A3547" t="s">
        <v>3996</v>
      </c>
      <c r="B3547" s="2" t="str">
        <f t="shared" si="3035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3039"/>
        <v>2425.4259999999999</v>
      </c>
      <c r="AB3547" s="3">
        <f t="shared" si="3040"/>
        <v>41217.360000000001</v>
      </c>
      <c r="AC3547" s="3" cm="1">
        <f t="array" ref="AC3547">100000000/LvacE(AA3547)</f>
        <v>41217.355975075116</v>
      </c>
      <c r="AD3547" s="10">
        <f t="shared" si="3041"/>
        <v>1.3496931255596978E-2</v>
      </c>
      <c r="AE3547" s="10" t="b">
        <f t="shared" si="3042"/>
        <v>1</v>
      </c>
      <c r="AJ3547" t="s">
        <v>4966</v>
      </c>
      <c r="AK3547" t="s">
        <v>4896</v>
      </c>
      <c r="AL3547">
        <v>23647.77</v>
      </c>
      <c r="AM3547">
        <v>64865.15</v>
      </c>
      <c r="AN3547" s="10" cm="1">
        <f t="array" ref="AN3547">Lair(100000000/($AM3547-$AL3547))</f>
        <v>2425.4245885839709</v>
      </c>
      <c r="AO3547" s="10">
        <f>100000000/($AM3547-$AL3547)</f>
        <v>2426.1610029555491</v>
      </c>
      <c r="AP3547" s="12">
        <v>14700000</v>
      </c>
      <c r="AQ3547" s="3">
        <v>4.4999999999999998E-2</v>
      </c>
      <c r="AR3547" s="3"/>
      <c r="AS3547" s="13">
        <f>EXP(AR$4341*$AM3547+AR$4342)*$AP3547/(100000000/($AM3547-$AL3547))</f>
        <v>4.1189106957399604</v>
      </c>
      <c r="AT3547" s="3"/>
      <c r="AU3547" s="13" cm="1">
        <f t="array" ref="AU3547">$C3547*EXP(poly_from_str(100000000/$E3547,AU$4343))</f>
        <v>7.7839732092642233</v>
      </c>
      <c r="AV3547" s="13"/>
      <c r="AW3547" s="13"/>
      <c r="AX3547" s="13"/>
      <c r="AY3547" s="13"/>
    </row>
    <row r="3548" spans="1:51" x14ac:dyDescent="0.25">
      <c r="A3548" t="s">
        <v>3997</v>
      </c>
      <c r="B3548" s="2" t="str">
        <f t="shared" si="3035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3039"/>
        <v>2425.0300000000002</v>
      </c>
      <c r="AB3548" s="3">
        <f t="shared" si="3040"/>
        <v>41224.089999999997</v>
      </c>
      <c r="AC3548" s="3" cm="1">
        <f t="array" ref="AC3548">100000000/LvacE(AA3548)</f>
        <v>41224.086136546073</v>
      </c>
      <c r="AD3548" s="10">
        <f t="shared" si="3041"/>
        <v>1.3499706423538281E-2</v>
      </c>
      <c r="AE3548" s="10" t="b">
        <f t="shared" si="3042"/>
        <v>1</v>
      </c>
      <c r="AP3548"/>
      <c r="AQ3548"/>
      <c r="AU3548" s="13" cm="1">
        <f t="array" ref="AU3548">$C3548*EXP(poly_from_str(100000000/$E3548,AU$4343))</f>
        <v>11.683484318968169</v>
      </c>
    </row>
    <row r="3549" spans="1:51" x14ac:dyDescent="0.25">
      <c r="A3549" t="s">
        <v>3998</v>
      </c>
      <c r="B3549" s="2" t="str">
        <f t="shared" si="3035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3039"/>
        <v>2424.8020000000001</v>
      </c>
      <c r="AB3549" s="3">
        <f t="shared" si="3040"/>
        <v>41227.96</v>
      </c>
      <c r="AC3549" s="3" cm="1">
        <f t="array" ref="AC3549">100000000/LvacE(AA3549)</f>
        <v>41227.962075029405</v>
      </c>
      <c r="AD3549" s="10">
        <f t="shared" si="3041"/>
        <v>1.3501304864279518E-2</v>
      </c>
      <c r="AE3549" s="10" t="b">
        <f t="shared" si="3042"/>
        <v>1</v>
      </c>
      <c r="AP3549"/>
      <c r="AQ3549"/>
      <c r="AU3549" s="13" cm="1">
        <f t="array" ref="AU3549">$C3549*EXP(poly_from_str(100000000/$E3549,AU$4343))</f>
        <v>23.375645879499157</v>
      </c>
    </row>
    <row r="3550" spans="1:51" x14ac:dyDescent="0.25">
      <c r="A3550" t="s">
        <v>3999</v>
      </c>
      <c r="B3550" s="2" t="str">
        <f t="shared" si="3035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3072">$G3550&amp;""</f>
        <v>e</v>
      </c>
      <c r="N3550" t="str">
        <f t="shared" ref="N3550:N3553" si="3073">$H3550&amp;""</f>
        <v>11/2</v>
      </c>
      <c r="O3550">
        <v>71736.45</v>
      </c>
      <c r="P3550" t="str">
        <f t="shared" ref="P3550:P3553" si="3074">$J3550&amp;""</f>
        <v>o</v>
      </c>
      <c r="Q3550" t="str">
        <f t="shared" ref="Q3550:Q3553" si="3075">$K3550&amp;""</f>
        <v>11/2</v>
      </c>
      <c r="R3550">
        <v>33</v>
      </c>
      <c r="AA3550" s="10">
        <f t="shared" si="3039"/>
        <v>2424.6419999999998</v>
      </c>
      <c r="AB3550" s="3">
        <f t="shared" si="3040"/>
        <v>41230.68</v>
      </c>
      <c r="AC3550" s="3" cm="1">
        <f t="array" ref="AC3550">100000000/LvacE(AA3550)</f>
        <v>41230.682467051927</v>
      </c>
      <c r="AD3550" s="10">
        <f t="shared" si="3041"/>
        <v>1.3502426846324515E-2</v>
      </c>
      <c r="AE3550" s="10" t="b">
        <f t="shared" si="3042"/>
        <v>1</v>
      </c>
      <c r="AJ3550" t="s">
        <v>4706</v>
      </c>
      <c r="AK3550" t="s">
        <v>4875</v>
      </c>
      <c r="AL3550">
        <v>30505.72</v>
      </c>
      <c r="AM3550">
        <v>71736.45</v>
      </c>
      <c r="AN3550" s="10" cm="1">
        <f t="array" ref="AN3550">Lair(100000000/($AM3550-$AL3550))</f>
        <v>2424.6392069822996</v>
      </c>
      <c r="AO3550" s="10">
        <f t="shared" ref="AO3550:AO3553" si="3076">100000000/($AM3550-$AL3550)</f>
        <v>2425.3754420549917</v>
      </c>
      <c r="AP3550" s="12">
        <v>113000000</v>
      </c>
      <c r="AQ3550" s="3">
        <v>0.28899999999999998</v>
      </c>
      <c r="AR3550" s="3">
        <f t="shared" ref="AR3550:AR3552" si="3077">LN(AU3550*100000000/($AM3550-$AL3550)/AP3550)</f>
        <v>-7.5972007486263271</v>
      </c>
      <c r="AS3550" s="13">
        <f t="shared" ref="AS3550:AS3553" si="3078">EXP(AR$4341*$AM3550+AR$4342)*$AP3550/(100000000/($AM3550-$AL3550))</f>
        <v>18.911762783199176</v>
      </c>
      <c r="AT3550" s="3">
        <f t="shared" ref="AT3550:AT3552" si="3079">LN(AS3550/$C3550)</f>
        <v>1.1480246287274134</v>
      </c>
      <c r="AU3550" s="13" cm="1">
        <f t="array" ref="AU3550">$C3550*EXP(poly_from_str(100000000/$E3550,AU$4343))</f>
        <v>23.381754948845042</v>
      </c>
      <c r="AV3550" s="13">
        <f t="shared" ref="AV3550:AV3552" si="3080">LN(AS3550/AU3550)</f>
        <v>-0.21217191724086543</v>
      </c>
      <c r="AW3550" s="13"/>
      <c r="AX3550" s="13"/>
      <c r="AY3550" s="13"/>
    </row>
    <row r="3551" spans="1:51" x14ac:dyDescent="0.25">
      <c r="A3551" t="s">
        <v>4000</v>
      </c>
      <c r="B3551" s="2" t="str">
        <f t="shared" si="3035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3072"/>
        <v>e</v>
      </c>
      <c r="N3551" t="str">
        <f t="shared" si="3073"/>
        <v>7/2</v>
      </c>
      <c r="O3551">
        <v>67679.210000000006</v>
      </c>
      <c r="P3551" t="str">
        <f t="shared" si="3074"/>
        <v>o</v>
      </c>
      <c r="Q3551" t="str">
        <f t="shared" si="3075"/>
        <v>7/2</v>
      </c>
      <c r="R3551">
        <v>33</v>
      </c>
      <c r="AA3551" s="10">
        <f t="shared" si="3039"/>
        <v>2424.5500000000002</v>
      </c>
      <c r="AB3551" s="3">
        <f t="shared" si="3040"/>
        <v>41232.25</v>
      </c>
      <c r="AC3551" s="3" cm="1">
        <f t="array" ref="AC3551">100000000/LvacE(AA3551)</f>
        <v>41232.246855021098</v>
      </c>
      <c r="AD3551" s="10">
        <f t="shared" si="3041"/>
        <v>1.3503072086577118E-2</v>
      </c>
      <c r="AE3551" s="10" t="b">
        <f t="shared" si="3042"/>
        <v>1</v>
      </c>
      <c r="AJ3551" t="s">
        <v>4736</v>
      </c>
      <c r="AK3551" t="s">
        <v>4861</v>
      </c>
      <c r="AL3551">
        <v>26446.97</v>
      </c>
      <c r="AM3551">
        <v>67679.210000000006</v>
      </c>
      <c r="AN3551" s="10" cm="1">
        <f t="array" ref="AN3551">Lair(100000000/($AM3551-$AL3551))</f>
        <v>2424.5504055706592</v>
      </c>
      <c r="AO3551" s="10">
        <f t="shared" si="3076"/>
        <v>2425.2866203727954</v>
      </c>
      <c r="AP3551" s="12">
        <v>61400000</v>
      </c>
      <c r="AQ3551" s="3">
        <v>7.6999999999999999E-2</v>
      </c>
      <c r="AR3551" s="3">
        <f t="shared" si="3077"/>
        <v>-7.1694299794880791</v>
      </c>
      <c r="AS3551" s="13">
        <f t="shared" si="3078"/>
        <v>13.933910214578267</v>
      </c>
      <c r="AT3551" s="3">
        <f t="shared" si="3079"/>
        <v>1.0248875405315843</v>
      </c>
      <c r="AU3551" s="13" cm="1">
        <f t="array" ref="AU3551">$C3551*EXP(poly_from_str(100000000/$E3551,AU$4343))</f>
        <v>19.487737532441638</v>
      </c>
      <c r="AV3551" s="13">
        <f t="shared" si="3080"/>
        <v>-0.33545997030821717</v>
      </c>
      <c r="AW3551" s="13"/>
      <c r="AX3551" s="13"/>
      <c r="AY3551" s="13"/>
    </row>
    <row r="3552" spans="1:51" x14ac:dyDescent="0.25">
      <c r="A3552" t="s">
        <v>4001</v>
      </c>
      <c r="B3552" s="2" t="str">
        <f t="shared" si="3035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3072"/>
        <v>e</v>
      </c>
      <c r="N3552" t="str">
        <f t="shared" si="3073"/>
        <v>7/2</v>
      </c>
      <c r="O3552">
        <v>68374.539999999994</v>
      </c>
      <c r="P3552" t="str">
        <f t="shared" si="3074"/>
        <v>o</v>
      </c>
      <c r="Q3552" t="str">
        <f t="shared" si="3075"/>
        <v>9/2</v>
      </c>
      <c r="R3552">
        <v>33</v>
      </c>
      <c r="S3552" t="s">
        <v>3962</v>
      </c>
      <c r="AA3552" s="10">
        <f t="shared" si="3039"/>
        <v>2424.3319999999999</v>
      </c>
      <c r="AB3552" s="3">
        <f t="shared" si="3040"/>
        <v>41235.949999999997</v>
      </c>
      <c r="AC3552" s="3" cm="1">
        <f t="array" ref="AC3552">100000000/LvacE(AA3552)</f>
        <v>41235.95424827309</v>
      </c>
      <c r="AD3552" s="10">
        <f t="shared" si="3041"/>
        <v>1.3504601318687602E-2</v>
      </c>
      <c r="AE3552" s="10" t="b">
        <f t="shared" si="3042"/>
        <v>1</v>
      </c>
      <c r="AJ3552" t="s">
        <v>4723</v>
      </c>
      <c r="AK3552" t="s">
        <v>4739</v>
      </c>
      <c r="AL3552">
        <v>27138.55</v>
      </c>
      <c r="AM3552">
        <v>68374.539999999994</v>
      </c>
      <c r="AN3552" s="10" cm="1">
        <f t="array" ref="AN3552">Lair(100000000/($AM3552-$AL3552))</f>
        <v>2424.3299003924026</v>
      </c>
      <c r="AO3552" s="10">
        <f t="shared" si="3076"/>
        <v>2425.0660648622725</v>
      </c>
      <c r="AP3552" s="12">
        <v>28800000</v>
      </c>
      <c r="AQ3552" s="3">
        <v>0.14399999999999999</v>
      </c>
      <c r="AR3552" s="3">
        <f t="shared" si="3077"/>
        <v>-7.3284210360685629</v>
      </c>
      <c r="AS3552" s="13">
        <f t="shared" si="3078"/>
        <v>6.2040337511107575</v>
      </c>
      <c r="AT3552" s="3">
        <f t="shared" si="3079"/>
        <v>1.1320525049572727</v>
      </c>
      <c r="AU3552" s="13" cm="1">
        <f t="array" ref="AU3552">$C3552*EXP(poly_from_str(100000000/$E3552,AU$4343))</f>
        <v>7.7978718973371501</v>
      </c>
      <c r="AV3552" s="13">
        <f t="shared" si="3080"/>
        <v>-0.22865117727772544</v>
      </c>
      <c r="AW3552" s="13"/>
      <c r="AX3552" s="13"/>
      <c r="AY3552" s="13"/>
    </row>
    <row r="3553" spans="1:51" x14ac:dyDescent="0.25">
      <c r="A3553" t="s">
        <v>4002</v>
      </c>
      <c r="B3553" s="2" t="str">
        <f t="shared" si="3035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3072"/>
        <v>e</v>
      </c>
      <c r="N3553" t="str">
        <f t="shared" si="3073"/>
        <v>7/2</v>
      </c>
      <c r="O3553">
        <v>63768.66</v>
      </c>
      <c r="P3553" t="str">
        <f t="shared" si="3074"/>
        <v>o</v>
      </c>
      <c r="Q3553" t="str">
        <f t="shared" si="3075"/>
        <v>7/2</v>
      </c>
      <c r="R3553">
        <v>33</v>
      </c>
      <c r="AA3553" s="10">
        <f t="shared" si="3039"/>
        <v>2424.0430000000001</v>
      </c>
      <c r="AB3553" s="3">
        <f t="shared" si="3040"/>
        <v>41240.870000000003</v>
      </c>
      <c r="AC3553" s="3" cm="1">
        <f t="array" ref="AC3553">100000000/LvacE(AA3553)</f>
        <v>41240.87012309979</v>
      </c>
      <c r="AD3553" s="10">
        <f t="shared" si="3041"/>
        <v>1.3506629239477146E-2</v>
      </c>
      <c r="AE3553" s="10" t="b">
        <f t="shared" si="3042"/>
        <v>1</v>
      </c>
      <c r="AJ3553" t="s">
        <v>4799</v>
      </c>
      <c r="AK3553" t="s">
        <v>4850</v>
      </c>
      <c r="AL3553">
        <v>22527.7</v>
      </c>
      <c r="AM3553">
        <v>63768.66</v>
      </c>
      <c r="AN3553" s="10" cm="1">
        <f t="array" ref="AN3553">Lair(100000000/($AM3553-$AL3553))</f>
        <v>2424.037719316791</v>
      </c>
      <c r="AO3553" s="10">
        <f t="shared" si="3076"/>
        <v>2424.7738170983407</v>
      </c>
      <c r="AP3553" s="12">
        <v>33900000</v>
      </c>
      <c r="AQ3553" s="3">
        <v>0.03</v>
      </c>
      <c r="AR3553" s="3"/>
      <c r="AS3553" s="13">
        <f t="shared" si="3078"/>
        <v>10.319302821302209</v>
      </c>
      <c r="AT3553" s="3"/>
      <c r="AU3553" s="13" cm="1">
        <f t="array" ref="AU3553">$C3553*EXP(poly_from_str(100000000/$E3553,AU$4343))</f>
        <v>19.503931649037614</v>
      </c>
      <c r="AV3553" s="13"/>
      <c r="AW3553" s="13"/>
      <c r="AX3553" s="13"/>
      <c r="AY3553" s="13"/>
    </row>
    <row r="3554" spans="1:51" x14ac:dyDescent="0.25">
      <c r="A3554" t="s">
        <v>4003</v>
      </c>
      <c r="B3554" s="2" t="str">
        <f t="shared" si="3035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3039"/>
        <v>2423.9540000000002</v>
      </c>
      <c r="AB3554" s="3">
        <f t="shared" si="3040"/>
        <v>41242.379999999997</v>
      </c>
      <c r="AC3554" s="3" cm="1">
        <f t="array" ref="AC3554">100000000/LvacE(AA3554)</f>
        <v>41242.384244472283</v>
      </c>
      <c r="AD3554" s="10">
        <f t="shared" si="3041"/>
        <v>1.3507253900955276E-2</v>
      </c>
      <c r="AE3554" s="10" t="b">
        <f t="shared" si="3042"/>
        <v>1</v>
      </c>
      <c r="AP3554"/>
      <c r="AQ3554"/>
      <c r="AU3554" s="13" cm="1">
        <f t="array" ref="AU3554">$C3554*EXP(poly_from_str(100000000/$E3554,AU$4343))</f>
        <v>3.9013551810668647</v>
      </c>
    </row>
    <row r="3555" spans="1:51" x14ac:dyDescent="0.25">
      <c r="A3555" t="s">
        <v>4004</v>
      </c>
      <c r="B3555" s="2" t="str">
        <f t="shared" si="3035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3039"/>
        <v>2423.9209999999998</v>
      </c>
      <c r="AB3555" s="3">
        <f t="shared" si="3040"/>
        <v>41242.949999999997</v>
      </c>
      <c r="AC3555" s="3" cm="1">
        <f t="array" ref="AC3555">100000000/LvacE(AA3555)</f>
        <v>41242.945688514847</v>
      </c>
      <c r="AD3555" s="10">
        <f t="shared" si="3041"/>
        <v>1.3507485534494493E-2</v>
      </c>
      <c r="AE3555" s="10" t="b">
        <f t="shared" si="3042"/>
        <v>1</v>
      </c>
      <c r="AP3555"/>
      <c r="AQ3555"/>
      <c r="AU3555" s="13" cm="1">
        <f t="array" ref="AU3555">$C3555*EXP(poly_from_str(100000000/$E3555,AU$4343))</f>
        <v>3.9015700293596951</v>
      </c>
    </row>
    <row r="3556" spans="1:51" x14ac:dyDescent="0.25">
      <c r="A3556" t="s">
        <v>4005</v>
      </c>
      <c r="B3556" s="2" t="str">
        <f t="shared" si="3035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3039"/>
        <v>2423.6999999999998</v>
      </c>
      <c r="AB3556" s="3">
        <f t="shared" si="3040"/>
        <v>41246.71</v>
      </c>
      <c r="AC3556" s="3" cm="1">
        <f t="array" ref="AC3556">100000000/LvacE(AA3556)</f>
        <v>41246.706056234638</v>
      </c>
      <c r="AD3556" s="10">
        <f t="shared" si="3041"/>
        <v>1.3509037021131872E-2</v>
      </c>
      <c r="AE3556" s="10" t="b">
        <f t="shared" si="3042"/>
        <v>1</v>
      </c>
      <c r="AJ3556" t="s">
        <v>4821</v>
      </c>
      <c r="AK3556" t="s">
        <v>4910</v>
      </c>
      <c r="AL3556">
        <v>62558.67</v>
      </c>
      <c r="AM3556">
        <v>103805.38</v>
      </c>
      <c r="AN3556" s="10" cm="1">
        <f t="array" ref="AN3556">Lair(100000000/($AM3556-$AL3556))</f>
        <v>2423.6997707100627</v>
      </c>
      <c r="AO3556" s="10">
        <f>100000000/($AM3556-$AL3556)</f>
        <v>2424.4357913637227</v>
      </c>
      <c r="AP3556" s="12">
        <v>615000000</v>
      </c>
      <c r="AQ3556" s="3">
        <v>0.13</v>
      </c>
      <c r="AR3556" s="3">
        <f>LN(AU3556*100000000/($AM3556-$AL3556)/AP3556)</f>
        <v>-9.9834237859286308</v>
      </c>
      <c r="AS3556" s="13">
        <f>EXP(AR$4341*$AM3556+AR$4342)*$AP3556/(100000000/($AM3556-$AL3556))</f>
        <v>9.2788420277288388</v>
      </c>
      <c r="AT3556" s="3">
        <f>LN(AS3556/$C3556)</f>
        <v>1.1291244688494038</v>
      </c>
      <c r="AU3556" s="13" cm="1">
        <f t="array" ref="AU3556">$C3556*EXP(poly_from_str(100000000/$E3556,AU$4343))</f>
        <v>11.708966629742662</v>
      </c>
      <c r="AV3556" s="13">
        <f>LN(AS3556/AU3556)</f>
        <v>-0.23261816937854787</v>
      </c>
      <c r="AW3556" s="13"/>
      <c r="AX3556" s="13"/>
      <c r="AY3556" s="13"/>
    </row>
    <row r="3557" spans="1:51" x14ac:dyDescent="0.25">
      <c r="A3557" t="s">
        <v>4006</v>
      </c>
      <c r="B3557" s="2" t="str">
        <f t="shared" si="3035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3039"/>
        <v>2423.4520000000002</v>
      </c>
      <c r="AB3557" s="3">
        <f t="shared" si="3040"/>
        <v>41250.93</v>
      </c>
      <c r="AC3557" s="3" cm="1">
        <f t="array" ref="AC3557">100000000/LvacE(AA3557)</f>
        <v>41250.926651907961</v>
      </c>
      <c r="AD3557" s="10">
        <f t="shared" si="3041"/>
        <v>1.351077856130593E-2</v>
      </c>
      <c r="AE3557" s="10" t="b">
        <f t="shared" si="3042"/>
        <v>1</v>
      </c>
      <c r="AP3557"/>
      <c r="AQ3557"/>
      <c r="AU3557" s="13" cm="1">
        <f t="array" ref="AU3557">$C3557*EXP(poly_from_str(100000000/$E3557,AU$4343))</f>
        <v>11.713753902054858</v>
      </c>
    </row>
    <row r="3558" spans="1:51" x14ac:dyDescent="0.25">
      <c r="A3558" t="s">
        <v>4007</v>
      </c>
      <c r="B3558" s="2" t="str">
        <f t="shared" si="3035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3081">$G3558&amp;""</f>
        <v>e</v>
      </c>
      <c r="N3558" t="str">
        <f t="shared" ref="N3558:N3561" si="3082">$H3558&amp;""</f>
        <v>11/2</v>
      </c>
      <c r="O3558">
        <v>80988.759999999995</v>
      </c>
      <c r="P3558" t="str">
        <f t="shared" ref="P3558:P3561" si="3083">$J3558&amp;""</f>
        <v>o</v>
      </c>
      <c r="Q3558" t="str">
        <f t="shared" ref="Q3558:Q3561" si="3084">$K3558&amp;""</f>
        <v>13/2</v>
      </c>
      <c r="R3558">
        <v>33</v>
      </c>
      <c r="AA3558" s="10">
        <f t="shared" si="3039"/>
        <v>2423.1689999999999</v>
      </c>
      <c r="AB3558" s="3">
        <f t="shared" si="3040"/>
        <v>41255.74</v>
      </c>
      <c r="AC3558" s="3" cm="1">
        <f t="array" ref="AC3558">100000000/LvacE(AA3558)</f>
        <v>41255.743951411103</v>
      </c>
      <c r="AD3558" s="10">
        <f t="shared" si="3041"/>
        <v>1.3512766536591361E-2</v>
      </c>
      <c r="AE3558" s="10" t="b">
        <f t="shared" si="3042"/>
        <v>1</v>
      </c>
      <c r="AJ3558" t="s">
        <v>4725</v>
      </c>
      <c r="AK3558" t="s">
        <v>4844</v>
      </c>
      <c r="AL3558">
        <v>39732.99</v>
      </c>
      <c r="AM3558">
        <v>80988.759999999995</v>
      </c>
      <c r="AN3558" s="10" cm="1">
        <f t="array" ref="AN3558">Lair(100000000/($AM3558-$AL3558))</f>
        <v>2423.1674723920473</v>
      </c>
      <c r="AO3558" s="10">
        <f t="shared" ref="AO3558:AO3561" si="3085">100000000/($AM3558-$AL3558)</f>
        <v>2423.9033715768728</v>
      </c>
      <c r="AP3558" s="12">
        <v>335000000</v>
      </c>
      <c r="AQ3558" s="3">
        <v>0.40300000000000002</v>
      </c>
      <c r="AR3558" s="3">
        <f t="shared" ref="AR3558:AR3560" si="3086">LN(AU3558*100000000/($AM3558-$AL3558)/AP3558)</f>
        <v>-8.5279782236615169</v>
      </c>
      <c r="AS3558" s="13">
        <f t="shared" ref="AS3558:AS3561" si="3087">EXP(AR$4341*$AM3558+AR$4342)*$AP3558/(100000000/($AM3558-$AL3558))</f>
        <v>28.01606382765085</v>
      </c>
      <c r="AT3558" s="3">
        <f t="shared" ref="AT3558:AT3560" si="3088">LN(AS3558/$C3558)</f>
        <v>1.3868679047426853</v>
      </c>
      <c r="AU3558" s="13" cm="1">
        <f t="array" ref="AU3558">$C3558*EXP(poly_from_str(100000000/$E3558,AU$4343))</f>
        <v>27.344854693029355</v>
      </c>
      <c r="AV3558" s="13">
        <f t="shared" ref="AV3558:AV3560" si="3089">LN(AS3558/AU3558)</f>
        <v>2.4249670853960521E-2</v>
      </c>
      <c r="AW3558" s="13"/>
      <c r="AX3558" s="13"/>
      <c r="AY3558" s="13"/>
    </row>
    <row r="3559" spans="1:51" x14ac:dyDescent="0.25">
      <c r="A3559" t="s">
        <v>4008</v>
      </c>
      <c r="B3559" s="2" t="str">
        <f t="shared" si="3035"/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3081"/>
        <v>o</v>
      </c>
      <c r="N3559" t="str">
        <f t="shared" si="3082"/>
        <v>11/2</v>
      </c>
      <c r="O3559">
        <v>101680.38</v>
      </c>
      <c r="P3559" t="str">
        <f t="shared" si="3083"/>
        <v>e</v>
      </c>
      <c r="Q3559" t="str">
        <f t="shared" si="3084"/>
        <v>13/2</v>
      </c>
      <c r="R3559">
        <v>33</v>
      </c>
      <c r="AA3559" s="10">
        <f t="shared" si="3039"/>
        <v>2422.8829999999998</v>
      </c>
      <c r="AB3559" s="3">
        <f t="shared" si="3040"/>
        <v>41260.61</v>
      </c>
      <c r="AC3559" s="3" cm="1">
        <f t="array" ref="AC3559">100000000/LvacE(AA3559)</f>
        <v>41260.613460829154</v>
      </c>
      <c r="AD3559" s="10">
        <f t="shared" si="3041"/>
        <v>1.3514776293537319E-2</v>
      </c>
      <c r="AE3559" s="10" t="b">
        <f t="shared" si="3042"/>
        <v>1</v>
      </c>
      <c r="AJ3559" t="s">
        <v>4849</v>
      </c>
      <c r="AK3559" t="s">
        <v>4942</v>
      </c>
      <c r="AL3559">
        <v>60419.73</v>
      </c>
      <c r="AM3559">
        <v>101680.38</v>
      </c>
      <c r="AN3559" s="10" cm="1">
        <f t="array" ref="AN3559">Lair(100000000/($AM3559-$AL3559))</f>
        <v>2422.8808566914568</v>
      </c>
      <c r="AO3559" s="10">
        <f t="shared" si="3085"/>
        <v>2423.6166904787005</v>
      </c>
      <c r="AP3559" s="12">
        <v>1560000000</v>
      </c>
      <c r="AQ3559" s="3">
        <v>0.182</v>
      </c>
      <c r="AR3559" s="3">
        <f t="shared" si="3086"/>
        <v>-10.220084119048455</v>
      </c>
      <c r="AS3559" s="13">
        <f t="shared" si="3087"/>
        <v>27.615241925195217</v>
      </c>
      <c r="AT3559" s="3">
        <f t="shared" si="3088"/>
        <v>1.5266083947311255</v>
      </c>
      <c r="AU3559" s="13" cm="1">
        <f t="array" ref="AU3559">$C3559*EXP(poly_from_str(100000000/$E3559,AU$4343))</f>
        <v>23.449550715730723</v>
      </c>
      <c r="AV3559" s="13">
        <f t="shared" si="3089"/>
        <v>0.1635165284943253</v>
      </c>
      <c r="AW3559" s="13"/>
      <c r="AX3559" s="13"/>
      <c r="AY3559" s="13"/>
    </row>
    <row r="3560" spans="1:51" x14ac:dyDescent="0.25">
      <c r="A3560" t="s">
        <v>4009</v>
      </c>
      <c r="B3560" s="2" t="str">
        <f t="shared" si="303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3081"/>
        <v>e</v>
      </c>
      <c r="N3560" t="str">
        <f t="shared" si="3082"/>
        <v>15/2</v>
      </c>
      <c r="O3560">
        <v>80988.759999999995</v>
      </c>
      <c r="P3560" t="str">
        <f t="shared" si="3083"/>
        <v>o</v>
      </c>
      <c r="Q3560" t="str">
        <f t="shared" si="3084"/>
        <v>13/2</v>
      </c>
      <c r="R3560">
        <v>33</v>
      </c>
      <c r="AA3560" s="10">
        <f t="shared" si="3039"/>
        <v>2422.759</v>
      </c>
      <c r="AB3560" s="3">
        <f t="shared" si="3040"/>
        <v>41262.720000000001</v>
      </c>
      <c r="AC3560" s="3" cm="1">
        <f t="array" ref="AC3560">100000000/LvacE(AA3560)</f>
        <v>41262.725073891801</v>
      </c>
      <c r="AD3560" s="10">
        <f t="shared" si="3041"/>
        <v>1.3515647877872253E-2</v>
      </c>
      <c r="AE3560" s="10" t="b">
        <f t="shared" si="3042"/>
        <v>1</v>
      </c>
      <c r="AJ3560" t="s">
        <v>4745</v>
      </c>
      <c r="AK3560" t="s">
        <v>4844</v>
      </c>
      <c r="AL3560">
        <v>39725.99</v>
      </c>
      <c r="AM3560">
        <v>80988.759999999995</v>
      </c>
      <c r="AN3560" s="10" cm="1">
        <f t="array" ref="AN3560">Lair(100000000/($AM3560-$AL3560))</f>
        <v>2422.7563644347565</v>
      </c>
      <c r="AO3560" s="10">
        <f t="shared" si="3085"/>
        <v>2423.4921698179742</v>
      </c>
      <c r="AP3560" s="12">
        <v>185000000</v>
      </c>
      <c r="AQ3560" s="3">
        <v>6.4000000000000001E-2</v>
      </c>
      <c r="AR3560" s="3">
        <f t="shared" si="3086"/>
        <v>-8.2701662622625989</v>
      </c>
      <c r="AS3560" s="13">
        <f t="shared" si="3087"/>
        <v>15.474182745415643</v>
      </c>
      <c r="AT3560" s="3">
        <f t="shared" si="3088"/>
        <v>1.1297350934602914</v>
      </c>
      <c r="AU3560" s="13" cm="1">
        <f t="array" ref="AU3560">$C3560*EXP(poly_from_str(100000000/$E3560,AU$4343))</f>
        <v>19.54530875860393</v>
      </c>
      <c r="AV3560" s="13">
        <f t="shared" si="3089"/>
        <v>-0.23356229054495861</v>
      </c>
      <c r="AW3560" s="13"/>
      <c r="AX3560" s="13"/>
      <c r="AY3560" s="13"/>
    </row>
    <row r="3561" spans="1:51" x14ac:dyDescent="0.25">
      <c r="A3561" t="s">
        <v>4010</v>
      </c>
      <c r="B3561" s="2" t="str">
        <f t="shared" si="303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3081"/>
        <v>e</v>
      </c>
      <c r="N3561" t="str">
        <f t="shared" si="3082"/>
        <v>7/2</v>
      </c>
      <c r="O3561">
        <v>66681.14</v>
      </c>
      <c r="P3561" t="str">
        <f t="shared" si="3083"/>
        <v>o</v>
      </c>
      <c r="Q3561" t="str">
        <f t="shared" si="3084"/>
        <v>5/2</v>
      </c>
      <c r="R3561">
        <v>33</v>
      </c>
      <c r="AA3561" s="10">
        <f t="shared" si="3039"/>
        <v>2422.25</v>
      </c>
      <c r="AB3561" s="3">
        <f t="shared" si="3040"/>
        <v>41271.39</v>
      </c>
      <c r="AC3561" s="3" cm="1">
        <f t="array" ref="AC3561">100000000/LvacE(AA3561)</f>
        <v>41271.3951697312</v>
      </c>
      <c r="AD3561" s="10">
        <f t="shared" si="3041"/>
        <v>1.3519226993442296E-2</v>
      </c>
      <c r="AE3561" s="10" t="b">
        <f t="shared" si="3042"/>
        <v>1</v>
      </c>
      <c r="AJ3561" t="s">
        <v>4720</v>
      </c>
      <c r="AK3561" t="s">
        <v>4851</v>
      </c>
      <c r="AL3561">
        <v>25409.74</v>
      </c>
      <c r="AM3561">
        <v>66681.14</v>
      </c>
      <c r="AN3561" s="10" cm="1">
        <f t="array" ref="AN3561">Lair(100000000/($AM3561-$AL3561))</f>
        <v>2422.2497189844853</v>
      </c>
      <c r="AO3561" s="10">
        <f t="shared" si="3085"/>
        <v>2422.9854087818685</v>
      </c>
      <c r="AP3561" s="12">
        <v>13400000</v>
      </c>
      <c r="AQ3561" s="3">
        <v>2.3E-2</v>
      </c>
      <c r="AR3561" s="3"/>
      <c r="AS3561" s="13">
        <f t="shared" si="3087"/>
        <v>3.2805842644139682</v>
      </c>
      <c r="AT3561" s="3"/>
      <c r="AU3561" s="13" cm="1">
        <f t="array" ref="AU3561">$C3561*EXP(poly_from_str(100000000/$E3561,AU$4343))</f>
        <v>3.9123719855296168</v>
      </c>
      <c r="AV3561" s="13"/>
      <c r="AW3561" s="13"/>
      <c r="AX3561" s="13"/>
      <c r="AY3561" s="13"/>
    </row>
    <row r="3562" spans="1:51" x14ac:dyDescent="0.25">
      <c r="A3562" t="s">
        <v>4011</v>
      </c>
      <c r="B3562" s="2" t="str">
        <f t="shared" si="303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3039"/>
        <v>2422.13</v>
      </c>
      <c r="AB3562" s="3">
        <f t="shared" si="3040"/>
        <v>41273.440000000002</v>
      </c>
      <c r="AC3562" s="3" cm="1">
        <f t="array" ref="AC3562">100000000/LvacE(AA3562)</f>
        <v>41273.439730916412</v>
      </c>
      <c r="AD3562" s="10">
        <f t="shared" si="3041"/>
        <v>1.3520071121474984E-2</v>
      </c>
      <c r="AE3562" s="10" t="b">
        <f t="shared" si="3042"/>
        <v>1</v>
      </c>
      <c r="AP3562"/>
      <c r="AQ3562"/>
      <c r="AU3562" s="13" cm="1">
        <f t="array" ref="AU3562">$C3562*EXP(poly_from_str(100000000/$E3562,AU$4343))</f>
        <v>3.9131569230350856</v>
      </c>
    </row>
    <row r="3563" spans="1:51" x14ac:dyDescent="0.25">
      <c r="A3563" t="s">
        <v>4012</v>
      </c>
      <c r="B3563" s="2" t="str">
        <f t="shared" si="303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3039"/>
        <v>2421.748</v>
      </c>
      <c r="AB3563" s="3">
        <f t="shared" si="3040"/>
        <v>41279.949999999997</v>
      </c>
      <c r="AC3563" s="3" cm="1">
        <f t="array" ref="AC3563">100000000/LvacE(AA3563)</f>
        <v>41279.949599626118</v>
      </c>
      <c r="AD3563" s="10">
        <f t="shared" si="3041"/>
        <v>1.3522759097896669E-2</v>
      </c>
      <c r="AE3563" s="10" t="b">
        <f t="shared" si="3042"/>
        <v>1</v>
      </c>
      <c r="AP3563"/>
      <c r="AQ3563"/>
      <c r="AU3563" s="13" cm="1">
        <f t="array" ref="AU3563">$C3563*EXP(poly_from_str(100000000/$E3563,AU$4343))</f>
        <v>19.578276529728715</v>
      </c>
    </row>
    <row r="3564" spans="1:51" x14ac:dyDescent="0.25">
      <c r="A3564" t="s">
        <v>4013</v>
      </c>
      <c r="B3564" s="2" t="str">
        <f t="shared" si="303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3039"/>
        <v>2421.1570000000002</v>
      </c>
      <c r="AB3564" s="3">
        <f t="shared" si="3040"/>
        <v>41290.019999999997</v>
      </c>
      <c r="AC3564" s="3" cm="1">
        <f t="array" ref="AC3564">100000000/LvacE(AA3564)</f>
        <v>41290.025197315314</v>
      </c>
      <c r="AD3564" s="10">
        <f t="shared" si="3041"/>
        <v>1.352692022808007E-2</v>
      </c>
      <c r="AE3564" s="10" t="b">
        <f t="shared" si="3042"/>
        <v>1</v>
      </c>
      <c r="AJ3564" t="s">
        <v>4964</v>
      </c>
      <c r="AK3564" t="s">
        <v>4822</v>
      </c>
      <c r="AL3564">
        <v>20315.650000000001</v>
      </c>
      <c r="AM3564">
        <v>61605.66</v>
      </c>
      <c r="AN3564" s="10" cm="1">
        <f t="array" ref="AN3564">Lair(100000000/($AM3564-$AL3564))</f>
        <v>2421.1578937264876</v>
      </c>
      <c r="AO3564" s="10">
        <f>100000000/($AM3564-$AL3564)</f>
        <v>2421.8933344893835</v>
      </c>
      <c r="AP3564" s="12">
        <v>57000000</v>
      </c>
      <c r="AQ3564" s="3">
        <v>0.20300000000000001</v>
      </c>
      <c r="AR3564" s="3">
        <f>LN(AU3564*100000000/($AM3564-$AL3564)/AP3564)</f>
        <v>-6.6208418054488263</v>
      </c>
      <c r="AS3564" s="13">
        <f>EXP(AR$4341*$AM3564+AR$4342)*$AP3564/(100000000/($AM3564-$AL3564))</f>
        <v>20.433326944603017</v>
      </c>
      <c r="AT3564" s="3">
        <f>LN(AS3564/$C3564)</f>
        <v>0.93772569993200239</v>
      </c>
      <c r="AU3564" s="13" cm="1">
        <f t="array" ref="AU3564">$C3564*EXP(poly_from_str(100000000/$E3564,AU$4343))</f>
        <v>31.356297919181678</v>
      </c>
      <c r="AV3564" s="13">
        <f>LN(AS3564/AU3564)</f>
        <v>-0.42824789585529299</v>
      </c>
      <c r="AW3564" s="13"/>
      <c r="AX3564" s="13"/>
      <c r="AY3564" s="13"/>
    </row>
    <row r="3565" spans="1:51" x14ac:dyDescent="0.25">
      <c r="A3565" t="s">
        <v>4014</v>
      </c>
      <c r="B3565" s="2" t="str">
        <f t="shared" si="303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3039"/>
        <v>2420.7750000000001</v>
      </c>
      <c r="AB3565" s="3">
        <f t="shared" si="3040"/>
        <v>41296.54</v>
      </c>
      <c r="AC3565" s="3" cm="1">
        <f t="array" ref="AC3565">100000000/LvacE(AA3565)</f>
        <v>41296.540298994092</v>
      </c>
      <c r="AD3565" s="10">
        <f t="shared" si="3041"/>
        <v>1.352961144653966E-2</v>
      </c>
      <c r="AE3565" s="10" t="b">
        <f t="shared" si="3042"/>
        <v>1</v>
      </c>
      <c r="AP3565"/>
      <c r="AQ3565"/>
      <c r="AU3565" s="13" cm="1">
        <f t="array" ref="AU3565">$C3565*EXP(poly_from_str(100000000/$E3565,AU$4343))</f>
        <v>3.9220619980239855</v>
      </c>
    </row>
    <row r="3566" spans="1:51" x14ac:dyDescent="0.25">
      <c r="A3566" t="s">
        <v>4015</v>
      </c>
      <c r="B3566" s="2" t="str">
        <f t="shared" si="303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3090">$G3566&amp;""</f>
        <v>e</v>
      </c>
      <c r="N3566" t="str">
        <f t="shared" ref="N3566:N3569" si="3091">$H3566&amp;""</f>
        <v>3/2</v>
      </c>
      <c r="O3566">
        <v>63576.27</v>
      </c>
      <c r="P3566" t="str">
        <f t="shared" ref="P3566:P3569" si="3092">$J3566&amp;""</f>
        <v>o</v>
      </c>
      <c r="Q3566" t="str">
        <f t="shared" ref="Q3566:Q3569" si="3093">$K3566&amp;""</f>
        <v>5/2</v>
      </c>
      <c r="R3566">
        <v>33</v>
      </c>
      <c r="AA3566" s="10">
        <f t="shared" si="3039"/>
        <v>2420.6550000000002</v>
      </c>
      <c r="AB3566" s="3">
        <f t="shared" si="3040"/>
        <v>41298.589999999997</v>
      </c>
      <c r="AC3566" s="3" cm="1">
        <f t="array" ref="AC3566">100000000/LvacE(AA3566)</f>
        <v>41298.587352163428</v>
      </c>
      <c r="AD3566" s="10">
        <f t="shared" si="3041"/>
        <v>1.3530457118458315E-2</v>
      </c>
      <c r="AE3566" s="10" t="b">
        <f t="shared" si="3042"/>
        <v>1</v>
      </c>
      <c r="AJ3566" t="s">
        <v>4766</v>
      </c>
      <c r="AK3566" t="s">
        <v>4843</v>
      </c>
      <c r="AL3566">
        <v>22277.66</v>
      </c>
      <c r="AM3566">
        <v>63576.27</v>
      </c>
      <c r="AN3566" s="10" cm="1">
        <f t="array" ref="AN3566">Lair(100000000/($AM3566-$AL3566))</f>
        <v>2420.6536749630723</v>
      </c>
      <c r="AO3566" s="10">
        <f t="shared" ref="AO3566:AO3569" si="3094">100000000/($AM3566-$AL3566)</f>
        <v>2421.3890007436084</v>
      </c>
      <c r="AP3566" s="12">
        <v>31600000</v>
      </c>
      <c r="AQ3566" s="3">
        <v>0.183</v>
      </c>
      <c r="AR3566" s="3">
        <f t="shared" ref="AR3566:AR3569" si="3095">LN(AU3566*100000000/($AM3566-$AL3566)/AP3566)</f>
        <v>-8.1097506682787905</v>
      </c>
      <c r="AS3566" s="13">
        <f t="shared" ref="AS3566:AS3569" si="3096">EXP(AR$4341*$AM3566+AR$4342)*$AP3566/(100000000/($AM3566-$AL3566))</f>
        <v>9.7727066058265102</v>
      </c>
      <c r="AT3566" s="3">
        <f t="shared" ref="AT3566:AT3569" si="3097">LN(AS3566/$C3566)</f>
        <v>2.2795934600144747</v>
      </c>
      <c r="AU3566" s="13" cm="1">
        <f t="array" ref="AU3566">$C3566*EXP(poly_from_str(100000000/$E3566,AU$4343))</f>
        <v>3.9228576812688565</v>
      </c>
      <c r="AV3566" s="13">
        <f t="shared" ref="AV3566:AV3569" si="3098">LN(AS3566/AU3566)</f>
        <v>0.9127730714800818</v>
      </c>
      <c r="AW3566" s="13"/>
      <c r="AX3566" s="13"/>
      <c r="AY3566" s="13"/>
    </row>
    <row r="3567" spans="1:51" x14ac:dyDescent="0.25">
      <c r="A3567" t="s">
        <v>4016</v>
      </c>
      <c r="B3567" s="2" t="str">
        <f t="shared" si="303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3090"/>
        <v>e</v>
      </c>
      <c r="N3567" t="str">
        <f t="shared" si="3091"/>
        <v>5/2</v>
      </c>
      <c r="O3567">
        <v>81404.52</v>
      </c>
      <c r="P3567" t="str">
        <f t="shared" si="3092"/>
        <v>o</v>
      </c>
      <c r="Q3567" t="str">
        <f t="shared" si="3093"/>
        <v>5/2</v>
      </c>
      <c r="R3567">
        <v>33</v>
      </c>
      <c r="AA3567" s="10">
        <f t="shared" si="3039"/>
        <v>2420.2289999999998</v>
      </c>
      <c r="AB3567" s="3">
        <f t="shared" si="3040"/>
        <v>41305.86</v>
      </c>
      <c r="AC3567" s="3" cm="1">
        <f t="array" ref="AC3567">100000000/LvacE(AA3567)</f>
        <v>41305.856030100083</v>
      </c>
      <c r="AD3567" s="10">
        <f t="shared" si="3041"/>
        <v>1.3533460269689372E-2</v>
      </c>
      <c r="AE3567" s="10" t="b">
        <f t="shared" si="3042"/>
        <v>1</v>
      </c>
      <c r="AJ3567" t="s">
        <v>4737</v>
      </c>
      <c r="AK3567" t="s">
        <v>4916</v>
      </c>
      <c r="AL3567">
        <v>40098.660000000003</v>
      </c>
      <c r="AM3567">
        <v>81404.52</v>
      </c>
      <c r="AN3567" s="10" cm="1">
        <f t="array" ref="AN3567">Lair(100000000/($AM3567-$AL3567))</f>
        <v>2420.228769915585</v>
      </c>
      <c r="AO3567" s="10">
        <f t="shared" si="3094"/>
        <v>2420.9639988127592</v>
      </c>
      <c r="AP3567" s="12">
        <v>302000000</v>
      </c>
      <c r="AQ3567" s="3">
        <v>0.61199999999999999</v>
      </c>
      <c r="AR3567" s="3">
        <f t="shared" si="3095"/>
        <v>-8.5747157399487719</v>
      </c>
      <c r="AS3567" s="13">
        <f t="shared" si="3096"/>
        <v>24.510129845835039</v>
      </c>
      <c r="AT3567" s="3">
        <f t="shared" si="3097"/>
        <v>1.4073270259656219</v>
      </c>
      <c r="AU3567" s="13" cm="1">
        <f t="array" ref="AU3567">$C3567*EXP(poly_from_str(100000000/$E3567,AU$4343))</f>
        <v>23.55411992602367</v>
      </c>
      <c r="AV3567" s="13">
        <f t="shared" si="3098"/>
        <v>3.978574625193039E-2</v>
      </c>
      <c r="AW3567" s="13"/>
      <c r="AX3567" s="13"/>
      <c r="AY3567" s="13"/>
    </row>
    <row r="3568" spans="1:51" x14ac:dyDescent="0.25">
      <c r="A3568" t="s">
        <v>4017</v>
      </c>
      <c r="B3568" s="2" t="str">
        <f t="shared" si="303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3090"/>
        <v>e</v>
      </c>
      <c r="N3568" t="str">
        <f t="shared" si="3091"/>
        <v>7/2</v>
      </c>
      <c r="O3568">
        <v>64979.55</v>
      </c>
      <c r="P3568" t="str">
        <f t="shared" si="3092"/>
        <v>o</v>
      </c>
      <c r="Q3568" t="str">
        <f t="shared" si="3093"/>
        <v>7/2</v>
      </c>
      <c r="R3568">
        <v>33</v>
      </c>
      <c r="S3568" t="s">
        <v>2205</v>
      </c>
      <c r="AA3568" s="10">
        <f t="shared" si="3039"/>
        <v>2418.9499999999998</v>
      </c>
      <c r="AB3568" s="3">
        <f t="shared" si="3040"/>
        <v>41327.69</v>
      </c>
      <c r="AC3568" s="3" cm="1">
        <f t="array" ref="AC3568">100000000/LvacE(AA3568)</f>
        <v>41327.6945062472</v>
      </c>
      <c r="AD3568" s="10">
        <f t="shared" si="3041"/>
        <v>1.3542486307333183E-2</v>
      </c>
      <c r="AE3568" s="10" t="b">
        <f t="shared" si="3042"/>
        <v>1</v>
      </c>
      <c r="AJ3568" t="s">
        <v>4759</v>
      </c>
      <c r="AK3568" t="s">
        <v>4912</v>
      </c>
      <c r="AL3568">
        <v>23651.88</v>
      </c>
      <c r="AM3568">
        <v>64979.55</v>
      </c>
      <c r="AN3568" s="10" cm="1">
        <f t="array" ref="AN3568">Lair(100000000/($AM3568-$AL3568))</f>
        <v>2418.9514370524234</v>
      </c>
      <c r="AO3568" s="10">
        <f t="shared" si="3094"/>
        <v>2419.6863747702205</v>
      </c>
      <c r="AP3568" s="12">
        <v>339000000</v>
      </c>
      <c r="AQ3568" s="3">
        <v>0.28799999999999998</v>
      </c>
      <c r="AR3568" s="3">
        <f t="shared" si="3095"/>
        <v>-8.1778121227576559</v>
      </c>
      <c r="AS3568" s="13">
        <f t="shared" si="3096"/>
        <v>94.427112234189252</v>
      </c>
      <c r="AT3568" s="3">
        <f t="shared" si="3097"/>
        <v>2.2452431447923473</v>
      </c>
      <c r="AU3568" s="13" cm="1">
        <f t="array" ref="AU3568">$C3568*EXP(poly_from_str(100000000/$E3568,AU$4343))</f>
        <v>39.342498801796062</v>
      </c>
      <c r="AV3568" s="13">
        <f t="shared" si="3098"/>
        <v>0.87552290874922545</v>
      </c>
      <c r="AW3568" s="13"/>
      <c r="AX3568" s="13"/>
      <c r="AY3568" s="13"/>
    </row>
    <row r="3569" spans="1:51" x14ac:dyDescent="0.25">
      <c r="A3569" t="s">
        <v>4018</v>
      </c>
      <c r="B3569" s="2" t="str">
        <f t="shared" si="303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3090"/>
        <v>e</v>
      </c>
      <c r="N3569" t="str">
        <f t="shared" si="3091"/>
        <v>5/2</v>
      </c>
      <c r="O3569">
        <v>68801.67</v>
      </c>
      <c r="P3569" t="str">
        <f t="shared" si="3092"/>
        <v>o</v>
      </c>
      <c r="Q3569" t="str">
        <f t="shared" si="3093"/>
        <v>7/2</v>
      </c>
      <c r="R3569">
        <v>33</v>
      </c>
      <c r="AA3569" s="10">
        <f t="shared" si="3039"/>
        <v>2417.6909999999998</v>
      </c>
      <c r="AB3569" s="3">
        <f t="shared" si="3040"/>
        <v>41349.21</v>
      </c>
      <c r="AC3569" s="3" cm="1">
        <f t="array" ref="AC3569">100000000/LvacE(AA3569)</f>
        <v>41349.214052711861</v>
      </c>
      <c r="AD3569" s="10">
        <f t="shared" si="3041"/>
        <v>1.3551385196187572E-2</v>
      </c>
      <c r="AE3569" s="10" t="b">
        <f t="shared" si="3042"/>
        <v>1</v>
      </c>
      <c r="AJ3569" t="s">
        <v>4783</v>
      </c>
      <c r="AK3569" t="s">
        <v>4857</v>
      </c>
      <c r="AL3569">
        <v>27452.45</v>
      </c>
      <c r="AM3569">
        <v>68801.67</v>
      </c>
      <c r="AN3569" s="10" cm="1">
        <f t="array" ref="AN3569">Lair(100000000/($AM3569-$AL3569))</f>
        <v>2417.6906548305669</v>
      </c>
      <c r="AO3569" s="10">
        <f t="shared" si="3094"/>
        <v>2418.4253052415497</v>
      </c>
      <c r="AP3569" s="12">
        <v>202000000</v>
      </c>
      <c r="AQ3569" s="3">
        <v>0.32200000000000001</v>
      </c>
      <c r="AR3569" s="3">
        <f t="shared" si="3095"/>
        <v>-7.6584315496720006</v>
      </c>
      <c r="AS3569" s="13">
        <f t="shared" si="3096"/>
        <v>42.257396874409011</v>
      </c>
      <c r="AT3569" s="3">
        <f t="shared" si="3097"/>
        <v>1.4411943194359909</v>
      </c>
      <c r="AU3569" s="13" cm="1">
        <f t="array" ref="AU3569">$C3569*EXP(poly_from_str(100000000/$E3569,AU$4343))</f>
        <v>39.427943809237455</v>
      </c>
      <c r="AV3569" s="13">
        <f t="shared" si="3098"/>
        <v>6.9304613776549312E-2</v>
      </c>
      <c r="AW3569" s="13"/>
      <c r="AX3569" s="13"/>
      <c r="AY3569" s="13"/>
    </row>
    <row r="3570" spans="1:51" x14ac:dyDescent="0.25">
      <c r="A3570" t="s">
        <v>4019</v>
      </c>
      <c r="B3570" s="2" t="str">
        <f t="shared" si="303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3039"/>
        <v>2416.6480000000001</v>
      </c>
      <c r="AB3570" s="3">
        <f t="shared" si="3040"/>
        <v>41367.06</v>
      </c>
      <c r="AC3570" s="3" cm="1">
        <f t="array" ref="AC3570">100000000/LvacE(AA3570)</f>
        <v>41367.058583133679</v>
      </c>
      <c r="AD3570" s="10">
        <f t="shared" si="3041"/>
        <v>1.3558767884924425E-2</v>
      </c>
      <c r="AE3570" s="10" t="b">
        <f t="shared" si="3042"/>
        <v>1</v>
      </c>
      <c r="AP3570"/>
      <c r="AQ3570"/>
      <c r="AU3570" s="13" cm="1">
        <f t="array" ref="AU3570">$C3570*EXP(poly_from_str(100000000/$E3570,AU$4343))</f>
        <v>11.849883792919554</v>
      </c>
    </row>
    <row r="3571" spans="1:51" x14ac:dyDescent="0.25">
      <c r="A3571" t="s">
        <v>4020</v>
      </c>
      <c r="B3571" s="2" t="str">
        <f t="shared" si="303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3099">$G3571&amp;""</f>
        <v>o</v>
      </c>
      <c r="N3571" t="str">
        <f t="shared" ref="N3571:N3572" si="3100">$H3571&amp;""</f>
        <v>7/2</v>
      </c>
      <c r="O3571">
        <v>106665.07</v>
      </c>
      <c r="P3571" t="str">
        <f t="shared" ref="P3571:P3572" si="3101">$J3571&amp;""</f>
        <v>e</v>
      </c>
      <c r="Q3571" t="str">
        <f t="shared" ref="Q3571:Q3572" si="3102">$K3571&amp;""</f>
        <v>7/2</v>
      </c>
      <c r="R3571">
        <v>33</v>
      </c>
      <c r="AA3571" s="10">
        <f t="shared" si="3039"/>
        <v>2416.527</v>
      </c>
      <c r="AB3571" s="3">
        <f t="shared" si="3040"/>
        <v>41369.129999999997</v>
      </c>
      <c r="AC3571" s="3" cm="1">
        <f t="array" ref="AC3571">100000000/LvacE(AA3571)</f>
        <v>41369.129750983549</v>
      </c>
      <c r="AD3571" s="10">
        <f t="shared" si="3041"/>
        <v>1.3559624980598924E-2</v>
      </c>
      <c r="AE3571" s="10" t="b">
        <f t="shared" si="3042"/>
        <v>1</v>
      </c>
      <c r="AJ3571" t="s">
        <v>4825</v>
      </c>
      <c r="AK3571" t="s">
        <v>4958</v>
      </c>
      <c r="AL3571">
        <v>65295.9</v>
      </c>
      <c r="AM3571">
        <v>106665.07</v>
      </c>
      <c r="AN3571" s="10" cm="1">
        <f t="array" ref="AN3571">Lair(100000000/($AM3571-$AL3571))</f>
        <v>2416.5246513465468</v>
      </c>
      <c r="AO3571" s="10">
        <f t="shared" ref="AO3571:AO3572" si="3103">100000000/($AM3571-$AL3571)</f>
        <v>2417.2590361372972</v>
      </c>
      <c r="AP3571" s="12">
        <v>401000000</v>
      </c>
      <c r="AQ3571" s="3">
        <v>0.33400000000000002</v>
      </c>
      <c r="AR3571" s="3">
        <f>LN(AU3571*100000000/($AM3571-$AL3571)/AP3571)</f>
        <v>-10.645165073700849</v>
      </c>
      <c r="AS3571" s="13">
        <f t="shared" ref="AS3571:AS3572" si="3104">EXP(AR$4341*$AM3571+AR$4342)*$AP3571/(100000000/($AM3571-$AL3571))</f>
        <v>4.8960561497842852</v>
      </c>
      <c r="AT3571" s="3">
        <f t="shared" ref="AT3571" si="3105">LN(AS3571/$C3571)</f>
        <v>1.5884300136459544</v>
      </c>
      <c r="AU3571" s="13" cm="1">
        <f t="array" ref="AU3571">$C3571*EXP(poly_from_str(100000000/$E3571,AU$4343))</f>
        <v>3.9507971316116555</v>
      </c>
      <c r="AV3571" s="13">
        <f>LN(AS3571/AU3571)</f>
        <v>0.21451264962160371</v>
      </c>
      <c r="AW3571" s="13"/>
      <c r="AX3571" s="13"/>
      <c r="AY3571" s="13"/>
    </row>
    <row r="3572" spans="1:51" x14ac:dyDescent="0.25">
      <c r="A3572" t="s">
        <v>4021</v>
      </c>
      <c r="B3572" s="2" t="str">
        <f t="shared" si="303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3099"/>
        <v>e</v>
      </c>
      <c r="N3572" t="str">
        <f t="shared" si="3100"/>
        <v>9/2</v>
      </c>
      <c r="O3572">
        <v>68987.070000000007</v>
      </c>
      <c r="P3572" t="str">
        <f t="shared" si="3101"/>
        <v>o</v>
      </c>
      <c r="Q3572" t="str">
        <f t="shared" si="3102"/>
        <v>7/2</v>
      </c>
      <c r="R3572">
        <v>33</v>
      </c>
      <c r="AA3572" s="10">
        <f t="shared" si="3039"/>
        <v>2415.7289999999998</v>
      </c>
      <c r="AB3572" s="3">
        <f t="shared" si="3040"/>
        <v>41382.79</v>
      </c>
      <c r="AC3572" s="3" cm="1">
        <f t="array" ref="AC3572">100000000/LvacE(AA3572)</f>
        <v>41382.794384119668</v>
      </c>
      <c r="AD3572" s="10">
        <f t="shared" si="3041"/>
        <v>1.356528078772902E-2</v>
      </c>
      <c r="AE3572" s="10" t="b">
        <f t="shared" si="3042"/>
        <v>1</v>
      </c>
      <c r="AJ3572" t="s">
        <v>4718</v>
      </c>
      <c r="AK3572" t="s">
        <v>4920</v>
      </c>
      <c r="AL3572">
        <v>27604.26</v>
      </c>
      <c r="AM3572">
        <v>68987.070000000007</v>
      </c>
      <c r="AN3572" s="10" cm="1">
        <f t="array" ref="AN3572">Lair(100000000/($AM3572-$AL3572))</f>
        <v>2415.7280909880101</v>
      </c>
      <c r="AO3572" s="10">
        <f t="shared" si="3103"/>
        <v>2416.4622943681197</v>
      </c>
      <c r="AP3572" s="12">
        <v>4450000</v>
      </c>
      <c r="AQ3572" s="3">
        <v>6.0000000000000001E-3</v>
      </c>
      <c r="AR3572" s="3"/>
      <c r="AS3572" s="13">
        <f t="shared" si="3104"/>
        <v>0.91880089066203163</v>
      </c>
      <c r="AT3572" s="3"/>
      <c r="AU3572" s="13" cm="1">
        <f t="array" ref="AU3572">$C3572*EXP(poly_from_str(100000000/$E3572,AU$4343))</f>
        <v>15.825352583448899</v>
      </c>
      <c r="AV3572" s="13"/>
      <c r="AW3572" s="13"/>
      <c r="AX3572" s="13"/>
      <c r="AY3572" s="13"/>
    </row>
    <row r="3573" spans="1:51" x14ac:dyDescent="0.25">
      <c r="A3573" t="s">
        <v>4022</v>
      </c>
      <c r="B3573" s="2" t="str">
        <f t="shared" si="303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3039"/>
        <v>2415.5</v>
      </c>
      <c r="AB3573" s="3">
        <f t="shared" si="3040"/>
        <v>41386.720000000001</v>
      </c>
      <c r="AC3573" s="3" cm="1">
        <f t="array" ref="AC3573">100000000/LvacE(AA3573)</f>
        <v>41386.717355586647</v>
      </c>
      <c r="AD3573" s="10">
        <f t="shared" si="3041"/>
        <v>1.3566904855223896E-2</v>
      </c>
      <c r="AE3573" s="10" t="b">
        <f t="shared" si="3042"/>
        <v>1</v>
      </c>
      <c r="AP3573"/>
      <c r="AQ3573"/>
      <c r="AU3573" s="13" cm="1">
        <f t="array" ref="AU3573">$C3573*EXP(poly_from_str(100000000/$E3573,AU$4343))</f>
        <v>15.831761771439037</v>
      </c>
    </row>
    <row r="3574" spans="1:51" x14ac:dyDescent="0.25">
      <c r="A3574" t="s">
        <v>4023</v>
      </c>
      <c r="B3574" s="2" t="str">
        <f t="shared" si="303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3039"/>
        <v>2414.5390000000002</v>
      </c>
      <c r="AB3574" s="3">
        <f t="shared" si="3040"/>
        <v>41403.19</v>
      </c>
      <c r="AC3574" s="3" cm="1">
        <f t="array" ref="AC3574">100000000/LvacE(AA3574)</f>
        <v>41403.188243449906</v>
      </c>
      <c r="AD3574" s="10">
        <f t="shared" si="3041"/>
        <v>1.3573725303971048E-2</v>
      </c>
      <c r="AE3574" s="10" t="b">
        <f t="shared" si="3042"/>
        <v>1</v>
      </c>
      <c r="AJ3574" t="s">
        <v>4797</v>
      </c>
      <c r="AK3574" t="s">
        <v>4931</v>
      </c>
      <c r="AL3574">
        <v>22747.69</v>
      </c>
      <c r="AM3574">
        <v>64150.94</v>
      </c>
      <c r="AN3574" s="10" cm="1">
        <f t="array" ref="AN3574">Lair(100000000/($AM3574-$AL3574))</f>
        <v>2414.5354008930485</v>
      </c>
      <c r="AO3574" s="10">
        <f>100000000/($AM3574-$AL3574)</f>
        <v>2415.2693327214652</v>
      </c>
      <c r="AP3574" s="12">
        <v>70600000</v>
      </c>
      <c r="AQ3574" s="3">
        <v>0.34599999999999997</v>
      </c>
      <c r="AR3574" s="3">
        <f>LN(AU3574*100000000/($AM3574-$AL3574)/AP3574)</f>
        <v>-7.1137860862974875</v>
      </c>
      <c r="AS3574" s="13">
        <f>EXP(AR$4341*$AM3574+AR$4342)*$AP3574/(100000000/($AM3574-$AL3574))</f>
        <v>20.965325352803056</v>
      </c>
      <c r="AT3574" s="3">
        <f>LN(AS3574/$C3574)</f>
        <v>1.2511104301296354</v>
      </c>
      <c r="AU3574" s="13" cm="1">
        <f t="array" ref="AU3574">$C3574*EXP(poly_from_str(100000000/$E3574,AU$4343))</f>
        <v>23.78817316578024</v>
      </c>
      <c r="AV3574" s="13">
        <f>LN(AS3574/AU3574)</f>
        <v>-0.12631863200363844</v>
      </c>
      <c r="AW3574" s="13"/>
      <c r="AX3574" s="13"/>
      <c r="AY3574" s="13"/>
    </row>
    <row r="3575" spans="1:51" x14ac:dyDescent="0.25">
      <c r="A3575" t="s">
        <v>4024</v>
      </c>
      <c r="B3575" s="2" t="str">
        <f t="shared" si="303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3039"/>
        <v>2414.0279999999998</v>
      </c>
      <c r="AB3575" s="3">
        <f t="shared" si="3040"/>
        <v>41411.949999999997</v>
      </c>
      <c r="AC3575" s="3" cm="1">
        <f t="array" ref="AC3575">100000000/LvacE(AA3575)</f>
        <v>41411.951776347101</v>
      </c>
      <c r="AD3575" s="10">
        <f t="shared" si="3041"/>
        <v>1.357735531160929E-2</v>
      </c>
      <c r="AE3575" s="10" t="b">
        <f t="shared" si="3042"/>
        <v>1</v>
      </c>
      <c r="AP3575"/>
      <c r="AQ3575"/>
      <c r="AU3575" s="13" cm="1">
        <f t="array" ref="AU3575">$C3575*EXP(poly_from_str(100000000/$E3575,AU$4343))</f>
        <v>3.9683150956651425</v>
      </c>
    </row>
    <row r="3576" spans="1:51" x14ac:dyDescent="0.25">
      <c r="A3576" t="s">
        <v>4025</v>
      </c>
      <c r="B3576" s="2" t="str">
        <f t="shared" si="303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3106">$G3576&amp;""</f>
        <v>e</v>
      </c>
      <c r="N3576" t="str">
        <f t="shared" ref="N3576:N3578" si="3107">$H3576&amp;""</f>
        <v>11/2</v>
      </c>
      <c r="O3576">
        <v>64857.15</v>
      </c>
      <c r="P3576" t="str">
        <f t="shared" ref="P3576:P3578" si="3108">$J3576&amp;""</f>
        <v>o</v>
      </c>
      <c r="Q3576" t="str">
        <f t="shared" ref="Q3576:Q3578" si="3109">$K3576&amp;""</f>
        <v>9/2</v>
      </c>
      <c r="R3576">
        <v>33</v>
      </c>
      <c r="AA3576" s="10">
        <f t="shared" si="3039"/>
        <v>2413.8560000000002</v>
      </c>
      <c r="AB3576" s="3">
        <f t="shared" si="3040"/>
        <v>41414.9</v>
      </c>
      <c r="AC3576" s="3" cm="1">
        <f t="array" ref="AC3576">100000000/LvacE(AA3576)</f>
        <v>41414.902371437682</v>
      </c>
      <c r="AD3576" s="10">
        <f t="shared" si="3041"/>
        <v>1.3578577672288171E-2</v>
      </c>
      <c r="AE3576" s="10" t="b">
        <f t="shared" si="3042"/>
        <v>1</v>
      </c>
      <c r="AJ3576" t="s">
        <v>4782</v>
      </c>
      <c r="AK3576" t="s">
        <v>4854</v>
      </c>
      <c r="AL3576">
        <v>23442.25</v>
      </c>
      <c r="AM3576">
        <v>64857.15</v>
      </c>
      <c r="AN3576" s="10" cm="1">
        <f t="array" ref="AN3576">Lair(100000000/($AM3576-$AL3576))</f>
        <v>2413.8561409067347</v>
      </c>
      <c r="AO3576" s="10">
        <f t="shared" ref="AO3576:AO3578" si="3110">100000000/($AM3576-$AL3576)</f>
        <v>2414.5899181212558</v>
      </c>
      <c r="AP3576" s="12">
        <v>184000000</v>
      </c>
      <c r="AQ3576" s="3">
        <v>0.13500000000000001</v>
      </c>
      <c r="AR3576" s="3">
        <f t="shared" ref="AR3576:AR3578" si="3111">LN(AU3576*100000000/($AM3576-$AL3576)/AP3576)</f>
        <v>-7.9166016468165425</v>
      </c>
      <c r="AS3576" s="13">
        <f t="shared" ref="AS3576:AS3578" si="3112">EXP(AR$4341*$AM3576+AR$4342)*$AP3576/(100000000/($AM3576-$AL3576))</f>
        <v>51.834610341831628</v>
      </c>
      <c r="AT3576" s="3">
        <f t="shared" ref="AT3576:AT3578" si="3113">LN(AS3576/$C3576)</f>
        <v>2.0021479304122871</v>
      </c>
      <c r="AU3576" s="13" cm="1">
        <f t="array" ref="AU3576">$C3576*EXP(poly_from_str(100000000/$E3576,AU$4343))</f>
        <v>27.786767641172872</v>
      </c>
      <c r="AV3576" s="13">
        <f t="shared" ref="AV3576:AV3578" si="3114">LN(AS3576/AU3576)</f>
        <v>0.62349815621788685</v>
      </c>
      <c r="AW3576" s="13"/>
      <c r="AX3576" s="13"/>
      <c r="AY3576" s="13"/>
    </row>
    <row r="3577" spans="1:51" x14ac:dyDescent="0.25">
      <c r="A3577" t="s">
        <v>4026</v>
      </c>
      <c r="B3577" s="2" t="str">
        <f t="shared" si="303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3106"/>
        <v>e</v>
      </c>
      <c r="N3577" t="str">
        <f t="shared" si="3107"/>
        <v>7/2</v>
      </c>
      <c r="O3577">
        <v>67870.759999999995</v>
      </c>
      <c r="P3577" t="str">
        <f t="shared" si="3108"/>
        <v>o</v>
      </c>
      <c r="Q3577" t="str">
        <f t="shared" si="3109"/>
        <v>9/2</v>
      </c>
      <c r="R3577">
        <v>33</v>
      </c>
      <c r="AA3577" s="10">
        <f t="shared" si="3039"/>
        <v>2413.3389999999999</v>
      </c>
      <c r="AB3577" s="3">
        <f t="shared" si="3040"/>
        <v>41423.769999999997</v>
      </c>
      <c r="AC3577" s="3" cm="1">
        <f t="array" ref="AC3577">100000000/LvacE(AA3577)</f>
        <v>41423.773842997551</v>
      </c>
      <c r="AD3577" s="10">
        <f t="shared" si="3041"/>
        <v>1.3582253434556345E-2</v>
      </c>
      <c r="AE3577" s="10" t="b">
        <f t="shared" si="3042"/>
        <v>1</v>
      </c>
      <c r="AJ3577" t="s">
        <v>4736</v>
      </c>
      <c r="AK3577" t="s">
        <v>4755</v>
      </c>
      <c r="AL3577">
        <v>26446.97</v>
      </c>
      <c r="AM3577">
        <v>67870.759999999995</v>
      </c>
      <c r="AN3577" s="10" cm="1">
        <f t="array" ref="AN3577">Lair(100000000/($AM3577-$AL3577))</f>
        <v>2413.3380613141321</v>
      </c>
      <c r="AO3577" s="10">
        <f t="shared" si="3110"/>
        <v>2414.0717206223771</v>
      </c>
      <c r="AP3577" s="12">
        <v>157000000</v>
      </c>
      <c r="AQ3577" s="3">
        <v>0.35799999999999998</v>
      </c>
      <c r="AR3577" s="3">
        <f t="shared" si="3111"/>
        <v>-7.7571970245411972</v>
      </c>
      <c r="AS3577" s="13">
        <f t="shared" si="3112"/>
        <v>35.283699796720995</v>
      </c>
      <c r="AT3577" s="3">
        <f t="shared" si="3113"/>
        <v>1.6175109461064234</v>
      </c>
      <c r="AU3577" s="13" cm="1">
        <f t="array" ref="AU3577">$C3577*EXP(poly_from_str(100000000/$E3577,AU$4343))</f>
        <v>27.81260199825088</v>
      </c>
      <c r="AV3577" s="13">
        <f t="shared" si="3114"/>
        <v>0.23793186788916199</v>
      </c>
      <c r="AW3577" s="13"/>
      <c r="AX3577" s="13"/>
      <c r="AY3577" s="13"/>
    </row>
    <row r="3578" spans="1:51" x14ac:dyDescent="0.25">
      <c r="A3578" t="s">
        <v>4027</v>
      </c>
      <c r="B3578" s="2" t="str">
        <f t="shared" si="303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3106"/>
        <v>e</v>
      </c>
      <c r="N3578" t="str">
        <f t="shared" si="3107"/>
        <v>13/2</v>
      </c>
      <c r="O3578">
        <v>62678.7</v>
      </c>
      <c r="P3578" t="str">
        <f t="shared" si="3108"/>
        <v>o</v>
      </c>
      <c r="Q3578" t="str">
        <f t="shared" si="3109"/>
        <v>13/2</v>
      </c>
      <c r="R3578">
        <v>33</v>
      </c>
      <c r="AA3578" s="10">
        <f t="shared" si="3039"/>
        <v>2412.3969999999999</v>
      </c>
      <c r="AB3578" s="3">
        <f t="shared" si="3040"/>
        <v>41439.949999999997</v>
      </c>
      <c r="AC3578" s="3" cm="1">
        <f t="array" ref="AC3578">100000000/LvacE(AA3578)</f>
        <v>41439.947884863897</v>
      </c>
      <c r="AD3578" s="10">
        <f t="shared" si="3041"/>
        <v>1.3588956934713462E-2</v>
      </c>
      <c r="AE3578" s="10" t="b">
        <f t="shared" si="3042"/>
        <v>1</v>
      </c>
      <c r="AJ3578" t="s">
        <v>4696</v>
      </c>
      <c r="AK3578" t="s">
        <v>4888</v>
      </c>
      <c r="AL3578">
        <v>21238.78</v>
      </c>
      <c r="AM3578">
        <v>62678.7</v>
      </c>
      <c r="AN3578" s="10" cm="1">
        <f t="array" ref="AN3578">Lair(100000000/($AM3578-$AL3578))</f>
        <v>2412.3986261318137</v>
      </c>
      <c r="AO3578" s="10">
        <f t="shared" si="3110"/>
        <v>2413.1320716835362</v>
      </c>
      <c r="AP3578" s="12">
        <v>343000000</v>
      </c>
      <c r="AQ3578" s="3">
        <v>0.223</v>
      </c>
      <c r="AR3578" s="3">
        <f t="shared" si="3111"/>
        <v>-8.1806904076699123</v>
      </c>
      <c r="AS3578" s="13">
        <f t="shared" si="3112"/>
        <v>113.85689252457969</v>
      </c>
      <c r="AT3578" s="3">
        <f t="shared" si="3113"/>
        <v>2.4323572380835556</v>
      </c>
      <c r="AU3578" s="13" cm="1">
        <f t="array" ref="AU3578">$C3578*EXP(poly_from_str(100000000/$E3578,AU$4343))</f>
        <v>39.800114928521104</v>
      </c>
      <c r="AV3578" s="13">
        <f t="shared" si="3114"/>
        <v>1.0510725311400944</v>
      </c>
      <c r="AW3578" s="13"/>
      <c r="AX3578" s="13"/>
      <c r="AY3578" s="13"/>
    </row>
    <row r="3579" spans="1:51" x14ac:dyDescent="0.25">
      <c r="A3579" t="s">
        <v>4028</v>
      </c>
      <c r="B3579" s="2" t="str">
        <f t="shared" si="303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3039"/>
        <v>2412.2190000000001</v>
      </c>
      <c r="AB3579" s="3">
        <f t="shared" si="3040"/>
        <v>41443.01</v>
      </c>
      <c r="AC3579" s="3" cm="1">
        <f t="array" ref="AC3579">100000000/LvacE(AA3579)</f>
        <v>41443.005545125081</v>
      </c>
      <c r="AD3579" s="10">
        <f t="shared" si="3041"/>
        <v>1.3590224508041159E-2</v>
      </c>
      <c r="AE3579" s="10" t="b">
        <f t="shared" si="3042"/>
        <v>1</v>
      </c>
      <c r="AP3579"/>
      <c r="AQ3579"/>
      <c r="AU3579" s="13" cm="1">
        <f t="array" ref="AU3579">$C3579*EXP(poly_from_str(100000000/$E3579,AU$4343))</f>
        <v>3.9813016536299721</v>
      </c>
    </row>
    <row r="3580" spans="1:51" x14ac:dyDescent="0.25">
      <c r="A3580" t="s">
        <v>4029</v>
      </c>
      <c r="B3580" s="2" t="str">
        <f t="shared" si="303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3115">$G3580&amp;""</f>
        <v>e</v>
      </c>
      <c r="N3580" t="str">
        <f t="shared" ref="N3580:N3581" si="3116">$H3580&amp;""</f>
        <v>5/2</v>
      </c>
      <c r="O3580">
        <v>64979.55</v>
      </c>
      <c r="P3580" t="str">
        <f t="shared" ref="P3580:P3581" si="3117">$J3580&amp;""</f>
        <v>o</v>
      </c>
      <c r="Q3580" t="str">
        <f t="shared" ref="Q3580:Q3581" si="3118">$K3580&amp;""</f>
        <v>7/2</v>
      </c>
      <c r="R3580">
        <v>33</v>
      </c>
      <c r="S3580" t="s">
        <v>2205</v>
      </c>
      <c r="AA3580" s="10">
        <f t="shared" si="3039"/>
        <v>2412.0030000000002</v>
      </c>
      <c r="AB3580" s="3">
        <f t="shared" si="3040"/>
        <v>41446.720000000001</v>
      </c>
      <c r="AC3580" s="3" cm="1">
        <f t="array" ref="AC3580">100000000/LvacE(AA3580)</f>
        <v>41446.716570321609</v>
      </c>
      <c r="AD3580" s="10">
        <f t="shared" si="3041"/>
        <v>1.3591763063794199E-2</v>
      </c>
      <c r="AE3580" s="10" t="b">
        <f t="shared" si="3042"/>
        <v>1</v>
      </c>
      <c r="AJ3580" t="s">
        <v>4756</v>
      </c>
      <c r="AK3580" t="s">
        <v>4912</v>
      </c>
      <c r="AL3580">
        <v>23532.86</v>
      </c>
      <c r="AM3580">
        <v>64979.55</v>
      </c>
      <c r="AN3580" s="10" cm="1">
        <f t="array" ref="AN3580">Lair(100000000/($AM3580-$AL3580))</f>
        <v>2412.0045491040642</v>
      </c>
      <c r="AO3580" s="10">
        <f t="shared" ref="AO3580:AO3581" si="3119">100000000/($AM3580-$AL3580)</f>
        <v>2412.7379050052004</v>
      </c>
      <c r="AP3580" s="12">
        <v>26500000</v>
      </c>
      <c r="AQ3580" s="3">
        <v>4.1000000000000002E-2</v>
      </c>
      <c r="AR3580" s="3"/>
      <c r="AS3580" s="13">
        <f t="shared" ref="AS3580:AS3581" si="3120">EXP(AR$4341*$AM3580+AR$4342)*$AP3580/(100000000/($AM3580-$AL3580))</f>
        <v>7.4027284012179102</v>
      </c>
      <c r="AT3580" s="3"/>
      <c r="AU3580" s="13" cm="1">
        <f t="array" ref="AU3580">$C3580*EXP(poly_from_str(100000000/$E3580,AU$4343))</f>
        <v>19.914345293256744</v>
      </c>
      <c r="AV3580" s="13"/>
      <c r="AW3580" s="13"/>
      <c r="AX3580" s="13"/>
      <c r="AY3580" s="13"/>
    </row>
    <row r="3581" spans="1:51" x14ac:dyDescent="0.25">
      <c r="A3581" t="s">
        <v>4030</v>
      </c>
      <c r="B3581" s="2" t="str">
        <f t="shared" si="303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3115"/>
        <v>e</v>
      </c>
      <c r="N3581" t="str">
        <f t="shared" si="3116"/>
        <v>5/2</v>
      </c>
      <c r="O3581">
        <v>65909.440000000002</v>
      </c>
      <c r="P3581" t="str">
        <f t="shared" si="3117"/>
        <v>o</v>
      </c>
      <c r="Q3581" t="str">
        <f t="shared" si="3118"/>
        <v>5/2</v>
      </c>
      <c r="R3581">
        <v>33</v>
      </c>
      <c r="S3581" t="s">
        <v>3698</v>
      </c>
      <c r="AA3581" s="10">
        <f t="shared" si="3039"/>
        <v>2411.9189999999999</v>
      </c>
      <c r="AB3581" s="3">
        <f t="shared" si="3040"/>
        <v>41448.160000000003</v>
      </c>
      <c r="AC3581" s="3" cm="1">
        <f t="array" ref="AC3581">100000000/LvacE(AA3581)</f>
        <v>41448.159926265056</v>
      </c>
      <c r="AD3581" s="10">
        <f t="shared" si="3041"/>
        <v>1.3592361502659304E-2</v>
      </c>
      <c r="AE3581" s="10" t="b">
        <f t="shared" si="3042"/>
        <v>1</v>
      </c>
      <c r="AJ3581" t="s">
        <v>4717</v>
      </c>
      <c r="AK3581" t="s">
        <v>4907</v>
      </c>
      <c r="AL3581">
        <v>24461.24</v>
      </c>
      <c r="AM3581">
        <v>65909.440000000002</v>
      </c>
      <c r="AN3581" s="10" cm="1">
        <f t="array" ref="AN3581">Lair(100000000/($AM3581-$AL3581))</f>
        <v>2411.9166706036044</v>
      </c>
      <c r="AO3581" s="10">
        <f t="shared" si="3119"/>
        <v>2412.6500065141554</v>
      </c>
      <c r="AP3581" s="12">
        <v>11600000</v>
      </c>
      <c r="AQ3581" s="3">
        <v>4.5999999999999999E-2</v>
      </c>
      <c r="AR3581" s="3"/>
      <c r="AS3581" s="13">
        <f t="shared" si="3120"/>
        <v>3.0221249215549837</v>
      </c>
      <c r="AT3581" s="3"/>
      <c r="AU3581" s="13" cm="1">
        <f t="array" ref="AU3581">$C3581*EXP(poly_from_str(100000000/$E3581,AU$4343))</f>
        <v>3.9834783764994603</v>
      </c>
      <c r="AV3581" s="13"/>
      <c r="AW3581" s="13"/>
      <c r="AX3581" s="13"/>
      <c r="AY3581" s="13"/>
    </row>
    <row r="3582" spans="1:51" x14ac:dyDescent="0.25">
      <c r="A3582" t="s">
        <v>4031</v>
      </c>
      <c r="B3582" s="2" t="str">
        <f t="shared" si="303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3039"/>
        <v>2411.4699999999998</v>
      </c>
      <c r="AB3582" s="3">
        <f t="shared" si="3040"/>
        <v>41455.879999999997</v>
      </c>
      <c r="AC3582" s="3" cm="1">
        <f t="array" ref="AC3582">100000000/LvacE(AA3582)</f>
        <v>41455.87671241918</v>
      </c>
      <c r="AD3582" s="10">
        <f t="shared" si="3041"/>
        <v>1.3595561361414238E-2</v>
      </c>
      <c r="AE3582" s="10" t="b">
        <f t="shared" si="3042"/>
        <v>1</v>
      </c>
      <c r="AP3582"/>
      <c r="AQ3582"/>
      <c r="AU3582" s="13" cm="1">
        <f t="array" ref="AU3582">$C3582*EXP(poly_from_str(100000000/$E3582,AU$4343))</f>
        <v>3.9867540528828158</v>
      </c>
    </row>
    <row r="3583" spans="1:51" x14ac:dyDescent="0.25">
      <c r="A3583" t="s">
        <v>4032</v>
      </c>
      <c r="B3583" s="2" t="str">
        <f t="shared" si="303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3039"/>
        <v>2411.39</v>
      </c>
      <c r="AB3583" s="3">
        <f t="shared" si="3040"/>
        <v>41457.25</v>
      </c>
      <c r="AC3583" s="3" cm="1">
        <f t="array" ref="AC3583">100000000/LvacE(AA3583)</f>
        <v>41457.251942489391</v>
      </c>
      <c r="AD3583" s="10">
        <f t="shared" si="3041"/>
        <v>1.3596131679755121E-2</v>
      </c>
      <c r="AE3583" s="10" t="b">
        <f t="shared" si="3042"/>
        <v>1</v>
      </c>
      <c r="AP3583"/>
      <c r="AQ3583"/>
      <c r="AU3583" s="13" cm="1">
        <f t="array" ref="AU3583">$C3583*EXP(poly_from_str(100000000/$E3583,AU$4343))</f>
        <v>15.949347837316754</v>
      </c>
    </row>
    <row r="3584" spans="1:51" x14ac:dyDescent="0.25">
      <c r="A3584" t="s">
        <v>4033</v>
      </c>
      <c r="B3584" s="2" t="str">
        <f t="shared" si="303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3039"/>
        <v>2410.982</v>
      </c>
      <c r="AB3584" s="3">
        <f t="shared" si="3040"/>
        <v>41464.269999999997</v>
      </c>
      <c r="AC3584" s="3" cm="1">
        <f t="array" ref="AC3584">100000000/LvacE(AA3584)</f>
        <v>41464.267035247627</v>
      </c>
      <c r="AD3584" s="10">
        <f t="shared" si="3041"/>
        <v>1.359904118638124E-2</v>
      </c>
      <c r="AE3584" s="10" t="b">
        <f t="shared" si="3042"/>
        <v>1</v>
      </c>
      <c r="AJ3584" t="s">
        <v>4747</v>
      </c>
      <c r="AK3584" t="s">
        <v>4858</v>
      </c>
      <c r="AL3584">
        <v>24470.9</v>
      </c>
      <c r="AM3584">
        <v>65935.25</v>
      </c>
      <c r="AN3584" s="10" cm="1">
        <f t="array" ref="AN3584">Lair(100000000/($AM3584-$AL3584))</f>
        <v>2410.9771783096526</v>
      </c>
      <c r="AO3584" s="10">
        <f>100000000/($AM3584-$AL3584)</f>
        <v>2411.7103005352792</v>
      </c>
      <c r="AP3584" s="12">
        <v>41000000</v>
      </c>
      <c r="AQ3584" s="3">
        <v>4.7E-2</v>
      </c>
      <c r="AR3584" s="3"/>
      <c r="AS3584" s="13">
        <f>EXP(AR$4341*$AM3584+AR$4342)*$AP3584/(100000000/($AM3584-$AL3584))</f>
        <v>10.665132537495515</v>
      </c>
      <c r="AT3584" s="3"/>
      <c r="AU3584" s="13" cm="1">
        <f t="array" ref="AU3584">$C3584*EXP(poly_from_str(100000000/$E3584,AU$4343))</f>
        <v>3.9903314424125034</v>
      </c>
      <c r="AV3584" s="13"/>
      <c r="AW3584" s="13"/>
      <c r="AX3584" s="13"/>
      <c r="AY3584" s="13"/>
    </row>
    <row r="3585" spans="1:51" x14ac:dyDescent="0.25">
      <c r="A3585" t="s">
        <v>4034</v>
      </c>
      <c r="B3585" s="2" t="str">
        <f t="shared" si="303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3039"/>
        <v>2410.4279999999999</v>
      </c>
      <c r="AB3585" s="3">
        <f t="shared" si="3040"/>
        <v>41473.800000000003</v>
      </c>
      <c r="AC3585" s="3" cm="1">
        <f t="array" ref="AC3585">100000000/LvacE(AA3585)</f>
        <v>41473.796231801964</v>
      </c>
      <c r="AD3585" s="10">
        <f t="shared" si="3041"/>
        <v>1.3602994205137421E-2</v>
      </c>
      <c r="AE3585" s="10" t="b">
        <f t="shared" si="3042"/>
        <v>1</v>
      </c>
      <c r="AP3585"/>
      <c r="AQ3585"/>
      <c r="AU3585" s="13" cm="1">
        <f t="array" ref="AU3585">$C3585*EXP(poly_from_str(100000000/$E3585,AU$4343))</f>
        <v>7.988834290570721</v>
      </c>
    </row>
    <row r="3586" spans="1:51" x14ac:dyDescent="0.25">
      <c r="A3586" t="s">
        <v>4035</v>
      </c>
      <c r="B3586" s="2" t="str">
        <f t="shared" ref="B3586:B3649" si="3121">IF(OR(A3586=A3585,A3586=A3587),IF(B3585="",1,B3585+1),"")</f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3122">$G3586&amp;""</f>
        <v>e</v>
      </c>
      <c r="N3586" t="str">
        <f t="shared" ref="N3586:N3589" si="3123">$H3586&amp;""</f>
        <v>7/2</v>
      </c>
      <c r="O3586">
        <v>79395.55</v>
      </c>
      <c r="P3586" t="str">
        <f t="shared" ref="P3586:P3589" si="3124">$J3586&amp;""</f>
        <v>o</v>
      </c>
      <c r="Q3586" t="str">
        <f t="shared" ref="Q3586:Q3589" si="3125">$K3586&amp;""</f>
        <v>7/2</v>
      </c>
      <c r="R3586">
        <v>33</v>
      </c>
      <c r="AA3586" s="10">
        <f t="shared" si="3039"/>
        <v>2410.3029999999999</v>
      </c>
      <c r="AB3586" s="3">
        <f t="shared" si="3040"/>
        <v>41475.949999999997</v>
      </c>
      <c r="AC3586" s="3" cm="1">
        <f t="array" ref="AC3586">100000000/LvacE(AA3586)</f>
        <v>41475.946926880257</v>
      </c>
      <c r="AD3586" s="10">
        <f t="shared" si="3041"/>
        <v>1.3603886508642329E-2</v>
      </c>
      <c r="AE3586" s="10" t="b">
        <f t="shared" si="3042"/>
        <v>1</v>
      </c>
      <c r="AJ3586" t="s">
        <v>4764</v>
      </c>
      <c r="AK3586" t="s">
        <v>4917</v>
      </c>
      <c r="AL3586">
        <v>37919.58</v>
      </c>
      <c r="AM3586">
        <v>79395.55</v>
      </c>
      <c r="AN3586" s="10" cm="1">
        <f t="array" ref="AN3586">Lair(100000000/($AM3586-$AL3586))</f>
        <v>2410.3016617977969</v>
      </c>
      <c r="AO3586" s="10">
        <f t="shared" ref="AO3586:AO3589" si="3126">100000000/($AM3586-$AL3586)</f>
        <v>2411.034630413707</v>
      </c>
      <c r="AP3586" s="12">
        <v>127000000</v>
      </c>
      <c r="AQ3586" s="3">
        <v>0.20399999999999999</v>
      </c>
      <c r="AR3586" s="3">
        <f t="shared" ref="AR3586:AR3589" si="3127">LN(AU3586*100000000/($AM3586-$AL3586)/AP3586)</f>
        <v>-8.7936099927955684</v>
      </c>
      <c r="AS3586" s="13">
        <f t="shared" ref="AS3586:AS3589" si="3128">EXP(AR$4341*$AM3586+AR$4342)*$AP3586/(100000000/($AM3586-$AL3586))</f>
        <v>12.033845021697816</v>
      </c>
      <c r="AT3586" s="3">
        <f t="shared" ref="AT3586:AT3589" si="3129">LN(AS3586/$C3586)</f>
        <v>1.794575917785487</v>
      </c>
      <c r="AU3586" s="13" cm="1">
        <f t="array" ref="AU3586">$C3586*EXP(poly_from_str(100000000/$E3586,AU$4343))</f>
        <v>7.9906843749236947</v>
      </c>
      <c r="AV3586" s="13">
        <f t="shared" ref="AV3586:AV3589" si="3130">LN(AS3586/AU3586)</f>
        <v>0.40944668830245973</v>
      </c>
      <c r="AW3586" s="13"/>
      <c r="AX3586" s="13"/>
      <c r="AY3586" s="13"/>
    </row>
    <row r="3587" spans="1:51" x14ac:dyDescent="0.25">
      <c r="A3587" t="s">
        <v>4036</v>
      </c>
      <c r="B3587" s="2" t="str">
        <f t="shared" si="3121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3122"/>
        <v>e</v>
      </c>
      <c r="N3587" t="str">
        <f t="shared" si="3123"/>
        <v>7/2</v>
      </c>
      <c r="O3587">
        <v>61357.04</v>
      </c>
      <c r="P3587" t="str">
        <f t="shared" si="3124"/>
        <v>o</v>
      </c>
      <c r="Q3587" t="str">
        <f t="shared" si="3125"/>
        <v>9/2</v>
      </c>
      <c r="R3587">
        <v>33</v>
      </c>
      <c r="AA3587" s="10">
        <f t="shared" ref="AA3587:AA3650" si="3131">ROUND($A3587,3)+0</f>
        <v>2409.8020000000001</v>
      </c>
      <c r="AB3587" s="3">
        <f t="shared" ref="AB3587:AB3650" si="3132">ROUND($E3587,2)+0</f>
        <v>41484.57</v>
      </c>
      <c r="AC3587" s="3" cm="1">
        <f t="array" ref="AC3587">100000000/LvacE(AA3587)</f>
        <v>41484.56915164458</v>
      </c>
      <c r="AD3587" s="10">
        <f t="shared" ref="AD3587:AD3650" si="3133">0.0005/$AA3587*AC3587+0.005</f>
        <v>1.3607464254665858E-2</v>
      </c>
      <c r="AE3587" s="10" t="b">
        <f t="shared" ref="AE3587:AE3650" si="3134">ABS(AB3587-AC3587)&lt;AD3587</f>
        <v>1</v>
      </c>
      <c r="AJ3587" t="s">
        <v>4785</v>
      </c>
      <c r="AK3587" t="s">
        <v>4903</v>
      </c>
      <c r="AL3587">
        <v>19872.43</v>
      </c>
      <c r="AM3587">
        <v>61357.04</v>
      </c>
      <c r="AN3587" s="10" cm="1">
        <f t="array" ref="AN3587">Lair(100000000/($AM3587-$AL3587))</f>
        <v>2409.7996297405689</v>
      </c>
      <c r="AO3587" s="10">
        <f t="shared" si="3126"/>
        <v>2410.5324842152309</v>
      </c>
      <c r="AP3587" s="12">
        <v>232000000</v>
      </c>
      <c r="AQ3587" s="3">
        <v>0.45300000000000001</v>
      </c>
      <c r="AR3587" s="3">
        <f t="shared" si="3127"/>
        <v>-7.785999745191714</v>
      </c>
      <c r="AS3587" s="13">
        <f t="shared" si="3128"/>
        <v>85.132886295284308</v>
      </c>
      <c r="AT3587" s="3">
        <f t="shared" si="3129"/>
        <v>2.1416283108882483</v>
      </c>
      <c r="AU3587" s="13" cm="1">
        <f t="array" ref="AU3587">$C3587*EXP(poly_from_str(100000000/$E3587,AU$4343))</f>
        <v>39.99063231462862</v>
      </c>
      <c r="AV3587" s="13">
        <f t="shared" si="3130"/>
        <v>0.75556816932990245</v>
      </c>
      <c r="AW3587" s="13"/>
      <c r="AX3587" s="13"/>
      <c r="AY3587" s="13"/>
    </row>
    <row r="3588" spans="1:51" x14ac:dyDescent="0.25">
      <c r="A3588" t="s">
        <v>4037</v>
      </c>
      <c r="B3588" s="2" t="str">
        <f t="shared" si="3121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3122"/>
        <v>e</v>
      </c>
      <c r="N3588" t="str">
        <f t="shared" si="3123"/>
        <v>7/2</v>
      </c>
      <c r="O3588">
        <v>63576.27</v>
      </c>
      <c r="P3588" t="str">
        <f t="shared" si="3124"/>
        <v>o</v>
      </c>
      <c r="Q3588" t="str">
        <f t="shared" si="3125"/>
        <v>5/2</v>
      </c>
      <c r="R3588">
        <v>33</v>
      </c>
      <c r="AA3588" s="10">
        <f t="shared" si="3131"/>
        <v>2409.181</v>
      </c>
      <c r="AB3588" s="3">
        <f t="shared" si="3132"/>
        <v>41495.26</v>
      </c>
      <c r="AC3588" s="3" cm="1">
        <f t="array" ref="AC3588">100000000/LvacE(AA3588)</f>
        <v>41495.261556513047</v>
      </c>
      <c r="AD3588" s="10">
        <f t="shared" si="3133"/>
        <v>1.361190204399608E-2</v>
      </c>
      <c r="AE3588" s="10" t="b">
        <f t="shared" si="3134"/>
        <v>1</v>
      </c>
      <c r="AJ3588" t="s">
        <v>4790</v>
      </c>
      <c r="AK3588" t="s">
        <v>4843</v>
      </c>
      <c r="AL3588">
        <v>22080.94</v>
      </c>
      <c r="AM3588">
        <v>63576.27</v>
      </c>
      <c r="AN3588" s="10" cm="1">
        <f t="array" ref="AN3588">Lair(100000000/($AM3588-$AL3588))</f>
        <v>2409.1770287071045</v>
      </c>
      <c r="AO3588" s="10">
        <f t="shared" si="3126"/>
        <v>2409.909741650446</v>
      </c>
      <c r="AP3588" s="12">
        <v>13400000</v>
      </c>
      <c r="AQ3588" s="3">
        <v>8.4000000000000005E-2</v>
      </c>
      <c r="AR3588" s="3">
        <f t="shared" si="3127"/>
        <v>-7.2362004219305671</v>
      </c>
      <c r="AS3588" s="13">
        <f t="shared" si="3128"/>
        <v>4.1638623536918553</v>
      </c>
      <c r="AT3588" s="3">
        <f t="shared" si="3129"/>
        <v>1.4264430939363844</v>
      </c>
      <c r="AU3588" s="13" cm="1">
        <f t="array" ref="AU3588">$C3588*EXP(poly_from_str(100000000/$E3588,AU$4343))</f>
        <v>4.0037053458779361</v>
      </c>
      <c r="AV3588" s="13">
        <f t="shared" si="3130"/>
        <v>3.9222825131858222E-2</v>
      </c>
      <c r="AW3588" s="13"/>
      <c r="AX3588" s="13"/>
      <c r="AY3588" s="13"/>
    </row>
    <row r="3589" spans="1:51" x14ac:dyDescent="0.25">
      <c r="A3589" t="s">
        <v>4038</v>
      </c>
      <c r="B3589" s="2" t="str">
        <f t="shared" si="3121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3122"/>
        <v>e</v>
      </c>
      <c r="N3589" t="str">
        <f t="shared" si="3123"/>
        <v>7/2</v>
      </c>
      <c r="O3589">
        <v>63593.35</v>
      </c>
      <c r="P3589" t="str">
        <f t="shared" si="3124"/>
        <v>o</v>
      </c>
      <c r="Q3589" t="str">
        <f t="shared" si="3125"/>
        <v>9/2</v>
      </c>
      <c r="R3589">
        <v>33</v>
      </c>
      <c r="AA3589" s="10">
        <f t="shared" si="3131"/>
        <v>2408.1880000000001</v>
      </c>
      <c r="AB3589" s="3">
        <f t="shared" si="3132"/>
        <v>41512.370000000003</v>
      </c>
      <c r="AC3589" s="3" cm="1">
        <f t="array" ref="AC3589">100000000/LvacE(AA3589)</f>
        <v>41512.370530700042</v>
      </c>
      <c r="AD3589" s="10">
        <f t="shared" si="3133"/>
        <v>1.3619005353963237E-2</v>
      </c>
      <c r="AE3589" s="10" t="b">
        <f t="shared" si="3134"/>
        <v>1</v>
      </c>
      <c r="AJ3589" t="s">
        <v>4790</v>
      </c>
      <c r="AK3589" t="s">
        <v>4840</v>
      </c>
      <c r="AL3589">
        <v>22080.94</v>
      </c>
      <c r="AM3589">
        <v>63593.35</v>
      </c>
      <c r="AN3589" s="10" cm="1">
        <f t="array" ref="AN3589">Lair(100000000/($AM3589-$AL3589))</f>
        <v>2408.1857129596815</v>
      </c>
      <c r="AO3589" s="10">
        <f t="shared" si="3126"/>
        <v>2408.9182006055535</v>
      </c>
      <c r="AP3589" s="12">
        <v>194000000</v>
      </c>
      <c r="AQ3589" s="3">
        <v>0.253</v>
      </c>
      <c r="AR3589" s="3">
        <f t="shared" si="3127"/>
        <v>-7.6047602378279437</v>
      </c>
      <c r="AS3589" s="13">
        <f t="shared" si="3128"/>
        <v>60.230343807255821</v>
      </c>
      <c r="AT3589" s="3">
        <f t="shared" si="3129"/>
        <v>1.7955911822846382</v>
      </c>
      <c r="AU3589" s="13" cm="1">
        <f t="array" ref="AU3589">$C3589*EXP(poly_from_str(100000000/$E3589,AU$4343))</f>
        <v>40.111995647540454</v>
      </c>
      <c r="AV3589" s="13">
        <f t="shared" si="3130"/>
        <v>0.40650084237041939</v>
      </c>
      <c r="AW3589" s="13"/>
      <c r="AX3589" s="13"/>
      <c r="AY3589" s="13"/>
    </row>
    <row r="3590" spans="1:51" x14ac:dyDescent="0.25">
      <c r="A3590" t="s">
        <v>4039</v>
      </c>
      <c r="B3590" s="2" t="str">
        <f t="shared" si="3121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3131"/>
        <v>2408.0929999999998</v>
      </c>
      <c r="AB3590" s="3">
        <f t="shared" si="3132"/>
        <v>41514.01</v>
      </c>
      <c r="AC3590" s="3" cm="1">
        <f t="array" ref="AC3590">100000000/LvacE(AA3590)</f>
        <v>41514.008080332402</v>
      </c>
      <c r="AD3590" s="10">
        <f t="shared" si="3133"/>
        <v>1.3619685385973964E-2</v>
      </c>
      <c r="AE3590" s="10" t="b">
        <f t="shared" si="3134"/>
        <v>1</v>
      </c>
      <c r="AP3590"/>
      <c r="AQ3590"/>
      <c r="AU3590" s="13" cm="1">
        <f t="array" ref="AU3590">$C3590*EXP(poly_from_str(100000000/$E3590,AU$4343))</f>
        <v>4.0119220857718716</v>
      </c>
    </row>
    <row r="3591" spans="1:51" x14ac:dyDescent="0.25">
      <c r="A3591" t="s">
        <v>4040</v>
      </c>
      <c r="B3591" s="2" t="str">
        <f t="shared" si="3121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3131"/>
        <v>2408.06</v>
      </c>
      <c r="AB3591" s="3">
        <f t="shared" si="3132"/>
        <v>41514.58</v>
      </c>
      <c r="AC3591" s="3" cm="1">
        <f t="array" ref="AC3591">100000000/LvacE(AA3591)</f>
        <v>41514.57694359414</v>
      </c>
      <c r="AD3591" s="10">
        <f t="shared" si="3133"/>
        <v>1.3619921626453275E-2</v>
      </c>
      <c r="AE3591" s="10" t="b">
        <f t="shared" si="3134"/>
        <v>1</v>
      </c>
      <c r="AP3591"/>
      <c r="AQ3591"/>
      <c r="AU3591" s="13" cm="1">
        <f t="array" ref="AU3591">$C3591*EXP(poly_from_str(100000000/$E3591,AU$4343))</f>
        <v>4.0121733790394094</v>
      </c>
    </row>
    <row r="3592" spans="1:51" x14ac:dyDescent="0.25">
      <c r="A3592" t="s">
        <v>4041</v>
      </c>
      <c r="B3592" s="2" t="str">
        <f t="shared" si="3121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3135">$G3592&amp;""</f>
        <v>e</v>
      </c>
      <c r="N3592" t="str">
        <f t="shared" ref="N3592:N3593" si="3136">$H3592&amp;""</f>
        <v>5/2</v>
      </c>
      <c r="O3592">
        <v>68978.55</v>
      </c>
      <c r="P3592" t="str">
        <f t="shared" ref="P3592:P3593" si="3137">$J3592&amp;""</f>
        <v>o</v>
      </c>
      <c r="Q3592" t="str">
        <f t="shared" ref="Q3592:Q3593" si="3138">$K3592&amp;""</f>
        <v>5/2</v>
      </c>
      <c r="R3592">
        <v>33</v>
      </c>
      <c r="AA3592" s="10">
        <f t="shared" si="3131"/>
        <v>2407.3960000000002</v>
      </c>
      <c r="AB3592" s="3">
        <f t="shared" si="3132"/>
        <v>41526.03</v>
      </c>
      <c r="AC3592" s="3" cm="1">
        <f t="array" ref="AC3592">100000000/LvacE(AA3592)</f>
        <v>41526.026475401173</v>
      </c>
      <c r="AD3592" s="10">
        <f t="shared" si="3133"/>
        <v>1.3624677135668825E-2</v>
      </c>
      <c r="AE3592" s="10" t="b">
        <f t="shared" si="3134"/>
        <v>1</v>
      </c>
      <c r="AJ3592" t="s">
        <v>4783</v>
      </c>
      <c r="AK3592" t="s">
        <v>4918</v>
      </c>
      <c r="AL3592">
        <v>27452.45</v>
      </c>
      <c r="AM3592">
        <v>68978.55</v>
      </c>
      <c r="AN3592" s="10" cm="1">
        <f t="array" ref="AN3592">Lair(100000000/($AM3592-$AL3592))</f>
        <v>2407.3917400418636</v>
      </c>
      <c r="AO3592" s="10">
        <f t="shared" ref="AO3592:AO3593" si="3139">100000000/($AM3592-$AL3592)</f>
        <v>2408.1240472859236</v>
      </c>
      <c r="AP3592" s="12">
        <v>25600000</v>
      </c>
      <c r="AQ3592" s="3">
        <v>4.4999999999999998E-2</v>
      </c>
      <c r="AR3592" s="3"/>
      <c r="AS3592" s="13">
        <f t="shared" ref="AS3592:AS3593" si="3140">EXP(AR$4341*$AM3592+AR$4342)*$AP3592/(100000000/($AM3592-$AL3592))</f>
        <v>5.3073804144307992</v>
      </c>
      <c r="AT3592" s="3"/>
      <c r="AU3592" s="13" cm="1">
        <f t="array" ref="AU3592">$C3592*EXP(poly_from_str(100000000/$E3592,AU$4343))</f>
        <v>4.0172402998138166</v>
      </c>
      <c r="AV3592" s="13"/>
      <c r="AW3592" s="13"/>
      <c r="AX3592" s="13"/>
      <c r="AY3592" s="13"/>
    </row>
    <row r="3593" spans="1:51" x14ac:dyDescent="0.25">
      <c r="A3593" t="s">
        <v>4042</v>
      </c>
      <c r="B3593" s="2" t="str">
        <f t="shared" si="3121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3135"/>
        <v>e</v>
      </c>
      <c r="N3593" t="str">
        <f t="shared" si="3136"/>
        <v>7/2</v>
      </c>
      <c r="O3593">
        <v>60520.32</v>
      </c>
      <c r="P3593" t="str">
        <f t="shared" si="3137"/>
        <v>o</v>
      </c>
      <c r="Q3593" t="str">
        <f t="shared" si="3138"/>
        <v>7/2</v>
      </c>
      <c r="R3593">
        <v>33</v>
      </c>
      <c r="AA3593" s="10">
        <f t="shared" si="3131"/>
        <v>2407.1529999999998</v>
      </c>
      <c r="AB3593" s="3">
        <f t="shared" si="3132"/>
        <v>41530.22</v>
      </c>
      <c r="AC3593" s="3" cm="1">
        <f t="array" ref="AC3593">100000000/LvacE(AA3593)</f>
        <v>41530.218168769374</v>
      </c>
      <c r="AD3593" s="10">
        <f t="shared" si="3133"/>
        <v>1.3626418463797144E-2</v>
      </c>
      <c r="AE3593" s="10" t="b">
        <f t="shared" si="3134"/>
        <v>1</v>
      </c>
      <c r="AJ3593" t="s">
        <v>4968</v>
      </c>
      <c r="AK3593" t="s">
        <v>4730</v>
      </c>
      <c r="AL3593">
        <v>18990.080000000002</v>
      </c>
      <c r="AM3593">
        <v>60520.32</v>
      </c>
      <c r="AN3593" s="10" cm="1">
        <f t="array" ref="AN3593">Lair(100000000/($AM3593-$AL3593))</f>
        <v>2407.1517373556426</v>
      </c>
      <c r="AO3593" s="10">
        <f t="shared" si="3139"/>
        <v>2407.8839900756657</v>
      </c>
      <c r="AP3593" s="12">
        <v>142000000</v>
      </c>
      <c r="AQ3593" s="3">
        <v>0.59299999999999997</v>
      </c>
      <c r="AR3593" s="3">
        <f>LN(AU3593*100000000/($AM3593-$AL3593)/AP3593)</f>
        <v>-7.6478649482431891</v>
      </c>
      <c r="AS3593" s="13">
        <f t="shared" si="3140"/>
        <v>55.545112934803562</v>
      </c>
      <c r="AT3593" s="3">
        <f t="shared" ref="AT3593" si="3141">LN(AS3593/$C3593)</f>
        <v>2.07128538718908</v>
      </c>
      <c r="AU3593" s="13" cm="1">
        <f t="array" ref="AU3593">$C3593*EXP(poly_from_str(100000000/$E3593,AU$4343))</f>
        <v>28.133725120840303</v>
      </c>
      <c r="AV3593" s="13">
        <f>LN(AS3593/AU3593)</f>
        <v>0.68022649731133933</v>
      </c>
      <c r="AW3593" s="13"/>
      <c r="AX3593" s="13"/>
      <c r="AY3593" s="13"/>
    </row>
    <row r="3594" spans="1:51" x14ac:dyDescent="0.25">
      <c r="A3594" t="s">
        <v>4043</v>
      </c>
      <c r="B3594" s="2" t="str">
        <f t="shared" si="3121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3131"/>
        <v>2407.0529999999999</v>
      </c>
      <c r="AB3594" s="3">
        <f t="shared" si="3132"/>
        <v>41531.94</v>
      </c>
      <c r="AC3594" s="3" cm="1">
        <f t="array" ref="AC3594">100000000/LvacE(AA3594)</f>
        <v>41531.943391231747</v>
      </c>
      <c r="AD3594" s="10">
        <f t="shared" si="3133"/>
        <v>1.3627135212899707E-2</v>
      </c>
      <c r="AE3594" s="10" t="b">
        <f t="shared" si="3134"/>
        <v>1</v>
      </c>
      <c r="AP3594"/>
      <c r="AQ3594"/>
      <c r="AU3594" s="13" cm="1">
        <f t="array" ref="AU3594">$C3594*EXP(poly_from_str(100000000/$E3594,AU$4343))</f>
        <v>4.0198698922825233</v>
      </c>
    </row>
    <row r="3595" spans="1:51" x14ac:dyDescent="0.25">
      <c r="A3595" t="s">
        <v>4044</v>
      </c>
      <c r="B3595" s="2" t="str">
        <f t="shared" si="3121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3131"/>
        <v>2406.9</v>
      </c>
      <c r="AB3595" s="3">
        <f t="shared" si="3132"/>
        <v>41534.58</v>
      </c>
      <c r="AC3595" s="3" cm="1">
        <f t="array" ref="AC3595">100000000/LvacE(AA3595)</f>
        <v>41534.583259015497</v>
      </c>
      <c r="AD3595" s="10">
        <f t="shared" si="3133"/>
        <v>1.3628232011927272E-2</v>
      </c>
      <c r="AE3595" s="10" t="b">
        <f t="shared" si="3134"/>
        <v>1</v>
      </c>
      <c r="AJ3595" t="s">
        <v>4783</v>
      </c>
      <c r="AK3595" t="s">
        <v>4920</v>
      </c>
      <c r="AL3595">
        <v>27452.45</v>
      </c>
      <c r="AM3595">
        <v>68987.070000000007</v>
      </c>
      <c r="AN3595" s="10" cm="1">
        <f t="array" ref="AN3595">Lair(100000000/($AM3595-$AL3595))</f>
        <v>2406.8978735519859</v>
      </c>
      <c r="AO3595" s="10">
        <f>100000000/($AM3595-$AL3595)</f>
        <v>2407.6300686030104</v>
      </c>
      <c r="AP3595" s="12">
        <v>103000000</v>
      </c>
      <c r="AQ3595" s="3">
        <v>0.20699999999999999</v>
      </c>
      <c r="AR3595" s="3">
        <f>LN(AU3595*100000000/($AM3595-$AL3595)/AP3595)</f>
        <v>-7.8860045274961736</v>
      </c>
      <c r="AS3595" s="13">
        <f>EXP(AR$4341*$AM3595+AR$4342)*$AP3595/(100000000/($AM3595-$AL3595))</f>
        <v>21.344642520657708</v>
      </c>
      <c r="AT3595" s="3">
        <f>LN(AS3595/$C3595)</f>
        <v>1.6745064112645112</v>
      </c>
      <c r="AU3595" s="13" cm="1">
        <f t="array" ref="AU3595">$C3595*EXP(poly_from_str(100000000/$E3595,AU$4343))</f>
        <v>16.084190773955694</v>
      </c>
      <c r="AV3595" s="13">
        <f>LN(AS3595/AU3595)</f>
        <v>0.28296392231826822</v>
      </c>
      <c r="AW3595" s="13"/>
      <c r="AX3595" s="13"/>
      <c r="AY3595" s="13"/>
    </row>
    <row r="3596" spans="1:51" x14ac:dyDescent="0.25">
      <c r="A3596" t="s">
        <v>4045</v>
      </c>
      <c r="B3596" s="2" t="str">
        <f t="shared" si="3121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3131"/>
        <v>2406.703</v>
      </c>
      <c r="AB3596" s="3">
        <f t="shared" si="3132"/>
        <v>41537.980000000003</v>
      </c>
      <c r="AC3596" s="3" cm="1">
        <f t="array" ref="AC3596">100000000/LvacE(AA3596)</f>
        <v>41537.982798699828</v>
      </c>
      <c r="AD3596" s="10">
        <f t="shared" si="3133"/>
        <v>1.3629644538337267E-2</v>
      </c>
      <c r="AE3596" s="10" t="b">
        <f t="shared" si="3134"/>
        <v>1</v>
      </c>
      <c r="AP3596"/>
      <c r="AQ3596"/>
      <c r="AU3596" s="13" cm="1">
        <f t="array" ref="AU3596">$C3596*EXP(poly_from_str(100000000/$E3596,AU$4343))</f>
        <v>24.135404680683045</v>
      </c>
    </row>
    <row r="3597" spans="1:51" x14ac:dyDescent="0.25">
      <c r="A3597" t="s">
        <v>4046</v>
      </c>
      <c r="B3597" s="2" t="str">
        <f t="shared" si="3121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3131"/>
        <v>2406.3359999999998</v>
      </c>
      <c r="AB3597" s="3">
        <f t="shared" si="3132"/>
        <v>41544.32</v>
      </c>
      <c r="AC3597" s="3" cm="1">
        <f t="array" ref="AC3597">100000000/LvacE(AA3597)</f>
        <v>41544.317435452671</v>
      </c>
      <c r="AD3597" s="10">
        <f t="shared" si="3133"/>
        <v>1.3632276921313705E-2</v>
      </c>
      <c r="AE3597" s="10" t="b">
        <f t="shared" si="3134"/>
        <v>1</v>
      </c>
      <c r="AP3597"/>
      <c r="AQ3597"/>
      <c r="AU3597" s="13" cm="1">
        <f t="array" ref="AU3597">$C3597*EXP(poly_from_str(100000000/$E3597,AU$4343))</f>
        <v>28.177870437774075</v>
      </c>
    </row>
    <row r="3598" spans="1:51" x14ac:dyDescent="0.25">
      <c r="A3598" t="s">
        <v>4047</v>
      </c>
      <c r="B3598" s="2" t="str">
        <f t="shared" si="3121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3131"/>
        <v>2405.819</v>
      </c>
      <c r="AB3598" s="3">
        <f t="shared" si="3132"/>
        <v>41553.24</v>
      </c>
      <c r="AC3598" s="3" cm="1">
        <f t="array" ref="AC3598">100000000/LvacE(AA3598)</f>
        <v>41553.244439245456</v>
      </c>
      <c r="AD3598" s="10">
        <f t="shared" si="3133"/>
        <v>1.3635987254079683E-2</v>
      </c>
      <c r="AE3598" s="10" t="b">
        <f t="shared" si="3134"/>
        <v>1</v>
      </c>
      <c r="AP3598"/>
      <c r="AQ3598"/>
      <c r="AU3598" s="13" cm="1">
        <f t="array" ref="AU3598">$C3598*EXP(poly_from_str(100000000/$E3598,AU$4343))</f>
        <v>8.0588576160254028</v>
      </c>
    </row>
    <row r="3599" spans="1:51" x14ac:dyDescent="0.25">
      <c r="A3599" t="s">
        <v>4048</v>
      </c>
      <c r="B3599" s="2" t="str">
        <f t="shared" si="3121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3698</v>
      </c>
      <c r="AA3599" s="10">
        <f t="shared" si="3131"/>
        <v>2405.5630000000001</v>
      </c>
      <c r="AB3599" s="3">
        <f t="shared" si="3132"/>
        <v>41557.67</v>
      </c>
      <c r="AC3599" s="3" cm="1">
        <f t="array" ref="AC3599">100000000/LvacE(AA3599)</f>
        <v>41557.666194016201</v>
      </c>
      <c r="AD3599" s="10">
        <f t="shared" si="3133"/>
        <v>1.3637825364377527E-2</v>
      </c>
      <c r="AE3599" s="10" t="b">
        <f t="shared" si="3134"/>
        <v>1</v>
      </c>
      <c r="AJ3599" t="s">
        <v>4786</v>
      </c>
      <c r="AK3599" t="s">
        <v>4880</v>
      </c>
      <c r="AL3599">
        <v>20160.36</v>
      </c>
      <c r="AM3599">
        <v>61717.98</v>
      </c>
      <c r="AN3599" s="10" cm="1">
        <f t="array" ref="AN3599">Lair(100000000/($AM3599-$AL3599))</f>
        <v>2405.5656770047781</v>
      </c>
      <c r="AO3599" s="10">
        <f>100000000/($AM3599-$AL3599)</f>
        <v>2406.2975694950769</v>
      </c>
      <c r="AP3599" s="12">
        <v>654000000</v>
      </c>
      <c r="AQ3599" s="3">
        <v>0.88700000000000001</v>
      </c>
      <c r="AR3599" s="3">
        <f>LN(AU3599*100000000/($AM3599-$AL3599)/AP3599)</f>
        <v>-8.8160663205985035</v>
      </c>
      <c r="AS3599" s="13">
        <f>EXP(AR$4341*$AM3599+AR$4342)*$AP3599/(100000000/($AM3599-$AL3599))</f>
        <v>233.98438656859244</v>
      </c>
      <c r="AT3599" s="3">
        <f>LN(AS3599/$C3599)</f>
        <v>3.1526692960716618</v>
      </c>
      <c r="AU3599" s="13" cm="1">
        <f t="array" ref="AU3599">$C3599*EXP(poly_from_str(100000000/$E3599,AU$4343))</f>
        <v>40.314331329041764</v>
      </c>
      <c r="AV3599" s="13">
        <f>LN(AS3599/AU3599)</f>
        <v>1.7585473672242362</v>
      </c>
      <c r="AW3599" s="13"/>
      <c r="AX3599" s="13"/>
      <c r="AY3599" s="13"/>
    </row>
    <row r="3600" spans="1:51" x14ac:dyDescent="0.25">
      <c r="A3600" t="s">
        <v>4049</v>
      </c>
      <c r="B3600" s="2" t="str">
        <f t="shared" si="3121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3131"/>
        <v>2405.181</v>
      </c>
      <c r="AB3600" s="3">
        <f t="shared" si="3132"/>
        <v>41564.269999999997</v>
      </c>
      <c r="AC3600" s="3" cm="1">
        <f t="array" ref="AC3600">100000000/LvacE(AA3600)</f>
        <v>41564.266031155705</v>
      </c>
      <c r="AD3600" s="10">
        <f t="shared" si="3133"/>
        <v>1.3640569260932069E-2</v>
      </c>
      <c r="AE3600" s="10" t="b">
        <f t="shared" si="3134"/>
        <v>1</v>
      </c>
      <c r="AP3600"/>
      <c r="AQ3600"/>
      <c r="AU3600" s="13" cm="1">
        <f t="array" ref="AU3600">$C3600*EXP(poly_from_str(100000000/$E3600,AU$4343))</f>
        <v>4.0344297572188195</v>
      </c>
    </row>
    <row r="3601" spans="1:51" x14ac:dyDescent="0.25">
      <c r="A3601" t="s">
        <v>4050</v>
      </c>
      <c r="B3601" s="2" t="str">
        <f t="shared" si="3121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3131"/>
        <v>2402.5329999999999</v>
      </c>
      <c r="AB3601" s="3">
        <f t="shared" si="3132"/>
        <v>41610.07</v>
      </c>
      <c r="AC3601" s="3" cm="1">
        <f t="array" ref="AC3601">100000000/LvacE(AA3601)</f>
        <v>41610.073376656866</v>
      </c>
      <c r="AD3601" s="10">
        <f t="shared" si="3133"/>
        <v>1.3659625773435134E-2</v>
      </c>
      <c r="AE3601" s="10" t="b">
        <f t="shared" si="3134"/>
        <v>1</v>
      </c>
      <c r="AJ3601" t="s">
        <v>4796</v>
      </c>
      <c r="AK3601" t="s">
        <v>4707</v>
      </c>
      <c r="AL3601">
        <v>21611.19</v>
      </c>
      <c r="AM3601">
        <v>63221.279999999999</v>
      </c>
      <c r="AN3601" s="10" cm="1">
        <f t="array" ref="AN3601">Lair(100000000/($AM3601-$AL3601))</f>
        <v>2402.5320430313509</v>
      </c>
      <c r="AO3601" s="10">
        <f>100000000/($AM3601-$AL3601)</f>
        <v>2403.2632469672621</v>
      </c>
      <c r="AP3601" s="12">
        <v>37500000</v>
      </c>
      <c r="AQ3601" s="3">
        <v>0.13700000000000001</v>
      </c>
      <c r="AR3601" s="3">
        <f>LN(AU3601*100000000/($AM3601-$AL3601)/AP3601)</f>
        <v>-6.4634161537114307</v>
      </c>
      <c r="AS3601" s="13">
        <f>EXP(AR$4341*$AM3601+AR$4342)*$AP3601/(100000000/($AM3601-$AL3601))</f>
        <v>12.000303779152512</v>
      </c>
      <c r="AT3601" s="3">
        <f>LN(AS3601/$C3601)</f>
        <v>0.693172495168904</v>
      </c>
      <c r="AU3601" s="13" cm="1">
        <f t="array" ref="AU3601">$C3601*EXP(poly_from_str(100000000/$E3601,AU$4343))</f>
        <v>24.333464872700571</v>
      </c>
      <c r="AV3601" s="13">
        <f>LN(AS3601/AU3601)</f>
        <v>-0.70692059379613237</v>
      </c>
      <c r="AW3601" s="13"/>
      <c r="AX3601" s="13"/>
      <c r="AY3601" s="13"/>
    </row>
    <row r="3602" spans="1:51" x14ac:dyDescent="0.25">
      <c r="A3602" t="s">
        <v>4051</v>
      </c>
      <c r="B3602" s="2" t="str">
        <f t="shared" si="3121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3131"/>
        <v>2402.2660000000001</v>
      </c>
      <c r="AB3602" s="3">
        <f t="shared" si="3132"/>
        <v>41614.699999999997</v>
      </c>
      <c r="AC3602" s="3" cm="1">
        <f t="array" ref="AC3602">100000000/LvacE(AA3602)</f>
        <v>41614.697772415086</v>
      </c>
      <c r="AD3602" s="10">
        <f t="shared" si="3133"/>
        <v>1.3661550755081887E-2</v>
      </c>
      <c r="AE3602" s="10" t="b">
        <f t="shared" si="3134"/>
        <v>1</v>
      </c>
      <c r="AP3602"/>
      <c r="AQ3602"/>
      <c r="AU3602" s="13" cm="1">
        <f t="array" ref="AU3602">$C3602*EXP(poly_from_str(100000000/$E3602,AU$4343))</f>
        <v>4.0577503565728357</v>
      </c>
    </row>
    <row r="3603" spans="1:51" x14ac:dyDescent="0.25">
      <c r="A3603" t="s">
        <v>4052</v>
      </c>
      <c r="B3603" s="2" t="str">
        <f t="shared" si="3121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3142">$G3603&amp;""</f>
        <v>e</v>
      </c>
      <c r="N3603" t="str">
        <f t="shared" ref="N3603:N3607" si="3143">$H3603&amp;""</f>
        <v>7/2</v>
      </c>
      <c r="O3603">
        <v>67049.179999999993</v>
      </c>
      <c r="P3603" t="str">
        <f t="shared" ref="P3603:P3607" si="3144">$J3603&amp;""</f>
        <v>o</v>
      </c>
      <c r="Q3603" t="str">
        <f t="shared" ref="Q3603:Q3607" si="3145">$K3603&amp;""</f>
        <v>9/2</v>
      </c>
      <c r="R3603">
        <v>33</v>
      </c>
      <c r="AA3603" s="10">
        <f t="shared" si="3131"/>
        <v>2400.84</v>
      </c>
      <c r="AB3603" s="3">
        <f t="shared" si="3132"/>
        <v>41639.410000000003</v>
      </c>
      <c r="AC3603" s="3" cm="1">
        <f t="array" ref="AC3603">100000000/LvacE(AA3603)</f>
        <v>41639.413269760844</v>
      </c>
      <c r="AD3603" s="10">
        <f t="shared" si="3133"/>
        <v>1.3671842619616643E-2</v>
      </c>
      <c r="AE3603" s="10" t="b">
        <f t="shared" si="3134"/>
        <v>1</v>
      </c>
      <c r="AJ3603" t="s">
        <v>4720</v>
      </c>
      <c r="AK3603" t="s">
        <v>4862</v>
      </c>
      <c r="AL3603">
        <v>25409.74</v>
      </c>
      <c r="AM3603">
        <v>67049.179999999993</v>
      </c>
      <c r="AN3603" s="10" cm="1">
        <f t="array" ref="AN3603">Lair(100000000/($AM3603-$AL3603))</f>
        <v>2400.8384616340318</v>
      </c>
      <c r="AO3603" s="10">
        <f t="shared" ref="AO3603:AO3607" si="3146">100000000/($AM3603-$AL3603)</f>
        <v>2401.5692814312592</v>
      </c>
      <c r="AP3603" s="12">
        <v>110000000</v>
      </c>
      <c r="AQ3603" s="3">
        <v>0.17100000000000001</v>
      </c>
      <c r="AR3603" s="3">
        <f>LN(AU3603*100000000/($AM3603-$AL3603)/AP3603)</f>
        <v>-7.3826931889690197</v>
      </c>
      <c r="AS3603" s="13">
        <f t="shared" ref="AS3603:AS3607" si="3147">EXP(AR$4341*$AM3603+AR$4342)*$AP3603/(100000000/($AM3603-$AL3603))</f>
        <v>26.430139697529096</v>
      </c>
      <c r="AT3603" s="3">
        <f t="shared" ref="AT3603:AT3607" si="3148">LN(AS3603/$C3603)</f>
        <v>1.3285948651136619</v>
      </c>
      <c r="AU3603" s="13" cm="1">
        <f t="array" ref="AU3603">$C3603*EXP(poly_from_str(100000000/$E3603,AU$4343))</f>
        <v>28.486208699292355</v>
      </c>
      <c r="AV3603" s="13">
        <f>LN(AS3603/AU3603)</f>
        <v>-7.4915050697693358E-2</v>
      </c>
      <c r="AW3603" s="13"/>
      <c r="AX3603" s="13"/>
      <c r="AY3603" s="13"/>
    </row>
    <row r="3604" spans="1:51" x14ac:dyDescent="0.25">
      <c r="A3604" t="s">
        <v>4053</v>
      </c>
      <c r="B3604" s="2" t="str">
        <f t="shared" si="3121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3142"/>
        <v>e</v>
      </c>
      <c r="N3604" t="str">
        <f t="shared" si="3143"/>
        <v>7/2</v>
      </c>
      <c r="O3604">
        <v>58158.080000000002</v>
      </c>
      <c r="P3604" t="str">
        <f t="shared" si="3144"/>
        <v>o</v>
      </c>
      <c r="Q3604" t="str">
        <f t="shared" si="3145"/>
        <v>7/2</v>
      </c>
      <c r="R3604">
        <v>33</v>
      </c>
      <c r="S3604" t="s">
        <v>2205</v>
      </c>
      <c r="AA3604" s="10">
        <f t="shared" si="3131"/>
        <v>2400.6970000000001</v>
      </c>
      <c r="AB3604" s="3">
        <f t="shared" si="3132"/>
        <v>41641.89</v>
      </c>
      <c r="AC3604" s="3" cm="1">
        <f t="array" ref="AC3604">100000000/LvacE(AA3604)</f>
        <v>41641.893371898957</v>
      </c>
      <c r="AD3604" s="10">
        <f t="shared" si="3133"/>
        <v>1.3672875704826341E-2</v>
      </c>
      <c r="AE3604" s="10" t="b">
        <f t="shared" si="3134"/>
        <v>1</v>
      </c>
      <c r="AJ3604" t="s">
        <v>4776</v>
      </c>
      <c r="AK3604" t="s">
        <v>4902</v>
      </c>
      <c r="AL3604">
        <v>16516.150000000001</v>
      </c>
      <c r="AM3604">
        <v>58158.080000000002</v>
      </c>
      <c r="AN3604" s="10" cm="1">
        <f t="array" ref="AN3604">Lair(100000000/($AM3604-$AL3604))</f>
        <v>2400.6948911556474</v>
      </c>
      <c r="AO3604" s="10">
        <f t="shared" si="3146"/>
        <v>2401.4256783967508</v>
      </c>
      <c r="AP3604" s="12">
        <v>25400000</v>
      </c>
      <c r="AQ3604" s="3">
        <v>4.1000000000000002E-2</v>
      </c>
      <c r="AR3604" s="3"/>
      <c r="AS3604" s="13">
        <f t="shared" si="3147"/>
        <v>11.894568489772771</v>
      </c>
      <c r="AT3604" s="3"/>
      <c r="AU3604" s="13" cm="1">
        <f t="array" ref="AU3604">$C3604*EXP(poly_from_str(100000000/$E3604,AU$4343))</f>
        <v>32.565151492272506</v>
      </c>
      <c r="AV3604" s="13"/>
      <c r="AW3604" s="13"/>
      <c r="AX3604" s="13"/>
      <c r="AY3604" s="13"/>
    </row>
    <row r="3605" spans="1:51" x14ac:dyDescent="0.25">
      <c r="A3605" t="s">
        <v>4054</v>
      </c>
      <c r="B3605" s="2" t="str">
        <f t="shared" si="3121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3142"/>
        <v>e</v>
      </c>
      <c r="N3605" t="str">
        <f t="shared" si="3143"/>
        <v>7/2</v>
      </c>
      <c r="O3605">
        <v>65295.9</v>
      </c>
      <c r="P3605" t="str">
        <f t="shared" si="3144"/>
        <v>o</v>
      </c>
      <c r="Q3605" t="str">
        <f t="shared" si="3145"/>
        <v>7/2</v>
      </c>
      <c r="R3605">
        <v>33</v>
      </c>
      <c r="AA3605" s="10">
        <f t="shared" si="3131"/>
        <v>2400.5790000000002</v>
      </c>
      <c r="AB3605" s="3">
        <f t="shared" si="3132"/>
        <v>41643.94</v>
      </c>
      <c r="AC3605" s="3" cm="1">
        <f t="array" ref="AC3605">100000000/LvacE(AA3605)</f>
        <v>41643.940112217642</v>
      </c>
      <c r="AD3605" s="10">
        <f t="shared" si="3133"/>
        <v>1.3673728319754868E-2</v>
      </c>
      <c r="AE3605" s="10" t="b">
        <f t="shared" si="3134"/>
        <v>1</v>
      </c>
      <c r="AJ3605" t="s">
        <v>4759</v>
      </c>
      <c r="AK3605" t="s">
        <v>4825</v>
      </c>
      <c r="AL3605">
        <v>23651.88</v>
      </c>
      <c r="AM3605">
        <v>65295.9</v>
      </c>
      <c r="AN3605" s="10" cm="1">
        <f t="array" ref="AN3605">Lair(100000000/($AM3605-$AL3605))</f>
        <v>2400.5743974602183</v>
      </c>
      <c r="AO3605" s="10">
        <f t="shared" si="3146"/>
        <v>2401.3051573791386</v>
      </c>
      <c r="AP3605" s="12">
        <v>30900000</v>
      </c>
      <c r="AQ3605" s="3">
        <v>3.3000000000000002E-2</v>
      </c>
      <c r="AR3605" s="3"/>
      <c r="AS3605" s="13">
        <f t="shared" si="3147"/>
        <v>8.4694773545304525</v>
      </c>
      <c r="AT3605" s="3"/>
      <c r="AU3605" s="13" cm="1">
        <f t="array" ref="AU3605">$C3605*EXP(poly_from_str(100000000/$E3605,AU$4343))</f>
        <v>16.286501544234511</v>
      </c>
      <c r="AV3605" s="13"/>
      <c r="AW3605" s="13"/>
      <c r="AX3605" s="13"/>
      <c r="AY3605" s="13"/>
    </row>
    <row r="3606" spans="1:51" x14ac:dyDescent="0.25">
      <c r="A3606" t="s">
        <v>4055</v>
      </c>
      <c r="B3606" s="2" t="str">
        <f t="shared" si="3121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3142"/>
        <v>e</v>
      </c>
      <c r="N3606" t="str">
        <f t="shared" si="3143"/>
        <v>11/2</v>
      </c>
      <c r="O3606">
        <v>61357.04</v>
      </c>
      <c r="P3606" t="str">
        <f t="shared" si="3144"/>
        <v>o</v>
      </c>
      <c r="Q3606" t="str">
        <f t="shared" si="3145"/>
        <v>9/2</v>
      </c>
      <c r="R3606">
        <v>33</v>
      </c>
      <c r="AA3606" s="10">
        <f t="shared" si="3131"/>
        <v>2399.877</v>
      </c>
      <c r="AB3606" s="3">
        <f t="shared" si="3132"/>
        <v>41656.120000000003</v>
      </c>
      <c r="AC3606" s="3" cm="1">
        <f t="array" ref="AC3606">100000000/LvacE(AA3606)</f>
        <v>41656.120642412185</v>
      </c>
      <c r="AD3606" s="10">
        <f t="shared" si="3133"/>
        <v>1.3678803255836067E-2</v>
      </c>
      <c r="AE3606" s="10" t="b">
        <f t="shared" si="3134"/>
        <v>1</v>
      </c>
      <c r="AJ3606" t="s">
        <v>4962</v>
      </c>
      <c r="AK3606" t="s">
        <v>4903</v>
      </c>
      <c r="AL3606">
        <v>19700.900000000001</v>
      </c>
      <c r="AM3606">
        <v>61357.04</v>
      </c>
      <c r="AN3606" s="10" cm="1">
        <f t="array" ref="AN3606">Lair(100000000/($AM3606-$AL3606))</f>
        <v>2399.8758876743386</v>
      </c>
      <c r="AO3606" s="10">
        <f t="shared" si="3146"/>
        <v>2400.6064892234376</v>
      </c>
      <c r="AP3606" s="12">
        <v>9270000</v>
      </c>
      <c r="AQ3606" s="3">
        <v>3.5999999999999997E-2</v>
      </c>
      <c r="AR3606" s="3"/>
      <c r="AS3606" s="13">
        <f t="shared" si="3147"/>
        <v>3.4157110100814081</v>
      </c>
      <c r="AT3606" s="3"/>
      <c r="AU3606" s="13" cm="1">
        <f t="array" ref="AU3606">$C3606*EXP(poly_from_str(100000000/$E3606,AU$4343))</f>
        <v>4.077483991643315</v>
      </c>
      <c r="AV3606" s="13"/>
      <c r="AW3606" s="13"/>
      <c r="AX3606" s="13"/>
      <c r="AY3606" s="13"/>
    </row>
    <row r="3607" spans="1:51" x14ac:dyDescent="0.25">
      <c r="A3607" t="s">
        <v>4056</v>
      </c>
      <c r="B3607" s="2" t="str">
        <f t="shared" si="3121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3142"/>
        <v>e</v>
      </c>
      <c r="N3607" t="str">
        <f t="shared" si="3143"/>
        <v>13/2</v>
      </c>
      <c r="O3607">
        <v>80360.820000000007</v>
      </c>
      <c r="P3607" t="str">
        <f t="shared" si="3144"/>
        <v>o</v>
      </c>
      <c r="Q3607" t="str">
        <f t="shared" si="3145"/>
        <v>11/2</v>
      </c>
      <c r="R3607">
        <v>33</v>
      </c>
      <c r="AA3607" s="10">
        <f t="shared" si="3131"/>
        <v>2399.6970000000001</v>
      </c>
      <c r="AB3607" s="3">
        <f t="shared" si="3132"/>
        <v>41659.24</v>
      </c>
      <c r="AC3607" s="3" cm="1">
        <f t="array" ref="AC3607">100000000/LvacE(AA3607)</f>
        <v>41659.245003029071</v>
      </c>
      <c r="AD3607" s="10">
        <f t="shared" si="3133"/>
        <v>1.3680105238917471E-2</v>
      </c>
      <c r="AE3607" s="10" t="b">
        <f t="shared" si="3134"/>
        <v>1</v>
      </c>
      <c r="AJ3607" t="s">
        <v>4751</v>
      </c>
      <c r="AK3607" t="s">
        <v>4913</v>
      </c>
      <c r="AL3607">
        <v>38701.589999999997</v>
      </c>
      <c r="AM3607">
        <v>80360.820000000007</v>
      </c>
      <c r="AN3607" s="10" cm="1">
        <f t="array" ref="AN3607">Lair(100000000/($AM3607-$AL3607))</f>
        <v>2399.6978672734458</v>
      </c>
      <c r="AO3607" s="10">
        <f t="shared" si="3146"/>
        <v>2400.428428465912</v>
      </c>
      <c r="AP3607" s="12">
        <v>927000000</v>
      </c>
      <c r="AQ3607" s="3">
        <v>0.379</v>
      </c>
      <c r="AR3607" s="3">
        <f>LN(AU3607*100000000/($AM3607-$AL3607)/AP3607)</f>
        <v>-9.1556265465155366</v>
      </c>
      <c r="AS3607" s="13">
        <f t="shared" si="3147"/>
        <v>82.06059361142411</v>
      </c>
      <c r="AT3607" s="3">
        <f t="shared" si="3148"/>
        <v>2.1048728278644626</v>
      </c>
      <c r="AU3607" s="13" cm="1">
        <f t="array" ref="AU3607">$C3607*EXP(poly_from_str(100000000/$E3607,AU$4343))</f>
        <v>40.789922964879814</v>
      </c>
      <c r="AV3607" s="13">
        <f>LN(AS3607/AU3607)</f>
        <v>0.69902285610940229</v>
      </c>
      <c r="AW3607" s="13"/>
      <c r="AX3607" s="13"/>
      <c r="AY3607" s="13"/>
    </row>
    <row r="3608" spans="1:51" x14ac:dyDescent="0.25">
      <c r="A3608" t="s">
        <v>4057</v>
      </c>
      <c r="B3608" s="2" t="str">
        <f t="shared" si="3121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3131"/>
        <v>2399.1060000000002</v>
      </c>
      <c r="AB3608" s="3">
        <f t="shared" si="3132"/>
        <v>41669.51</v>
      </c>
      <c r="AC3608" s="3" cm="1">
        <f t="array" ref="AC3608">100000000/LvacE(AA3608)</f>
        <v>41669.506616585342</v>
      </c>
      <c r="AD3608" s="10">
        <f t="shared" si="3133"/>
        <v>1.3684382144137305E-2</v>
      </c>
      <c r="AE3608" s="10" t="b">
        <f t="shared" si="3134"/>
        <v>1</v>
      </c>
      <c r="AP3608"/>
      <c r="AQ3608"/>
      <c r="AU3608" s="13" cm="1">
        <f t="array" ref="AU3608">$C3608*EXP(poly_from_str(100000000/$E3608,AU$4343))</f>
        <v>4.083979147665441</v>
      </c>
    </row>
    <row r="3609" spans="1:51" x14ac:dyDescent="0.25">
      <c r="A3609" t="s">
        <v>4058</v>
      </c>
      <c r="B3609" s="2" t="str">
        <f t="shared" si="3121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3149">$G3609&amp;""</f>
        <v>e</v>
      </c>
      <c r="N3609" t="str">
        <f t="shared" ref="N3609:N3619" si="3150">$H3609&amp;""</f>
        <v>7/2</v>
      </c>
      <c r="O3609">
        <v>63768.66</v>
      </c>
      <c r="P3609" t="str">
        <f t="shared" ref="P3609:P3619" si="3151">$J3609&amp;""</f>
        <v>o</v>
      </c>
      <c r="Q3609" t="str">
        <f t="shared" ref="Q3609:Q3619" si="3152">$K3609&amp;""</f>
        <v>7/2</v>
      </c>
      <c r="R3609">
        <v>33</v>
      </c>
      <c r="AA3609" s="10">
        <f t="shared" si="3131"/>
        <v>2398.06</v>
      </c>
      <c r="AB3609" s="3">
        <f t="shared" si="3132"/>
        <v>41687.68</v>
      </c>
      <c r="AC3609" s="3" cm="1">
        <f t="array" ref="AC3609">100000000/LvacE(AA3609)</f>
        <v>41687.680853131824</v>
      </c>
      <c r="AD3609" s="10">
        <f t="shared" si="3133"/>
        <v>1.3691959511674401E-2</v>
      </c>
      <c r="AE3609" s="10" t="b">
        <f t="shared" si="3134"/>
        <v>1</v>
      </c>
      <c r="AJ3609" t="s">
        <v>4790</v>
      </c>
      <c r="AK3609" t="s">
        <v>4850</v>
      </c>
      <c r="AL3609">
        <v>22080.94</v>
      </c>
      <c r="AM3609">
        <v>63768.66</v>
      </c>
      <c r="AN3609" s="10" cm="1">
        <f t="array" ref="AN3609">Lair(100000000/($AM3609-$AL3609))</f>
        <v>2398.0577509484087</v>
      </c>
      <c r="AO3609" s="10">
        <f t="shared" ref="AO3609:AO3619" si="3153">100000000/($AM3609-$AL3609)</f>
        <v>2398.7879404294599</v>
      </c>
      <c r="AP3609" s="12">
        <v>140000000</v>
      </c>
      <c r="AQ3609" s="3">
        <v>0.153</v>
      </c>
      <c r="AR3609" s="3">
        <f t="shared" ref="AR3609:AR3616" si="3154">LN(AU3609*100000000/($AM3609-$AL3609)/AP3609)</f>
        <v>-7.367959288144049</v>
      </c>
      <c r="AS3609" s="13">
        <f t="shared" ref="AS3609:AS3619" si="3155">EXP(AR$4341*$AM3609+AR$4342)*$AP3609/(100000000/($AM3609-$AL3609))</f>
        <v>43.078251909623042</v>
      </c>
      <c r="AT3609" s="3">
        <f t="shared" ref="AT3609:AT3619" si="3156">LN(AS3609/$C3609)</f>
        <v>1.5657936963576156</v>
      </c>
      <c r="AU3609" s="13" cm="1">
        <f t="array" ref="AU3609">$C3609*EXP(poly_from_str(100000000/$E3609,AU$4343))</f>
        <v>36.835970554175951</v>
      </c>
      <c r="AV3609" s="13">
        <f t="shared" ref="AV3609:AV3616" si="3157">LN(AS3609/AU3609)</f>
        <v>0.15654344521129746</v>
      </c>
      <c r="AW3609" s="13"/>
      <c r="AX3609" s="13"/>
      <c r="AY3609" s="13"/>
    </row>
    <row r="3610" spans="1:51" x14ac:dyDescent="0.25">
      <c r="A3610" t="s">
        <v>4059</v>
      </c>
      <c r="B3610" s="2" t="str">
        <f t="shared" si="3121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3149"/>
        <v>e</v>
      </c>
      <c r="N3610" t="str">
        <f t="shared" si="3150"/>
        <v>3/2</v>
      </c>
      <c r="O3610">
        <v>78889.14</v>
      </c>
      <c r="P3610" t="str">
        <f t="shared" si="3151"/>
        <v>o</v>
      </c>
      <c r="Q3610" t="str">
        <f t="shared" si="3152"/>
        <v>3/2</v>
      </c>
      <c r="R3610">
        <v>33</v>
      </c>
      <c r="AA3610" s="10">
        <f t="shared" si="3131"/>
        <v>2397.8429999999998</v>
      </c>
      <c r="AB3610" s="3">
        <f t="shared" si="3132"/>
        <v>41691.449999999997</v>
      </c>
      <c r="AC3610" s="3" cm="1">
        <f t="array" ref="AC3610">100000000/LvacE(AA3610)</f>
        <v>41691.453210973181</v>
      </c>
      <c r="AD3610" s="10">
        <f t="shared" si="3133"/>
        <v>1.3693532731495178E-2</v>
      </c>
      <c r="AE3610" s="10" t="b">
        <f t="shared" si="3134"/>
        <v>1</v>
      </c>
      <c r="AJ3610" t="s">
        <v>4787</v>
      </c>
      <c r="AK3610" t="s">
        <v>4877</v>
      </c>
      <c r="AL3610">
        <v>37197.64</v>
      </c>
      <c r="AM3610">
        <v>78889.14</v>
      </c>
      <c r="AN3610" s="10" cm="1">
        <f t="array" ref="AN3610">Lair(100000000/($AM3610-$AL3610))</f>
        <v>2397.8403117961279</v>
      </c>
      <c r="AO3610" s="10">
        <f t="shared" si="3153"/>
        <v>2398.5704520106015</v>
      </c>
      <c r="AP3610" s="12">
        <v>145000000</v>
      </c>
      <c r="AQ3610" s="3">
        <v>0.29899999999999999</v>
      </c>
      <c r="AR3610" s="3">
        <f t="shared" si="3154"/>
        <v>-7.8081516819501404</v>
      </c>
      <c r="AS3610" s="13">
        <f t="shared" si="3155"/>
        <v>14.345800218804939</v>
      </c>
      <c r="AT3610" s="3">
        <f t="shared" si="3156"/>
        <v>0.87169776246293362</v>
      </c>
      <c r="AU3610" s="13" cm="1">
        <f t="array" ref="AU3610">$C3610*EXP(poly_from_str(100000000/$E3610,AU$4343))</f>
        <v>24.568482555211624</v>
      </c>
      <c r="AV3610" s="13">
        <f t="shared" si="3157"/>
        <v>-0.53800719287022081</v>
      </c>
      <c r="AW3610" s="13"/>
      <c r="AX3610" s="13"/>
      <c r="AY3610" s="13"/>
    </row>
    <row r="3611" spans="1:51" x14ac:dyDescent="0.25">
      <c r="A3611" t="s">
        <v>4060</v>
      </c>
      <c r="B3611" s="2" t="str">
        <f t="shared" si="3121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3149"/>
        <v>e</v>
      </c>
      <c r="N3611" t="str">
        <f t="shared" si="3150"/>
        <v>7/2</v>
      </c>
      <c r="O3611">
        <v>64235.61</v>
      </c>
      <c r="P3611" t="str">
        <f t="shared" si="3151"/>
        <v>o</v>
      </c>
      <c r="Q3611" t="str">
        <f t="shared" si="3152"/>
        <v>9/2</v>
      </c>
      <c r="R3611">
        <v>33</v>
      </c>
      <c r="AA3611" s="10">
        <f t="shared" si="3131"/>
        <v>2396.8969999999999</v>
      </c>
      <c r="AB3611" s="3">
        <f t="shared" si="3132"/>
        <v>41707.910000000003</v>
      </c>
      <c r="AC3611" s="3" cm="1">
        <f t="array" ref="AC3611">100000000/LvacE(AA3611)</f>
        <v>41707.906583294993</v>
      </c>
      <c r="AD3611" s="10">
        <f t="shared" si="3133"/>
        <v>1.3700396091967031E-2</v>
      </c>
      <c r="AE3611" s="10" t="b">
        <f t="shared" si="3134"/>
        <v>1</v>
      </c>
      <c r="AJ3611" t="s">
        <v>4799</v>
      </c>
      <c r="AK3611" t="s">
        <v>4842</v>
      </c>
      <c r="AL3611">
        <v>22527.7</v>
      </c>
      <c r="AM3611">
        <v>64235.61</v>
      </c>
      <c r="AN3611" s="10" cm="1">
        <f t="array" ref="AN3611">Lair(100000000/($AM3611-$AL3611))</f>
        <v>2396.8968066800057</v>
      </c>
      <c r="AO3611" s="10">
        <f t="shared" si="3153"/>
        <v>2397.6267331544541</v>
      </c>
      <c r="AP3611" s="12">
        <v>142000000</v>
      </c>
      <c r="AQ3611" s="3">
        <v>0.29299999999999998</v>
      </c>
      <c r="AR3611" s="3">
        <f t="shared" si="3154"/>
        <v>-7.4979601829872227</v>
      </c>
      <c r="AS3611" s="13">
        <f t="shared" si="3155"/>
        <v>42.209445465801096</v>
      </c>
      <c r="AT3611" s="3">
        <f t="shared" si="3156"/>
        <v>1.6632024805206</v>
      </c>
      <c r="AU3611" s="13" cm="1">
        <f t="array" ref="AU3611">$C3611*EXP(poly_from_str(100000000/$E3611,AU$4343))</f>
        <v>32.823435810634685</v>
      </c>
      <c r="AV3611" s="13">
        <f t="shared" si="3157"/>
        <v>0.25150125552673747</v>
      </c>
      <c r="AW3611" s="13"/>
      <c r="AX3611" s="13"/>
      <c r="AY3611" s="13"/>
    </row>
    <row r="3612" spans="1:51" x14ac:dyDescent="0.25">
      <c r="A3612" t="s">
        <v>4061</v>
      </c>
      <c r="B3612" s="2" t="str">
        <f t="shared" si="3121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3149"/>
        <v>e</v>
      </c>
      <c r="N3612" t="str">
        <f t="shared" si="3150"/>
        <v>7/2</v>
      </c>
      <c r="O3612">
        <v>61605.66</v>
      </c>
      <c r="P3612" t="str">
        <f t="shared" si="3151"/>
        <v>o</v>
      </c>
      <c r="Q3612" t="str">
        <f t="shared" si="3152"/>
        <v>7/2</v>
      </c>
      <c r="R3612">
        <v>33</v>
      </c>
      <c r="AA3612" s="10">
        <f t="shared" si="3131"/>
        <v>2395.444</v>
      </c>
      <c r="AB3612" s="3">
        <f t="shared" si="3132"/>
        <v>41733.199999999997</v>
      </c>
      <c r="AC3612" s="3" cm="1">
        <f t="array" ref="AC3612">100000000/LvacE(AA3612)</f>
        <v>41733.203294144689</v>
      </c>
      <c r="AD3612" s="10">
        <f t="shared" si="3133"/>
        <v>1.3710953646619308E-2</v>
      </c>
      <c r="AE3612" s="10" t="b">
        <f t="shared" si="3134"/>
        <v>1</v>
      </c>
      <c r="AJ3612" t="s">
        <v>4785</v>
      </c>
      <c r="AK3612" t="s">
        <v>4822</v>
      </c>
      <c r="AL3612">
        <v>19872.43</v>
      </c>
      <c r="AM3612">
        <v>61605.66</v>
      </c>
      <c r="AN3612" s="10" cm="1">
        <f t="array" ref="AN3612">Lair(100000000/($AM3612-$AL3612))</f>
        <v>2395.4424700729469</v>
      </c>
      <c r="AO3612" s="10">
        <f t="shared" si="3153"/>
        <v>2396.172067199208</v>
      </c>
      <c r="AP3612" s="12">
        <v>220000000</v>
      </c>
      <c r="AQ3612" s="3">
        <v>0.46100000000000002</v>
      </c>
      <c r="AR3612" s="3">
        <f t="shared" si="3154"/>
        <v>-7.7101215210340452</v>
      </c>
      <c r="AS3612" s="13">
        <f t="shared" si="3155"/>
        <v>79.712039291569212</v>
      </c>
      <c r="AT3612" s="3">
        <f t="shared" si="3156"/>
        <v>2.0758355390047267</v>
      </c>
      <c r="AU3612" s="13" cm="1">
        <f t="array" ref="AU3612">$C3612*EXP(poly_from_str(100000000/$E3612,AU$4343))</f>
        <v>41.156785583153891</v>
      </c>
      <c r="AV3612" s="13">
        <f t="shared" si="3157"/>
        <v>0.6610318197299262</v>
      </c>
      <c r="AW3612" s="13"/>
      <c r="AX3612" s="13"/>
      <c r="AY3612" s="13"/>
    </row>
    <row r="3613" spans="1:51" x14ac:dyDescent="0.25">
      <c r="A3613" t="s">
        <v>4062</v>
      </c>
      <c r="B3613" s="2" t="str">
        <f t="shared" si="3121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3149"/>
        <v>e</v>
      </c>
      <c r="N3613" t="str">
        <f t="shared" si="3150"/>
        <v>5/2</v>
      </c>
      <c r="O3613">
        <v>67679.210000000006</v>
      </c>
      <c r="P3613" t="str">
        <f t="shared" si="3151"/>
        <v>o</v>
      </c>
      <c r="Q3613" t="str">
        <f t="shared" si="3152"/>
        <v>7/2</v>
      </c>
      <c r="R3613">
        <v>33</v>
      </c>
      <c r="S3613" t="s">
        <v>4063</v>
      </c>
      <c r="AA3613" s="10">
        <f t="shared" si="3131"/>
        <v>2394.8119999999999</v>
      </c>
      <c r="AB3613" s="3">
        <f t="shared" si="3132"/>
        <v>41744.22</v>
      </c>
      <c r="AC3613" s="3" cm="1">
        <f t="array" ref="AC3613">100000000/LvacE(AA3613)</f>
        <v>41744.215983970003</v>
      </c>
      <c r="AD3613" s="10">
        <f t="shared" si="3133"/>
        <v>1.3715551781093883E-2</v>
      </c>
      <c r="AE3613" s="10" t="b">
        <f t="shared" si="3134"/>
        <v>1</v>
      </c>
      <c r="AJ3613" t="s">
        <v>4713</v>
      </c>
      <c r="AK3613" t="s">
        <v>4861</v>
      </c>
      <c r="AL3613">
        <v>25934.98</v>
      </c>
      <c r="AM3613">
        <v>67679.210000000006</v>
      </c>
      <c r="AN3613" s="10" cm="1">
        <f t="array" ref="AN3613">Lair(100000000/($AM3613-$AL3613))</f>
        <v>2394.8111989509162</v>
      </c>
      <c r="AO3613" s="10">
        <f t="shared" si="3153"/>
        <v>2395.540653163323</v>
      </c>
      <c r="AP3613" s="12">
        <v>64400000</v>
      </c>
      <c r="AQ3613" s="3">
        <v>0.13500000000000001</v>
      </c>
      <c r="AR3613" s="3">
        <f t="shared" si="3154"/>
        <v>-6.9913313122447098</v>
      </c>
      <c r="AS3613" s="13">
        <f t="shared" si="3155"/>
        <v>14.796194427980847</v>
      </c>
      <c r="AT3613" s="3">
        <f t="shared" si="3156"/>
        <v>0.90261054523305617</v>
      </c>
      <c r="AU3613" s="13" cm="1">
        <f t="array" ref="AU3613">$C3613*EXP(poly_from_str(100000000/$E3613,AU$4343))</f>
        <v>24.727813234643619</v>
      </c>
      <c r="AV3613" s="13">
        <f t="shared" si="3157"/>
        <v>-0.51355863755158648</v>
      </c>
      <c r="AW3613" s="13"/>
      <c r="AX3613" s="13"/>
      <c r="AY3613" s="13"/>
    </row>
    <row r="3614" spans="1:51" x14ac:dyDescent="0.25">
      <c r="A3614" t="s">
        <v>4064</v>
      </c>
      <c r="B3614" s="2" t="str">
        <f t="shared" si="3121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3149"/>
        <v>e</v>
      </c>
      <c r="N3614" t="str">
        <f t="shared" si="3150"/>
        <v>9/2</v>
      </c>
      <c r="O3614">
        <v>62062.63</v>
      </c>
      <c r="P3614" t="str">
        <f t="shared" si="3151"/>
        <v>o</v>
      </c>
      <c r="Q3614" t="str">
        <f t="shared" si="3152"/>
        <v>9/2</v>
      </c>
      <c r="R3614">
        <v>33</v>
      </c>
      <c r="AA3614" s="10">
        <f t="shared" si="3131"/>
        <v>2394.6509999999998</v>
      </c>
      <c r="AB3614" s="3">
        <f t="shared" si="3132"/>
        <v>41747.019999999997</v>
      </c>
      <c r="AC3614" s="3" cm="1">
        <f t="array" ref="AC3614">100000000/LvacE(AA3614)</f>
        <v>41747.022360743809</v>
      </c>
      <c r="AD3614" s="10">
        <f t="shared" si="3133"/>
        <v>1.3716723723152937E-2</v>
      </c>
      <c r="AE3614" s="10" t="b">
        <f t="shared" si="3134"/>
        <v>1</v>
      </c>
      <c r="AJ3614" t="s">
        <v>4964</v>
      </c>
      <c r="AK3614" t="s">
        <v>4848</v>
      </c>
      <c r="AL3614">
        <v>20315.650000000001</v>
      </c>
      <c r="AM3614">
        <v>62062.63</v>
      </c>
      <c r="AN3614" s="10" cm="1">
        <f t="array" ref="AN3614">Lair(100000000/($AM3614-$AL3614))</f>
        <v>2394.6534331459725</v>
      </c>
      <c r="AO3614" s="10">
        <f t="shared" si="3153"/>
        <v>2395.3828516457961</v>
      </c>
      <c r="AP3614" s="12">
        <v>63600000</v>
      </c>
      <c r="AQ3614" s="3">
        <v>0.316</v>
      </c>
      <c r="AR3614" s="3">
        <f t="shared" si="3154"/>
        <v>-7.1608703149531943</v>
      </c>
      <c r="AS3614" s="13">
        <f t="shared" si="3155"/>
        <v>22.274485100754031</v>
      </c>
      <c r="AT3614" s="3">
        <f t="shared" si="3156"/>
        <v>1.4940039450890059</v>
      </c>
      <c r="AU3614" s="13" cm="1">
        <f t="array" ref="AU3614">$C3614*EXP(poly_from_str(100000000/$E3614,AU$4343))</f>
        <v>20.613688836564805</v>
      </c>
      <c r="AV3614" s="13">
        <f t="shared" si="3157"/>
        <v>7.7486495784981818E-2</v>
      </c>
      <c r="AW3614" s="13"/>
      <c r="AX3614" s="13"/>
      <c r="AY3614" s="13"/>
    </row>
    <row r="3615" spans="1:51" x14ac:dyDescent="0.25">
      <c r="A3615" t="s">
        <v>4065</v>
      </c>
      <c r="B3615" s="2" t="str">
        <f t="shared" si="3121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3149"/>
        <v>e</v>
      </c>
      <c r="N3615" t="str">
        <f t="shared" si="3150"/>
        <v>9/2</v>
      </c>
      <c r="O3615">
        <v>71592.34</v>
      </c>
      <c r="P3615" t="str">
        <f t="shared" si="3151"/>
        <v>o</v>
      </c>
      <c r="Q3615" t="str">
        <f t="shared" si="3152"/>
        <v>9/2</v>
      </c>
      <c r="R3615">
        <v>33</v>
      </c>
      <c r="AA3615" s="10">
        <f t="shared" si="3131"/>
        <v>2394.0639999999999</v>
      </c>
      <c r="AB3615" s="3">
        <f t="shared" si="3132"/>
        <v>41757.26</v>
      </c>
      <c r="AC3615" s="3" cm="1">
        <f t="array" ref="AC3615">100000000/LvacE(AA3615)</f>
        <v>41757.25750223521</v>
      </c>
      <c r="AD3615" s="10">
        <f t="shared" si="3133"/>
        <v>1.372099858279378E-2</v>
      </c>
      <c r="AE3615" s="10" t="b">
        <f t="shared" si="3134"/>
        <v>1</v>
      </c>
      <c r="AJ3615" t="s">
        <v>4697</v>
      </c>
      <c r="AK3615" t="s">
        <v>4881</v>
      </c>
      <c r="AL3615">
        <v>29835.09</v>
      </c>
      <c r="AM3615">
        <v>71592.34</v>
      </c>
      <c r="AN3615" s="10" cm="1">
        <f t="array" ref="AN3615">Lair(100000000/($AM3615-$AL3615))</f>
        <v>2394.0644332703873</v>
      </c>
      <c r="AO3615" s="10">
        <f t="shared" si="3153"/>
        <v>2394.7937184560765</v>
      </c>
      <c r="AP3615" s="12">
        <v>62700000</v>
      </c>
      <c r="AQ3615" s="3">
        <v>9.4E-2</v>
      </c>
      <c r="AR3615" s="3">
        <f t="shared" si="3154"/>
        <v>-7.3687295600066447</v>
      </c>
      <c r="AS3615" s="13">
        <f t="shared" si="3155"/>
        <v>10.743081352360567</v>
      </c>
      <c r="AT3615" s="3">
        <f t="shared" si="3156"/>
        <v>0.98796759112828136</v>
      </c>
      <c r="AU3615" s="13" cm="1">
        <f t="array" ref="AU3615">$C3615*EXP(poly_from_str(100000000/$E3615,AU$4343))</f>
        <v>16.512044256227025</v>
      </c>
      <c r="AV3615" s="13">
        <f t="shared" si="3157"/>
        <v>-0.42982811729369563</v>
      </c>
      <c r="AW3615" s="13"/>
      <c r="AX3615" s="13"/>
      <c r="AY3615" s="13"/>
    </row>
    <row r="3616" spans="1:51" x14ac:dyDescent="0.25">
      <c r="A3616" t="s">
        <v>4066</v>
      </c>
      <c r="B3616" s="2" t="str">
        <f t="shared" si="3121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3149"/>
        <v>e</v>
      </c>
      <c r="N3616" t="str">
        <f t="shared" si="3150"/>
        <v>11/2</v>
      </c>
      <c r="O3616">
        <v>69138.28</v>
      </c>
      <c r="P3616" t="str">
        <f t="shared" si="3151"/>
        <v>o</v>
      </c>
      <c r="Q3616" t="str">
        <f t="shared" si="3152"/>
        <v>9/2</v>
      </c>
      <c r="R3616">
        <v>33</v>
      </c>
      <c r="AA3616" s="10">
        <f t="shared" si="3131"/>
        <v>2394.0230000000001</v>
      </c>
      <c r="AB3616" s="3">
        <f t="shared" si="3132"/>
        <v>41757.97</v>
      </c>
      <c r="AC3616" s="3" cm="1">
        <f t="array" ref="AC3616">100000000/LvacE(AA3616)</f>
        <v>41757.972580368012</v>
      </c>
      <c r="AD3616" s="10">
        <f t="shared" si="3133"/>
        <v>1.3721297285023578E-2</v>
      </c>
      <c r="AE3616" s="10" t="b">
        <f t="shared" si="3134"/>
        <v>1</v>
      </c>
      <c r="AJ3616" t="s">
        <v>4712</v>
      </c>
      <c r="AK3616" t="s">
        <v>4879</v>
      </c>
      <c r="AL3616">
        <v>27380.31</v>
      </c>
      <c r="AM3616">
        <v>69138.28</v>
      </c>
      <c r="AN3616" s="10" cm="1">
        <f t="array" ref="AN3616">Lair(100000000/($AM3616-$AL3616))</f>
        <v>2394.0231510592366</v>
      </c>
      <c r="AO3616" s="10">
        <f t="shared" si="3153"/>
        <v>2394.7524269019782</v>
      </c>
      <c r="AP3616" s="12">
        <v>147000000</v>
      </c>
      <c r="AQ3616" s="3">
        <v>0.16800000000000001</v>
      </c>
      <c r="AR3616" s="3">
        <f t="shared" si="3154"/>
        <v>-7.6611132556293295</v>
      </c>
      <c r="AS3616" s="13">
        <f t="shared" si="3155"/>
        <v>30.280973721903909</v>
      </c>
      <c r="AT3616" s="3">
        <f t="shared" si="3156"/>
        <v>1.4646094362592494</v>
      </c>
      <c r="AU3616" s="13" cm="1">
        <f t="array" ref="AU3616">$C3616*EXP(poly_from_str(100000000/$E3616,AU$4343))</f>
        <v>28.898646364568116</v>
      </c>
      <c r="AV3616" s="13">
        <f t="shared" si="3157"/>
        <v>4.6724829889396614E-2</v>
      </c>
      <c r="AW3616" s="13"/>
      <c r="AX3616" s="13"/>
      <c r="AY3616" s="13"/>
    </row>
    <row r="3617" spans="1:51" x14ac:dyDescent="0.25">
      <c r="A3617" t="s">
        <v>4067</v>
      </c>
      <c r="B3617" s="2" t="str">
        <f t="shared" si="3121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3149"/>
        <v>e</v>
      </c>
      <c r="N3617" t="str">
        <f t="shared" si="3150"/>
        <v>5/2</v>
      </c>
      <c r="O3617">
        <v>65295.9</v>
      </c>
      <c r="P3617" t="str">
        <f t="shared" si="3151"/>
        <v>o</v>
      </c>
      <c r="Q3617" t="str">
        <f t="shared" si="3152"/>
        <v>7/2</v>
      </c>
      <c r="R3617">
        <v>33</v>
      </c>
      <c r="AA3617" s="10">
        <f t="shared" si="3131"/>
        <v>2393.7350000000001</v>
      </c>
      <c r="AB3617" s="3">
        <f t="shared" si="3132"/>
        <v>41763</v>
      </c>
      <c r="AC3617" s="3" cm="1">
        <f t="array" ref="AC3617">100000000/LvacE(AA3617)</f>
        <v>41762.996258488929</v>
      </c>
      <c r="AD3617" s="10">
        <f t="shared" si="3133"/>
        <v>1.372339591861441E-2</v>
      </c>
      <c r="AE3617" s="10" t="b">
        <f t="shared" si="3134"/>
        <v>1</v>
      </c>
      <c r="AJ3617" t="s">
        <v>4756</v>
      </c>
      <c r="AK3617" t="s">
        <v>4825</v>
      </c>
      <c r="AL3617">
        <v>23532.86</v>
      </c>
      <c r="AM3617">
        <v>65295.9</v>
      </c>
      <c r="AN3617" s="10" cm="1">
        <f t="array" ref="AN3617">Lair(100000000/($AM3617-$AL3617))</f>
        <v>2393.7324957876954</v>
      </c>
      <c r="AO3617" s="10">
        <f t="shared" si="3153"/>
        <v>2394.4617058528306</v>
      </c>
      <c r="AP3617" s="12">
        <v>17100000</v>
      </c>
      <c r="AQ3617" s="3">
        <v>3.4000000000000002E-2</v>
      </c>
      <c r="AR3617" s="3"/>
      <c r="AS3617" s="13">
        <f t="shared" si="3155"/>
        <v>4.7003879030051392</v>
      </c>
      <c r="AT3617" s="3"/>
      <c r="AU3617" s="13" cm="1">
        <f t="array" ref="AU3617">$C3617*EXP(poly_from_str(100000000/$E3617,AU$4343))</f>
        <v>16.523932213501986</v>
      </c>
      <c r="AV3617" s="13"/>
      <c r="AW3617" s="13"/>
      <c r="AX3617" s="13"/>
      <c r="AY3617" s="13"/>
    </row>
    <row r="3618" spans="1:51" x14ac:dyDescent="0.25">
      <c r="A3618" t="s">
        <v>4068</v>
      </c>
      <c r="B3618" s="2" t="str">
        <f t="shared" si="3121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3149"/>
        <v>e</v>
      </c>
      <c r="N3618" t="str">
        <f t="shared" si="3150"/>
        <v>3/2</v>
      </c>
      <c r="O3618">
        <v>80897.850000000006</v>
      </c>
      <c r="P3618" t="str">
        <f t="shared" si="3151"/>
        <v>o</v>
      </c>
      <c r="Q3618" t="str">
        <f t="shared" si="3152"/>
        <v>3/2</v>
      </c>
      <c r="R3618">
        <v>33</v>
      </c>
      <c r="AA3618" s="10">
        <f t="shared" si="3131"/>
        <v>2392.913</v>
      </c>
      <c r="AB3618" s="3">
        <f t="shared" si="3132"/>
        <v>41777.339999999997</v>
      </c>
      <c r="AC3618" s="3" cm="1">
        <f t="array" ref="AC3618">100000000/LvacE(AA3618)</f>
        <v>41777.341323233297</v>
      </c>
      <c r="AD3618" s="10">
        <f t="shared" si="3133"/>
        <v>1.3729389936707539E-2</v>
      </c>
      <c r="AE3618" s="10" t="b">
        <f t="shared" si="3134"/>
        <v>1</v>
      </c>
      <c r="AJ3618" t="s">
        <v>4733</v>
      </c>
      <c r="AK3618" t="s">
        <v>4911</v>
      </c>
      <c r="AL3618">
        <v>39120.400000000001</v>
      </c>
      <c r="AM3618">
        <v>80897.850000000006</v>
      </c>
      <c r="AN3618" s="10" cm="1">
        <f t="array" ref="AN3618">Lair(100000000/($AM3618-$AL3618))</f>
        <v>2392.9067779027914</v>
      </c>
      <c r="AO3618" s="10">
        <f t="shared" si="3153"/>
        <v>2393.6358011319503</v>
      </c>
      <c r="AP3618" s="12">
        <v>296000000</v>
      </c>
      <c r="AQ3618" s="3">
        <v>0.52900000000000003</v>
      </c>
      <c r="AR3618" s="3">
        <f t="shared" ref="AR3618:AR3619" si="3158">LN(AU3618*100000000/($AM3618-$AL3618)/AP3618)</f>
        <v>-8.5132183659153071</v>
      </c>
      <c r="AS3618" s="13">
        <f t="shared" si="3155"/>
        <v>25.239121109455738</v>
      </c>
      <c r="AT3618" s="3">
        <f t="shared" si="3156"/>
        <v>1.4366357465017447</v>
      </c>
      <c r="AU3618" s="13" cm="1">
        <f t="array" ref="AU3618">$C3618*EXP(poly_from_str(100000000/$E3618,AU$4343))</f>
        <v>24.830752414055969</v>
      </c>
      <c r="AV3618" s="13">
        <f t="shared" ref="AV3618:AV3619" si="3159">LN(AS3618/AU3618)</f>
        <v>1.6312314048784526E-2</v>
      </c>
      <c r="AW3618" s="13"/>
      <c r="AX3618" s="13"/>
      <c r="AY3618" s="13"/>
    </row>
    <row r="3619" spans="1:51" x14ac:dyDescent="0.25">
      <c r="A3619" t="s">
        <v>4069</v>
      </c>
      <c r="B3619" s="2" t="str">
        <f t="shared" si="3121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3149"/>
        <v>e</v>
      </c>
      <c r="N3619" t="str">
        <f t="shared" si="3150"/>
        <v>5/2</v>
      </c>
      <c r="O3619">
        <v>63221.279999999999</v>
      </c>
      <c r="P3619" t="str">
        <f t="shared" si="3151"/>
        <v>o</v>
      </c>
      <c r="Q3619" t="str">
        <f t="shared" si="3152"/>
        <v>3/2</v>
      </c>
      <c r="R3619">
        <v>33</v>
      </c>
      <c r="S3619" t="s">
        <v>25</v>
      </c>
      <c r="AA3619" s="10">
        <f t="shared" si="3131"/>
        <v>2391.4740000000002</v>
      </c>
      <c r="AB3619" s="3">
        <f t="shared" si="3132"/>
        <v>41802.480000000003</v>
      </c>
      <c r="AC3619" s="3" cm="1">
        <f t="array" ref="AC3619">100000000/LvacE(AA3619)</f>
        <v>41802.47765098852</v>
      </c>
      <c r="AD3619" s="10">
        <f t="shared" si="3133"/>
        <v>1.3739897998261433E-2</v>
      </c>
      <c r="AE3619" s="10" t="b">
        <f t="shared" si="3134"/>
        <v>1</v>
      </c>
      <c r="AJ3619" t="s">
        <v>4792</v>
      </c>
      <c r="AK3619" t="s">
        <v>4707</v>
      </c>
      <c r="AL3619">
        <v>21418.84</v>
      </c>
      <c r="AM3619">
        <v>63221.279999999999</v>
      </c>
      <c r="AN3619" s="10" cm="1">
        <f t="array" ref="AN3619">Lair(100000000/($AM3619-$AL3619))</f>
        <v>2391.4761573128344</v>
      </c>
      <c r="AO3619" s="10">
        <f t="shared" si="3153"/>
        <v>2392.2048569413651</v>
      </c>
      <c r="AP3619" s="12">
        <v>57600000</v>
      </c>
      <c r="AQ3619" s="3">
        <v>0.16200000000000001</v>
      </c>
      <c r="AR3619" s="3">
        <f t="shared" si="3158"/>
        <v>-7.0560963375156076</v>
      </c>
      <c r="AS3619" s="13">
        <f t="shared" si="3155"/>
        <v>18.517673941542711</v>
      </c>
      <c r="AT3619" s="3">
        <f t="shared" si="3156"/>
        <v>1.3092877117870307</v>
      </c>
      <c r="AU3619" s="13" cm="1">
        <f t="array" ref="AU3619">$C3619*EXP(poly_from_str(100000000/$E3619,AU$4343))</f>
        <v>20.758712419934575</v>
      </c>
      <c r="AV3619" s="13">
        <f t="shared" si="3159"/>
        <v>-0.11424040999195548</v>
      </c>
      <c r="AW3619" s="13"/>
      <c r="AX3619" s="13"/>
      <c r="AY3619" s="13"/>
    </row>
    <row r="3620" spans="1:51" x14ac:dyDescent="0.25">
      <c r="A3620" t="s">
        <v>4070</v>
      </c>
      <c r="B3620" s="2" t="str">
        <f t="shared" si="3121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3131"/>
        <v>2390.6529999999998</v>
      </c>
      <c r="AB3620" s="3">
        <f t="shared" si="3132"/>
        <v>41816.83</v>
      </c>
      <c r="AC3620" s="3" cm="1">
        <f t="array" ref="AC3620">100000000/LvacE(AA3620)</f>
        <v>41816.832363346184</v>
      </c>
      <c r="AD3620" s="10">
        <f t="shared" si="3133"/>
        <v>1.3745901718765999E-2</v>
      </c>
      <c r="AE3620" s="10" t="b">
        <f t="shared" si="3134"/>
        <v>1</v>
      </c>
      <c r="AP3620"/>
      <c r="AQ3620"/>
      <c r="AU3620" s="13" cm="1">
        <f t="array" ref="AU3620">$C3620*EXP(poly_from_str(100000000/$E3620,AU$4343))</f>
        <v>24.956568629188201</v>
      </c>
    </row>
    <row r="3621" spans="1:51" x14ac:dyDescent="0.25">
      <c r="A3621" t="s">
        <v>4071</v>
      </c>
      <c r="B3621" s="2" t="str">
        <f t="shared" si="3121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3160">$G3621&amp;""</f>
        <v>e</v>
      </c>
      <c r="N3621" t="str">
        <f t="shared" ref="N3621:N3623" si="3161">$H3621&amp;""</f>
        <v>9/2</v>
      </c>
      <c r="O3621">
        <v>66852.87</v>
      </c>
      <c r="P3621" t="str">
        <f t="shared" ref="P3621:P3623" si="3162">$J3621&amp;""</f>
        <v>o</v>
      </c>
      <c r="Q3621" t="str">
        <f t="shared" ref="Q3621:Q3623" si="3163">$K3621&amp;""</f>
        <v>7/2</v>
      </c>
      <c r="R3621">
        <v>33</v>
      </c>
      <c r="AA3621" s="10">
        <f t="shared" si="3131"/>
        <v>2390.5320000000002</v>
      </c>
      <c r="AB3621" s="3">
        <f t="shared" si="3132"/>
        <v>41818.949999999997</v>
      </c>
      <c r="AC3621" s="3" cm="1">
        <f t="array" ref="AC3621">100000000/LvacE(AA3621)</f>
        <v>41818.94881222328</v>
      </c>
      <c r="AD3621" s="10">
        <f t="shared" si="3133"/>
        <v>1.3746787077567522E-2</v>
      </c>
      <c r="AE3621" s="10" t="b">
        <f t="shared" si="3134"/>
        <v>1</v>
      </c>
      <c r="AJ3621" t="s">
        <v>4746</v>
      </c>
      <c r="AK3621" t="s">
        <v>4830</v>
      </c>
      <c r="AL3621">
        <v>25033.91</v>
      </c>
      <c r="AM3621">
        <v>66852.87</v>
      </c>
      <c r="AN3621" s="10" cm="1">
        <f t="array" ref="AN3621">Lair(100000000/($AM3621-$AL3621))</f>
        <v>2390.5313636045557</v>
      </c>
      <c r="AO3621" s="10">
        <f t="shared" ref="AO3621:AO3623" si="3164">100000000/($AM3621-$AL3621)</f>
        <v>2391.2598495993211</v>
      </c>
      <c r="AP3621" s="12">
        <v>71200000</v>
      </c>
      <c r="AQ3621" s="3">
        <v>0.21099999999999999</v>
      </c>
      <c r="AR3621" s="3">
        <f t="shared" ref="AR3621:AR3623" si="3165">LN(AU3621*100000000/($AM3621-$AL3621)/AP3621)</f>
        <v>-7.2663377446459672</v>
      </c>
      <c r="AS3621" s="13">
        <f t="shared" ref="AS3621:AS3623" si="3166">EXP(AR$4341*$AM3621+AR$4342)*$AP3621/(100000000/($AM3621-$AL3621))</f>
        <v>17.436259659005568</v>
      </c>
      <c r="AT3621" s="3">
        <f t="shared" ref="AT3621:AT3623" si="3167">LN(AS3621/$C3621)</f>
        <v>1.2491140139512309</v>
      </c>
      <c r="AU3621" s="13" cm="1">
        <f t="array" ref="AU3621">$C3621*EXP(poly_from_str(100000000/$E3621,AU$4343))</f>
        <v>20.802849904754712</v>
      </c>
      <c r="AV3621" s="13">
        <f t="shared" ref="AV3621:AV3623" si="3168">LN(AS3621/AU3621)</f>
        <v>-0.1765380655879599</v>
      </c>
      <c r="AW3621" s="13"/>
      <c r="AX3621" s="13"/>
      <c r="AY3621" s="13"/>
    </row>
    <row r="3622" spans="1:51" x14ac:dyDescent="0.25">
      <c r="A3622" t="s">
        <v>4072</v>
      </c>
      <c r="B3622" s="2" t="str">
        <f t="shared" si="3121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3160"/>
        <v>e</v>
      </c>
      <c r="N3622" t="str">
        <f t="shared" si="3161"/>
        <v>7/2</v>
      </c>
      <c r="O3622">
        <v>78463.600000000006</v>
      </c>
      <c r="P3622" t="str">
        <f t="shared" si="3162"/>
        <v>o</v>
      </c>
      <c r="Q3622" t="str">
        <f t="shared" si="3163"/>
        <v>7/2</v>
      </c>
      <c r="R3622">
        <v>33</v>
      </c>
      <c r="AA3622" s="10">
        <f t="shared" si="3131"/>
        <v>2390.2840000000001</v>
      </c>
      <c r="AB3622" s="3">
        <f t="shared" si="3132"/>
        <v>41823.29</v>
      </c>
      <c r="AC3622" s="3" cm="1">
        <f t="array" ref="AC3622">100000000/LvacE(AA3622)</f>
        <v>41823.28732740425</v>
      </c>
      <c r="AD3622" s="10">
        <f t="shared" si="3133"/>
        <v>1.3748602117448022E-2</v>
      </c>
      <c r="AE3622" s="10" t="b">
        <f t="shared" si="3134"/>
        <v>1</v>
      </c>
      <c r="AJ3622" t="s">
        <v>4805</v>
      </c>
      <c r="AK3622" t="s">
        <v>4926</v>
      </c>
      <c r="AL3622">
        <v>36640.379999999997</v>
      </c>
      <c r="AM3622">
        <v>78463.600000000006</v>
      </c>
      <c r="AN3622" s="10" cm="1">
        <f t="array" ref="AN3622">Lair(100000000/($AM3622-$AL3622))</f>
        <v>2390.287851400461</v>
      </c>
      <c r="AO3622" s="10">
        <f t="shared" si="3164"/>
        <v>2391.016282342679</v>
      </c>
      <c r="AP3622" s="12">
        <v>57000000</v>
      </c>
      <c r="AQ3622" s="3">
        <v>6.5000000000000002E-2</v>
      </c>
      <c r="AR3622" s="3">
        <f t="shared" si="3165"/>
        <v>-7.9597258468622503</v>
      </c>
      <c r="AS3622" s="13">
        <f t="shared" si="3166"/>
        <v>5.840781298595302</v>
      </c>
      <c r="AT3622" s="3">
        <f t="shared" si="3167"/>
        <v>1.0717173913379532</v>
      </c>
      <c r="AU3622" s="13" cm="1">
        <f t="array" ref="AU3622">$C3622*EXP(poly_from_str(100000000/$E3622,AU$4343))</f>
        <v>8.325825596124492</v>
      </c>
      <c r="AV3622" s="13">
        <f t="shared" si="3168"/>
        <v>-0.35449762975716437</v>
      </c>
      <c r="AW3622" s="13"/>
      <c r="AX3622" s="13"/>
      <c r="AY3622" s="13"/>
    </row>
    <row r="3623" spans="1:51" x14ac:dyDescent="0.25">
      <c r="A3623" t="s">
        <v>4073</v>
      </c>
      <c r="B3623" s="2" t="str">
        <f t="shared" si="3121"/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3160"/>
        <v>e</v>
      </c>
      <c r="N3623" t="str">
        <f t="shared" si="3161"/>
        <v>9/2</v>
      </c>
      <c r="O3623">
        <v>69431</v>
      </c>
      <c r="P3623" t="str">
        <f t="shared" si="3162"/>
        <v>o</v>
      </c>
      <c r="Q3623" t="str">
        <f t="shared" si="3163"/>
        <v>7/2</v>
      </c>
      <c r="R3623">
        <v>33</v>
      </c>
      <c r="AA3623" s="10">
        <f t="shared" si="3131"/>
        <v>2390.0880000000002</v>
      </c>
      <c r="AB3623" s="3">
        <f t="shared" si="3132"/>
        <v>41826.720000000001</v>
      </c>
      <c r="AC3623" s="3" cm="1">
        <f t="array" ref="AC3623">100000000/LvacE(AA3623)</f>
        <v>41826.716790780767</v>
      </c>
      <c r="AD3623" s="10">
        <f t="shared" si="3133"/>
        <v>1.3750036984157228E-2</v>
      </c>
      <c r="AE3623" s="10" t="b">
        <f t="shared" si="3134"/>
        <v>1</v>
      </c>
      <c r="AJ3623" t="s">
        <v>4718</v>
      </c>
      <c r="AK3623" t="s">
        <v>4864</v>
      </c>
      <c r="AL3623">
        <v>27604.26</v>
      </c>
      <c r="AM3623">
        <v>69431</v>
      </c>
      <c r="AN3623" s="10" cm="1">
        <f t="array" ref="AN3623">Lair(100000000/($AM3623-$AL3623))</f>
        <v>2390.0866768619171</v>
      </c>
      <c r="AO3623" s="10">
        <f t="shared" si="3164"/>
        <v>2390.8150623261577</v>
      </c>
      <c r="AP3623" s="12">
        <v>200000000</v>
      </c>
      <c r="AQ3623" s="3">
        <v>0.24299999999999999</v>
      </c>
      <c r="AR3623" s="3">
        <f t="shared" si="3165"/>
        <v>-8.1160179447645948</v>
      </c>
      <c r="AS3623" s="13">
        <f t="shared" si="3166"/>
        <v>40.369808618572314</v>
      </c>
      <c r="AT3623" s="3">
        <f t="shared" si="3167"/>
        <v>1.9063227249411956</v>
      </c>
      <c r="AU3623" s="13" cm="1">
        <f t="array" ref="AU3623">$C3623*EXP(poly_from_str(100000000/$E3623,AU$4343))</f>
        <v>24.988616038417977</v>
      </c>
      <c r="AV3623" s="13">
        <f t="shared" si="3168"/>
        <v>0.47966183147147956</v>
      </c>
      <c r="AW3623" s="13"/>
      <c r="AX3623" s="13"/>
      <c r="AY3623" s="13"/>
    </row>
    <row r="3624" spans="1:51" x14ac:dyDescent="0.25">
      <c r="A3624" t="s">
        <v>4074</v>
      </c>
      <c r="B3624" s="2" t="str">
        <f t="shared" si="3121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3131"/>
        <v>2389.855</v>
      </c>
      <c r="AB3624" s="3">
        <f t="shared" si="3132"/>
        <v>41830.79</v>
      </c>
      <c r="AC3624" s="3" cm="1">
        <f t="array" ref="AC3624">100000000/LvacE(AA3624)</f>
        <v>41830.794384572393</v>
      </c>
      <c r="AD3624" s="10">
        <f t="shared" si="3133"/>
        <v>1.3751743177843927E-2</v>
      </c>
      <c r="AE3624" s="10" t="b">
        <f t="shared" si="3134"/>
        <v>1</v>
      </c>
      <c r="AP3624"/>
      <c r="AQ3624"/>
      <c r="AU3624" s="13" cm="1">
        <f t="array" ref="AU3624">$C3624*EXP(poly_from_str(100000000/$E3624,AU$4343))</f>
        <v>16.667911972111671</v>
      </c>
    </row>
    <row r="3625" spans="1:51" x14ac:dyDescent="0.25">
      <c r="A3625" t="s">
        <v>4075</v>
      </c>
      <c r="B3625" s="2" t="str">
        <f t="shared" si="3121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3169">$G3625&amp;""</f>
        <v>e</v>
      </c>
      <c r="N3625" t="str">
        <f t="shared" ref="N3625:N3626" si="3170">$H3625&amp;""</f>
        <v>11/2</v>
      </c>
      <c r="O3625">
        <v>63593.35</v>
      </c>
      <c r="P3625" t="str">
        <f t="shared" ref="P3625:P3626" si="3171">$J3625&amp;""</f>
        <v>o</v>
      </c>
      <c r="Q3625" t="str">
        <f t="shared" ref="Q3625:Q3626" si="3172">$K3625&amp;""</f>
        <v>9/2</v>
      </c>
      <c r="R3625">
        <v>34</v>
      </c>
      <c r="AA3625" s="10">
        <f t="shared" si="3131"/>
        <v>2389.473</v>
      </c>
      <c r="AB3625" s="3">
        <f t="shared" si="3132"/>
        <v>41837.480000000003</v>
      </c>
      <c r="AC3625" s="3" cm="1">
        <f t="array" ref="AC3625">100000000/LvacE(AA3625)</f>
        <v>41837.481258686887</v>
      </c>
      <c r="AD3625" s="10">
        <f t="shared" si="3133"/>
        <v>1.3754541536708489E-2</v>
      </c>
      <c r="AE3625" s="10" t="b">
        <f t="shared" si="3134"/>
        <v>1</v>
      </c>
      <c r="AJ3625" t="s">
        <v>4965</v>
      </c>
      <c r="AK3625" t="s">
        <v>4840</v>
      </c>
      <c r="AL3625">
        <v>21755.84</v>
      </c>
      <c r="AM3625">
        <v>63593.35</v>
      </c>
      <c r="AN3625" s="10" cm="1">
        <f t="array" ref="AN3625">Lair(100000000/($AM3625-$AL3625))</f>
        <v>2389.4713615779947</v>
      </c>
      <c r="AO3625" s="10">
        <f t="shared" ref="AO3625:AO3626" si="3173">100000000/($AM3625-$AL3625)</f>
        <v>2390.1996079594605</v>
      </c>
      <c r="AP3625" s="12">
        <v>26200000</v>
      </c>
      <c r="AQ3625" s="3">
        <v>5.2999999999999999E-2</v>
      </c>
      <c r="AR3625" s="3">
        <f t="shared" ref="AR3625:AR3626" si="3174">LN(AU3625*100000000/($AM3625-$AL3625)/AP3625)</f>
        <v>-6.4877782783797757</v>
      </c>
      <c r="AS3625" s="13">
        <f t="shared" ref="AS3625:AS3626" si="3175">EXP(AR$4341*$AM3625+AR$4342)*$AP3625/(100000000/($AM3625-$AL3625))</f>
        <v>8.1979031967746376</v>
      </c>
      <c r="AT3625" s="3">
        <f t="shared" ref="AT3625:AT3626" si="3176">LN(AS3625/$C3625)</f>
        <v>0.71758405274111581</v>
      </c>
      <c r="AU3625" s="13" cm="1">
        <f t="array" ref="AU3625">$C3625*EXP(poly_from_str(100000000/$E3625,AU$4343))</f>
        <v>16.682487740754787</v>
      </c>
      <c r="AV3625" s="13">
        <f t="shared" ref="AV3625:AV3626" si="3177">LN(AS3625/AU3625)</f>
        <v>-0.71048111707774908</v>
      </c>
      <c r="AW3625" s="13"/>
      <c r="AX3625" s="13"/>
      <c r="AY3625" s="13"/>
    </row>
    <row r="3626" spans="1:51" x14ac:dyDescent="0.25">
      <c r="A3626" t="s">
        <v>4076</v>
      </c>
      <c r="B3626" s="2" t="str">
        <f t="shared" si="3121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3169"/>
        <v>e</v>
      </c>
      <c r="N3626" t="str">
        <f t="shared" si="3170"/>
        <v>7/2</v>
      </c>
      <c r="O3626">
        <v>68978.55</v>
      </c>
      <c r="P3626" t="str">
        <f t="shared" si="3171"/>
        <v>o</v>
      </c>
      <c r="Q3626" t="str">
        <f t="shared" si="3172"/>
        <v>5/2</v>
      </c>
      <c r="R3626">
        <v>34</v>
      </c>
      <c r="AA3626" s="10">
        <f t="shared" si="3131"/>
        <v>2389.3290000000002</v>
      </c>
      <c r="AB3626" s="3">
        <f t="shared" si="3132"/>
        <v>41840</v>
      </c>
      <c r="AC3626" s="3" cm="1">
        <f t="array" ref="AC3626">100000000/LvacE(AA3626)</f>
        <v>41840.002519993381</v>
      </c>
      <c r="AD3626" s="10">
        <f t="shared" si="3133"/>
        <v>1.3755596763776228E-2</v>
      </c>
      <c r="AE3626" s="10" t="b">
        <f t="shared" si="3134"/>
        <v>1</v>
      </c>
      <c r="AJ3626" t="s">
        <v>4723</v>
      </c>
      <c r="AK3626" t="s">
        <v>4918</v>
      </c>
      <c r="AL3626">
        <v>27138.55</v>
      </c>
      <c r="AM3626">
        <v>68978.55</v>
      </c>
      <c r="AN3626" s="10" cm="1">
        <f t="array" ref="AN3626">Lair(100000000/($AM3626-$AL3626))</f>
        <v>2389.3291471370371</v>
      </c>
      <c r="AO3626" s="10">
        <f t="shared" si="3173"/>
        <v>2390.0573613766728</v>
      </c>
      <c r="AP3626" s="12">
        <v>138000000</v>
      </c>
      <c r="AQ3626" s="3">
        <v>0.14699999999999999</v>
      </c>
      <c r="AR3626" s="3">
        <f t="shared" si="3174"/>
        <v>-7.9258584091751016</v>
      </c>
      <c r="AS3626" s="13">
        <f t="shared" si="3175"/>
        <v>28.826364174513781</v>
      </c>
      <c r="AT3626" s="3">
        <f t="shared" si="3176"/>
        <v>1.7518524786901213</v>
      </c>
      <c r="AU3626" s="13" cm="1">
        <f t="array" ref="AU3626">$C3626*EXP(poly_from_str(100000000/$E3626,AU$4343))</f>
        <v>20.859994558882264</v>
      </c>
      <c r="AV3626" s="13">
        <f t="shared" si="3177"/>
        <v>0.32345720239140574</v>
      </c>
      <c r="AW3626" s="13"/>
      <c r="AX3626" s="13"/>
      <c r="AY3626" s="13"/>
    </row>
    <row r="3627" spans="1:51" x14ac:dyDescent="0.25">
      <c r="A3627" t="s">
        <v>4077</v>
      </c>
      <c r="B3627" s="2" t="str">
        <f t="shared" si="3121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3131"/>
        <v>2389.018</v>
      </c>
      <c r="AB3627" s="3">
        <f t="shared" si="3132"/>
        <v>41845.449999999997</v>
      </c>
      <c r="AC3627" s="3" cm="1">
        <f t="array" ref="AC3627">100000000/LvacE(AA3627)</f>
        <v>41845.448780969455</v>
      </c>
      <c r="AD3627" s="10">
        <f t="shared" si="3133"/>
        <v>1.3757876412184726E-2</v>
      </c>
      <c r="AE3627" s="10" t="b">
        <f t="shared" si="3134"/>
        <v>1</v>
      </c>
      <c r="AP3627"/>
      <c r="AQ3627"/>
      <c r="AU3627" s="13" cm="1">
        <f t="array" ref="AU3627">$C3627*EXP(poly_from_str(100000000/$E3627,AU$4343))</f>
        <v>4.1749851120567731</v>
      </c>
    </row>
    <row r="3628" spans="1:51" x14ac:dyDescent="0.25">
      <c r="A3628" t="s">
        <v>4078</v>
      </c>
      <c r="B3628" s="2" t="str">
        <f t="shared" si="3121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3178">$G3628&amp;""</f>
        <v>e</v>
      </c>
      <c r="N3628" t="str">
        <f t="shared" ref="N3628:N3630" si="3179">$H3628&amp;""</f>
        <v>7/2</v>
      </c>
      <c r="O3628">
        <v>68987.070000000007</v>
      </c>
      <c r="P3628" t="str">
        <f t="shared" ref="P3628:P3630" si="3180">$J3628&amp;""</f>
        <v>o</v>
      </c>
      <c r="Q3628" t="str">
        <f t="shared" ref="Q3628:Q3630" si="3181">$K3628&amp;""</f>
        <v>7/2</v>
      </c>
      <c r="R3628">
        <v>34</v>
      </c>
      <c r="AA3628" s="10">
        <f t="shared" si="3131"/>
        <v>2388.8449999999998</v>
      </c>
      <c r="AB3628" s="3">
        <f t="shared" si="3132"/>
        <v>41848.480000000003</v>
      </c>
      <c r="AC3628" s="3" cm="1">
        <f t="array" ref="AC3628">100000000/LvacE(AA3628)</f>
        <v>41848.478986811126</v>
      </c>
      <c r="AD3628" s="10">
        <f t="shared" si="3133"/>
        <v>1.3759144897808592E-2</v>
      </c>
      <c r="AE3628" s="10" t="b">
        <f t="shared" si="3134"/>
        <v>1</v>
      </c>
      <c r="AJ3628" t="s">
        <v>4723</v>
      </c>
      <c r="AK3628" t="s">
        <v>4920</v>
      </c>
      <c r="AL3628">
        <v>27138.55</v>
      </c>
      <c r="AM3628">
        <v>68987.070000000007</v>
      </c>
      <c r="AN3628" s="10" cm="1">
        <f t="array" ref="AN3628">Lair(100000000/($AM3628-$AL3628))</f>
        <v>2388.8426618828657</v>
      </c>
      <c r="AO3628" s="10">
        <f t="shared" ref="AO3628:AO3630" si="3182">100000000/($AM3628-$AL3628)</f>
        <v>2389.5707661824122</v>
      </c>
      <c r="AP3628" s="12">
        <v>12600000</v>
      </c>
      <c r="AQ3628" s="3">
        <v>0.01</v>
      </c>
      <c r="AR3628" s="3"/>
      <c r="AS3628" s="13">
        <f t="shared" ref="AS3628:AS3630" si="3183">EXP(AR$4341*$AM3628+AR$4342)*$AP3628/(100000000/($AM3628-$AL3628))</f>
        <v>2.6308256536925514</v>
      </c>
      <c r="AT3628" s="3"/>
      <c r="AU3628" s="13" cm="1">
        <f t="array" ref="AU3628">$C3628*EXP(poly_from_str(100000000/$E3628,AU$4343))</f>
        <v>16.7066008210452</v>
      </c>
      <c r="AV3628" s="13"/>
      <c r="AW3628" s="13"/>
      <c r="AX3628" s="13"/>
      <c r="AY3628" s="13"/>
    </row>
    <row r="3629" spans="1:51" x14ac:dyDescent="0.25">
      <c r="A3629" t="s">
        <v>4079</v>
      </c>
      <c r="B3629" s="2" t="str">
        <f t="shared" si="3121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3178"/>
        <v>e</v>
      </c>
      <c r="N3629" t="str">
        <f t="shared" si="3179"/>
        <v>7/2</v>
      </c>
      <c r="O3629">
        <v>64401.03</v>
      </c>
      <c r="P3629" t="str">
        <f t="shared" si="3180"/>
        <v>o</v>
      </c>
      <c r="Q3629" t="str">
        <f t="shared" si="3181"/>
        <v>5/2</v>
      </c>
      <c r="R3629">
        <v>34</v>
      </c>
      <c r="AA3629" s="10">
        <f t="shared" si="3131"/>
        <v>2387.4279999999999</v>
      </c>
      <c r="AB3629" s="3">
        <f t="shared" si="3132"/>
        <v>41873.31</v>
      </c>
      <c r="AC3629" s="3" cm="1">
        <f t="array" ref="AC3629">100000000/LvacE(AA3629)</f>
        <v>41873.315176670832</v>
      </c>
      <c r="AD3629" s="10">
        <f t="shared" si="3133"/>
        <v>1.3769545129040717E-2</v>
      </c>
      <c r="AE3629" s="10" t="b">
        <f t="shared" si="3134"/>
        <v>1</v>
      </c>
      <c r="AJ3629" t="s">
        <v>4799</v>
      </c>
      <c r="AK3629" t="s">
        <v>4837</v>
      </c>
      <c r="AL3629">
        <v>22527.7</v>
      </c>
      <c r="AM3629">
        <v>64401.03</v>
      </c>
      <c r="AN3629" s="10" cm="1">
        <f t="array" ref="AN3629">Lair(100000000/($AM3629-$AL3629))</f>
        <v>2387.4271580351005</v>
      </c>
      <c r="AO3629" s="10">
        <f t="shared" si="3182"/>
        <v>2388.1549425374096</v>
      </c>
      <c r="AP3629" s="12">
        <v>27300000</v>
      </c>
      <c r="AQ3629" s="3">
        <v>0.03</v>
      </c>
      <c r="AR3629" s="3"/>
      <c r="AS3629" s="13">
        <f t="shared" si="3183"/>
        <v>8.0465847074081776</v>
      </c>
      <c r="AT3629" s="3"/>
      <c r="AU3629" s="13" cm="1">
        <f t="array" ref="AU3629">$C3629*EXP(poly_from_str(100000000/$E3629,AU$4343))</f>
        <v>12.571283195695532</v>
      </c>
      <c r="AV3629" s="13"/>
      <c r="AW3629" s="13"/>
      <c r="AX3629" s="13"/>
      <c r="AY3629" s="13"/>
    </row>
    <row r="3630" spans="1:51" x14ac:dyDescent="0.25">
      <c r="A3630" t="s">
        <v>4080</v>
      </c>
      <c r="B3630" s="2" t="str">
        <f t="shared" si="3121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3178"/>
        <v>e</v>
      </c>
      <c r="N3630" t="str">
        <f t="shared" si="3179"/>
        <v>5/2</v>
      </c>
      <c r="O3630">
        <v>78889.14</v>
      </c>
      <c r="P3630" t="str">
        <f t="shared" si="3180"/>
        <v>o</v>
      </c>
      <c r="Q3630" t="str">
        <f t="shared" si="3181"/>
        <v>3/2</v>
      </c>
      <c r="R3630">
        <v>34</v>
      </c>
      <c r="AA3630" s="10">
        <f t="shared" si="3131"/>
        <v>2387.2069999999999</v>
      </c>
      <c r="AB3630" s="3">
        <f t="shared" si="3132"/>
        <v>41877.19</v>
      </c>
      <c r="AC3630" s="3" cm="1">
        <f t="array" ref="AC3630">100000000/LvacE(AA3630)</f>
        <v>41877.191368300249</v>
      </c>
      <c r="AD3630" s="10">
        <f t="shared" si="3133"/>
        <v>1.3771168853036257E-2</v>
      </c>
      <c r="AE3630" s="10" t="b">
        <f t="shared" si="3134"/>
        <v>1</v>
      </c>
      <c r="AJ3630" t="s">
        <v>4768</v>
      </c>
      <c r="AK3630" t="s">
        <v>4877</v>
      </c>
      <c r="AL3630">
        <v>37011.919999999998</v>
      </c>
      <c r="AM3630">
        <v>78889.14</v>
      </c>
      <c r="AN3630" s="10" cm="1">
        <f t="array" ref="AN3630">Lair(100000000/($AM3630-$AL3630))</f>
        <v>2387.2053709897996</v>
      </c>
      <c r="AO3630" s="10">
        <f t="shared" si="3182"/>
        <v>2387.9331053971587</v>
      </c>
      <c r="AP3630" s="12">
        <v>331000000</v>
      </c>
      <c r="AQ3630" s="3">
        <v>0.438</v>
      </c>
      <c r="AR3630" s="3">
        <f>LN(AU3630*100000000/($AM3630-$AL3630)/AP3630)</f>
        <v>-8.4602137344049808</v>
      </c>
      <c r="AS3630" s="13">
        <f t="shared" si="3183"/>
        <v>32.893879177172884</v>
      </c>
      <c r="AT3630" s="3">
        <f t="shared" ref="AT3630" si="3184">LN(AS3630/$C3630)</f>
        <v>1.5473764481607963</v>
      </c>
      <c r="AU3630" s="13" cm="1">
        <f t="array" ref="AU3630">$C3630*EXP(poly_from_str(100000000/$E3630,AU$4343))</f>
        <v>29.348215320601774</v>
      </c>
      <c r="AV3630" s="13">
        <f>LN(AS3630/AU3630)</f>
        <v>0.11405485958461911</v>
      </c>
      <c r="AW3630" s="13"/>
      <c r="AX3630" s="13"/>
      <c r="AY3630" s="13"/>
    </row>
    <row r="3631" spans="1:51" x14ac:dyDescent="0.25">
      <c r="A3631" t="s">
        <v>4081</v>
      </c>
      <c r="B3631" s="2" t="str">
        <f t="shared" si="3121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3131"/>
        <v>2386.9369999999999</v>
      </c>
      <c r="AB3631" s="3">
        <f t="shared" si="3132"/>
        <v>41881.93</v>
      </c>
      <c r="AC3631" s="3" cm="1">
        <f t="array" ref="AC3631">100000000/LvacE(AA3631)</f>
        <v>41881.927961008463</v>
      </c>
      <c r="AD3631" s="10">
        <f t="shared" si="3133"/>
        <v>1.3773153200316655E-2</v>
      </c>
      <c r="AE3631" s="10" t="b">
        <f t="shared" si="3134"/>
        <v>1</v>
      </c>
      <c r="AP3631"/>
      <c r="AQ3631"/>
      <c r="AU3631" s="13" cm="1">
        <f t="array" ref="AU3631">$C3631*EXP(poly_from_str(100000000/$E3631,AU$4343))</f>
        <v>20.976332962664426</v>
      </c>
    </row>
    <row r="3632" spans="1:51" x14ac:dyDescent="0.25">
      <c r="A3632" t="s">
        <v>4082</v>
      </c>
      <c r="B3632" s="2" t="str">
        <f t="shared" si="3121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3185">$G3632&amp;""</f>
        <v>e</v>
      </c>
      <c r="N3632" t="str">
        <f t="shared" ref="N3632:N3636" si="3186">$H3632&amp;""</f>
        <v>7/2</v>
      </c>
      <c r="O3632">
        <v>68331.73</v>
      </c>
      <c r="P3632" t="str">
        <f t="shared" ref="P3632:P3636" si="3187">$J3632&amp;""</f>
        <v>o</v>
      </c>
      <c r="Q3632" t="str">
        <f t="shared" ref="Q3632:Q3636" si="3188">$K3632&amp;""</f>
        <v>7/2</v>
      </c>
      <c r="R3632">
        <v>34</v>
      </c>
      <c r="AA3632" s="10">
        <f t="shared" si="3131"/>
        <v>2386.777</v>
      </c>
      <c r="AB3632" s="3">
        <f t="shared" si="3132"/>
        <v>41884.730000000003</v>
      </c>
      <c r="AC3632" s="3" cm="1">
        <f t="array" ref="AC3632">100000000/LvacE(AA3632)</f>
        <v>41884.735336364422</v>
      </c>
      <c r="AD3632" s="10">
        <f t="shared" si="3133"/>
        <v>1.377432942758465E-2</v>
      </c>
      <c r="AE3632" s="10" t="b">
        <f t="shared" si="3134"/>
        <v>1</v>
      </c>
      <c r="AJ3632" t="s">
        <v>4736</v>
      </c>
      <c r="AK3632" t="s">
        <v>4923</v>
      </c>
      <c r="AL3632">
        <v>26446.97</v>
      </c>
      <c r="AM3632">
        <v>68331.75</v>
      </c>
      <c r="AN3632" s="10" cm="1">
        <f t="array" ref="AN3632">Lair(100000000/($AM3632-$AL3632))</f>
        <v>2386.7744579464061</v>
      </c>
      <c r="AO3632" s="10">
        <f t="shared" ref="AO3632:AO3636" si="3189">100000000/($AM3632-$AL3632)</f>
        <v>2387.5020950330886</v>
      </c>
      <c r="AP3632" s="12">
        <v>23700000</v>
      </c>
      <c r="AQ3632" s="3">
        <v>3.1E-2</v>
      </c>
      <c r="AR3632" s="3"/>
      <c r="AS3632" s="13">
        <f t="shared" ref="AS3632:AS3636" si="3190">EXP(AR$4341*$AM3632+AR$4342)*$AP3632/(100000000/($AM3632-$AL3632))</f>
        <v>5.2024085121032053</v>
      </c>
      <c r="AT3632" s="3"/>
      <c r="AU3632" s="13" cm="1">
        <f t="array" ref="AU3632">$C3632*EXP(poly_from_str(100000000/$E3632,AU$4343))</f>
        <v>25.181067833839712</v>
      </c>
      <c r="AV3632" s="13"/>
      <c r="AW3632" s="13"/>
      <c r="AX3632" s="13"/>
      <c r="AY3632" s="13"/>
    </row>
    <row r="3633" spans="1:51" x14ac:dyDescent="0.25">
      <c r="A3633" t="s">
        <v>4083</v>
      </c>
      <c r="B3633" s="2" t="str">
        <f t="shared" si="3121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3185"/>
        <v>o</v>
      </c>
      <c r="N3633" t="str">
        <f t="shared" si="3186"/>
        <v>13/2</v>
      </c>
      <c r="O3633">
        <v>104598.99</v>
      </c>
      <c r="P3633" t="str">
        <f t="shared" si="3187"/>
        <v>e</v>
      </c>
      <c r="Q3633" t="str">
        <f t="shared" si="3188"/>
        <v>13/2</v>
      </c>
      <c r="R3633">
        <v>34</v>
      </c>
      <c r="AA3633" s="10">
        <f t="shared" si="3131"/>
        <v>2384.7570000000001</v>
      </c>
      <c r="AB3633" s="3">
        <f t="shared" si="3132"/>
        <v>41920.21</v>
      </c>
      <c r="AC3633" s="3" cm="1">
        <f t="array" ref="AC3633">100000000/LvacE(AA3633)</f>
        <v>41920.210844997069</v>
      </c>
      <c r="AD3633" s="10">
        <f t="shared" si="3133"/>
        <v>1.3789199663738708E-2</v>
      </c>
      <c r="AE3633" s="10" t="b">
        <f t="shared" si="3134"/>
        <v>1</v>
      </c>
      <c r="AJ3633" t="s">
        <v>4888</v>
      </c>
      <c r="AK3633" t="s">
        <v>4949</v>
      </c>
      <c r="AL3633">
        <v>62678.7</v>
      </c>
      <c r="AM3633">
        <v>104598.99</v>
      </c>
      <c r="AN3633" s="10" cm="1">
        <f t="array" ref="AN3633">Lair(100000000/($AM3633-$AL3633))</f>
        <v>2384.7525000035266</v>
      </c>
      <c r="AO3633" s="10">
        <f t="shared" si="3189"/>
        <v>2385.4796806033542</v>
      </c>
      <c r="AP3633" s="12">
        <v>3000000000</v>
      </c>
      <c r="AQ3633" s="3">
        <v>0.84299999999999997</v>
      </c>
      <c r="AR3633" s="3">
        <f>LN(AU3633*100000000/($AM3633-$AL3633)/AP3633)</f>
        <v>-10.996134594272707</v>
      </c>
      <c r="AS3633" s="13">
        <f t="shared" si="3190"/>
        <v>43.342028708163681</v>
      </c>
      <c r="AT3633" s="3">
        <f t="shared" ref="AT3633:AT3636" si="3191">LN(AS3633/$C3633)</f>
        <v>2.1596848917194316</v>
      </c>
      <c r="AU3633" s="13" cm="1">
        <f t="array" ref="AU3633">$C3633*EXP(poly_from_str(100000000/$E3633,AU$4343))</f>
        <v>21.0855511079736</v>
      </c>
      <c r="AV3633" s="13">
        <f>LN(AS3633/AU3633)</f>
        <v>0.72053477985415726</v>
      </c>
      <c r="AW3633" s="13"/>
      <c r="AX3633" s="13"/>
      <c r="AY3633" s="13"/>
    </row>
    <row r="3634" spans="1:51" x14ac:dyDescent="0.25">
      <c r="A3634" t="s">
        <v>4084</v>
      </c>
      <c r="B3634" s="2" t="str">
        <f t="shared" si="3121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3185"/>
        <v>e</v>
      </c>
      <c r="N3634" t="str">
        <f t="shared" si="3186"/>
        <v>11/2</v>
      </c>
      <c r="O3634">
        <v>60166.2</v>
      </c>
      <c r="P3634" t="str">
        <f t="shared" si="3187"/>
        <v>o</v>
      </c>
      <c r="Q3634" t="str">
        <f t="shared" si="3188"/>
        <v>9/2</v>
      </c>
      <c r="R3634">
        <v>34</v>
      </c>
      <c r="AA3634" s="10">
        <f t="shared" si="3131"/>
        <v>2384.5039999999999</v>
      </c>
      <c r="AB3634" s="3">
        <f t="shared" si="3132"/>
        <v>41924.660000000003</v>
      </c>
      <c r="AC3634" s="3" cm="1">
        <f t="array" ref="AC3634">100000000/LvacE(AA3634)</f>
        <v>41924.658299411101</v>
      </c>
      <c r="AD3634" s="10">
        <f t="shared" si="3133"/>
        <v>1.379106478735433E-2</v>
      </c>
      <c r="AE3634" s="10" t="b">
        <f t="shared" si="3134"/>
        <v>1</v>
      </c>
      <c r="AJ3634" t="s">
        <v>4724</v>
      </c>
      <c r="AK3634" t="s">
        <v>4726</v>
      </c>
      <c r="AL3634">
        <v>18241.54</v>
      </c>
      <c r="AM3634">
        <v>60166.2</v>
      </c>
      <c r="AN3634" s="10" cm="1">
        <f t="array" ref="AN3634">Lair(100000000/($AM3634-$AL3634))</f>
        <v>2384.5039065971391</v>
      </c>
      <c r="AO3634" s="10">
        <f t="shared" si="3189"/>
        <v>2385.2310310924408</v>
      </c>
      <c r="AP3634" s="12">
        <v>27300000</v>
      </c>
      <c r="AQ3634" s="3">
        <v>4.5999999999999999E-2</v>
      </c>
      <c r="AR3634" s="3"/>
      <c r="AS3634" s="13">
        <f t="shared" si="3190"/>
        <v>11.070491010767924</v>
      </c>
      <c r="AT3634" s="3"/>
      <c r="AU3634" s="13" cm="1">
        <f t="array" ref="AU3634">$C3634*EXP(poly_from_str(100000000/$E3634,AU$4343))</f>
        <v>16.878750717349472</v>
      </c>
      <c r="AV3634" s="13"/>
      <c r="AW3634" s="13"/>
      <c r="AX3634" s="13"/>
      <c r="AY3634" s="13"/>
    </row>
    <row r="3635" spans="1:51" x14ac:dyDescent="0.25">
      <c r="A3635" t="s">
        <v>4085</v>
      </c>
      <c r="B3635" s="2" t="str">
        <f t="shared" si="3121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3185"/>
        <v>e</v>
      </c>
      <c r="N3635" t="str">
        <f t="shared" si="3186"/>
        <v>7/2</v>
      </c>
      <c r="O3635">
        <v>68374.539999999994</v>
      </c>
      <c r="P3635" t="str">
        <f t="shared" si="3187"/>
        <v>o</v>
      </c>
      <c r="Q3635" t="str">
        <f t="shared" si="3188"/>
        <v>9/2</v>
      </c>
      <c r="R3635">
        <v>34</v>
      </c>
      <c r="AA3635" s="10">
        <f t="shared" si="3131"/>
        <v>2384.34</v>
      </c>
      <c r="AB3635" s="3">
        <f t="shared" si="3132"/>
        <v>41927.54</v>
      </c>
      <c r="AC3635" s="3" cm="1">
        <f t="array" ref="AC3635">100000000/LvacE(AA3635)</f>
        <v>41927.541738407257</v>
      </c>
      <c r="AD3635" s="10">
        <f t="shared" si="3133"/>
        <v>1.3792274117451216E-2</v>
      </c>
      <c r="AE3635" s="10" t="b">
        <f t="shared" si="3134"/>
        <v>1</v>
      </c>
      <c r="AJ3635" t="s">
        <v>4736</v>
      </c>
      <c r="AK3635" t="s">
        <v>4739</v>
      </c>
      <c r="AL3635">
        <v>26446.97</v>
      </c>
      <c r="AM3635">
        <v>68374.539999999994</v>
      </c>
      <c r="AN3635" s="10" cm="1">
        <f t="array" ref="AN3635">Lair(100000000/($AM3635-$AL3635))</f>
        <v>2384.3383960214824</v>
      </c>
      <c r="AO3635" s="10">
        <f t="shared" si="3189"/>
        <v>2385.0654831653733</v>
      </c>
      <c r="AP3635" s="12">
        <v>102000000</v>
      </c>
      <c r="AQ3635" s="3">
        <v>0.38200000000000001</v>
      </c>
      <c r="AR3635" s="3">
        <f t="shared" ref="AR3635:AR3636" si="3192">LN(AU3635*100000000/($AM3635-$AL3635)/AP3635)</f>
        <v>-7.6139062297804427</v>
      </c>
      <c r="AS3635" s="13">
        <f t="shared" si="3190"/>
        <v>22.341128311574231</v>
      </c>
      <c r="AT3635" s="3">
        <f t="shared" si="3191"/>
        <v>1.4969913862688051</v>
      </c>
      <c r="AU3635" s="13" cm="1">
        <f t="array" ref="AU3635">$C3635*EXP(poly_from_str(100000000/$E3635,AU$4343))</f>
        <v>21.106800397327262</v>
      </c>
      <c r="AV3635" s="13">
        <f t="shared" ref="AV3635:AV3636" si="3193">LN(AS3635/AU3635)</f>
        <v>5.6834016434153992E-2</v>
      </c>
      <c r="AW3635" s="13"/>
      <c r="AX3635" s="13"/>
      <c r="AY3635" s="13"/>
    </row>
    <row r="3636" spans="1:51" x14ac:dyDescent="0.25">
      <c r="A3636" t="s">
        <v>4086</v>
      </c>
      <c r="B3636" s="2" t="str">
        <f t="shared" si="3121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3185"/>
        <v>o</v>
      </c>
      <c r="N3636" t="str">
        <f t="shared" si="3186"/>
        <v>9/2</v>
      </c>
      <c r="O3636">
        <v>103308.53</v>
      </c>
      <c r="P3636" t="str">
        <f t="shared" si="3187"/>
        <v>e</v>
      </c>
      <c r="Q3636" t="str">
        <f t="shared" si="3188"/>
        <v>7/2</v>
      </c>
      <c r="R3636">
        <v>34</v>
      </c>
      <c r="AA3636" s="10">
        <f t="shared" si="3131"/>
        <v>2382.9789999999998</v>
      </c>
      <c r="AB3636" s="3">
        <f t="shared" si="3132"/>
        <v>41951.49</v>
      </c>
      <c r="AC3636" s="3" cm="1">
        <f t="array" ref="AC3636">100000000/LvacE(AA3636)</f>
        <v>41951.486076737609</v>
      </c>
      <c r="AD3636" s="10">
        <f t="shared" si="3133"/>
        <v>1.3802319717617657E-2</v>
      </c>
      <c r="AE3636" s="10" t="b">
        <f t="shared" si="3134"/>
        <v>1</v>
      </c>
      <c r="AJ3636" t="s">
        <v>4903</v>
      </c>
      <c r="AK3636" t="s">
        <v>4906</v>
      </c>
      <c r="AL3636">
        <v>61357.04</v>
      </c>
      <c r="AM3636">
        <v>103308.53</v>
      </c>
      <c r="AN3636" s="10" cm="1">
        <f t="array" ref="AN3636">Lair(100000000/($AM3636-$AL3636))</f>
        <v>2382.9787804905527</v>
      </c>
      <c r="AO3636" s="10">
        <f t="shared" si="3189"/>
        <v>2383.7055608751921</v>
      </c>
      <c r="AP3636" s="12">
        <v>803000000</v>
      </c>
      <c r="AQ3636" s="3">
        <v>0.314</v>
      </c>
      <c r="AR3636" s="3">
        <f t="shared" si="3192"/>
        <v>-10.185363801480502</v>
      </c>
      <c r="AS3636" s="13">
        <f t="shared" si="3190"/>
        <v>12.790449825149425</v>
      </c>
      <c r="AT3636" s="3">
        <f t="shared" si="3191"/>
        <v>1.4500864963706026</v>
      </c>
      <c r="AU3636" s="13" cm="1">
        <f t="array" ref="AU3636">$C3636*EXP(poly_from_str(100000000/$E3636,AU$4343))</f>
        <v>12.706198639187322</v>
      </c>
      <c r="AV3636" s="13">
        <f t="shared" si="3193"/>
        <v>6.6088288215841859E-3</v>
      </c>
      <c r="AW3636" s="13"/>
      <c r="AX3636" s="13"/>
      <c r="AY3636" s="13"/>
    </row>
    <row r="3637" spans="1:51" x14ac:dyDescent="0.25">
      <c r="A3637" t="s">
        <v>4087</v>
      </c>
      <c r="B3637" s="2" t="str">
        <f t="shared" si="3121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3131"/>
        <v>2382.7829999999999</v>
      </c>
      <c r="AB3637" s="3">
        <f t="shared" si="3132"/>
        <v>41954.94</v>
      </c>
      <c r="AC3637" s="3" cm="1">
        <f t="array" ref="AC3637">100000000/LvacE(AA3637)</f>
        <v>41954.936595813393</v>
      </c>
      <c r="AD3637" s="10">
        <f t="shared" si="3133"/>
        <v>1.3803767820194577E-2</v>
      </c>
      <c r="AE3637" s="10" t="b">
        <f t="shared" si="3134"/>
        <v>1</v>
      </c>
      <c r="AP3637"/>
      <c r="AQ3637"/>
      <c r="AU3637" s="13" cm="1">
        <f t="array" ref="AU3637">$C3637*EXP(poly_from_str(100000000/$E3637,AU$4343))</f>
        <v>16.949765978185095</v>
      </c>
    </row>
    <row r="3638" spans="1:51" x14ac:dyDescent="0.25">
      <c r="A3638" t="s">
        <v>4088</v>
      </c>
      <c r="B3638" s="2" t="str">
        <f t="shared" si="3121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3194">$G3638&amp;""</f>
        <v>e</v>
      </c>
      <c r="N3638" t="str">
        <f t="shared" ref="N3638:N3639" si="3195">$H3638&amp;""</f>
        <v>3/2</v>
      </c>
      <c r="O3638">
        <v>77822</v>
      </c>
      <c r="P3638" t="str">
        <f t="shared" ref="P3638:P3639" si="3196">$J3638&amp;""</f>
        <v>o</v>
      </c>
      <c r="Q3638" t="str">
        <f t="shared" ref="Q3638:Q3639" si="3197">$K3638&amp;""</f>
        <v>5/2</v>
      </c>
      <c r="R3638">
        <v>34</v>
      </c>
      <c r="AA3638" s="10">
        <f t="shared" si="3131"/>
        <v>2382.5880000000002</v>
      </c>
      <c r="AB3638" s="3">
        <f t="shared" si="3132"/>
        <v>41958.37</v>
      </c>
      <c r="AC3638" s="3" cm="1">
        <f t="array" ref="AC3638">100000000/LvacE(AA3638)</f>
        <v>41958.3700734757</v>
      </c>
      <c r="AD3638" s="10">
        <f t="shared" si="3133"/>
        <v>1.3805208889131421E-2</v>
      </c>
      <c r="AE3638" s="10" t="b">
        <f t="shared" si="3134"/>
        <v>1</v>
      </c>
      <c r="AJ3638" t="s">
        <v>4811</v>
      </c>
      <c r="AK3638" t="s">
        <v>4886</v>
      </c>
      <c r="AL3638">
        <v>35863.74</v>
      </c>
      <c r="AM3638">
        <v>77822</v>
      </c>
      <c r="AN3638" s="10" cm="1">
        <f t="array" ref="AN3638">Lair(100000000/($AM3638-$AL3638))</f>
        <v>2382.5942543589258</v>
      </c>
      <c r="AO3638" s="10">
        <f t="shared" ref="AO3638:AO3639" si="3198">100000000/($AM3638-$AL3638)</f>
        <v>2383.3209480088067</v>
      </c>
      <c r="AU3638" s="13" cm="1">
        <f t="array" ref="AU3638">$C3638*EXP(poly_from_str(100000000/$E3638,AU$4343))</f>
        <v>25.43685918798964</v>
      </c>
    </row>
    <row r="3639" spans="1:51" x14ac:dyDescent="0.25">
      <c r="A3639" t="s">
        <v>4089</v>
      </c>
      <c r="B3639" s="2" t="str">
        <f t="shared" si="3121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3194"/>
        <v>e</v>
      </c>
      <c r="N3639" t="str">
        <f t="shared" si="3195"/>
        <v>5/2</v>
      </c>
      <c r="O3639">
        <v>63576.27</v>
      </c>
      <c r="P3639" t="str">
        <f t="shared" si="3196"/>
        <v>o</v>
      </c>
      <c r="Q3639" t="str">
        <f t="shared" si="3197"/>
        <v>5/2</v>
      </c>
      <c r="R3639">
        <v>34</v>
      </c>
      <c r="AA3639" s="10">
        <f t="shared" si="3131"/>
        <v>2382.2080000000001</v>
      </c>
      <c r="AB3639" s="3">
        <f t="shared" si="3132"/>
        <v>41965.06</v>
      </c>
      <c r="AC3639" s="3" cm="1">
        <f t="array" ref="AC3639">100000000/LvacE(AA3639)</f>
        <v>41965.062567758898</v>
      </c>
      <c r="AD3639" s="10">
        <f t="shared" si="3133"/>
        <v>1.380801814278159E-2</v>
      </c>
      <c r="AE3639" s="10" t="b">
        <f t="shared" si="3134"/>
        <v>1</v>
      </c>
      <c r="AJ3639" t="s">
        <v>4796</v>
      </c>
      <c r="AK3639" t="s">
        <v>4843</v>
      </c>
      <c r="AL3639">
        <v>21611.19</v>
      </c>
      <c r="AM3639">
        <v>63576.27</v>
      </c>
      <c r="AN3639" s="10" cm="1">
        <f t="array" ref="AN3639">Lair(100000000/($AM3639-$AL3639))</f>
        <v>2382.2070137348855</v>
      </c>
      <c r="AO3639" s="10">
        <f t="shared" si="3198"/>
        <v>2382.9336200479065</v>
      </c>
      <c r="AP3639" s="12">
        <v>81100000</v>
      </c>
      <c r="AQ3639" s="3">
        <v>0.26300000000000001</v>
      </c>
      <c r="AR3639" s="3">
        <f>LN(AU3639*100000000/($AM3639-$AL3639)/AP3639)</f>
        <v>-7.0438167913062726</v>
      </c>
      <c r="AS3639" s="13">
        <f>EXP(AR$4341*$AM3639+AR$4342)*$AP3639/(100000000/($AM3639-$AL3639))</f>
        <v>25.485975008698592</v>
      </c>
      <c r="AT3639" s="3">
        <f>LN(AS3639/$C3639)</f>
        <v>1.2922181521448948</v>
      </c>
      <c r="AU3639" s="13" cm="1">
        <f t="array" ref="AU3639">$C3639*EXP(poly_from_str(100000000/$E3639,AU$4343))</f>
        <v>29.704219507960936</v>
      </c>
      <c r="AV3639" s="13">
        <f>LN(AS3639/AU3639)</f>
        <v>-0.15316080549243613</v>
      </c>
      <c r="AW3639" s="13"/>
      <c r="AX3639" s="13"/>
      <c r="AY3639" s="13"/>
    </row>
    <row r="3640" spans="1:51" x14ac:dyDescent="0.25">
      <c r="A3640" t="s">
        <v>4090</v>
      </c>
      <c r="B3640" s="2" t="str">
        <f t="shared" si="3121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3131"/>
        <v>2382.1060000000002</v>
      </c>
      <c r="AB3640" s="3">
        <f t="shared" si="3132"/>
        <v>41966.86</v>
      </c>
      <c r="AC3640" s="3" cm="1">
        <f t="array" ref="AC3640">100000000/LvacE(AA3640)</f>
        <v>41966.859337549067</v>
      </c>
      <c r="AD3640" s="10">
        <f t="shared" si="3133"/>
        <v>1.3808772434465356E-2</v>
      </c>
      <c r="AE3640" s="10" t="b">
        <f t="shared" si="3134"/>
        <v>1</v>
      </c>
      <c r="AP3640"/>
      <c r="AQ3640"/>
      <c r="AU3640" s="13" cm="1">
        <f t="array" ref="AU3640">$C3640*EXP(poly_from_str(100000000/$E3640,AU$4343))</f>
        <v>4.2445349090907367</v>
      </c>
    </row>
    <row r="3641" spans="1:51" x14ac:dyDescent="0.25">
      <c r="A3641" t="s">
        <v>4091</v>
      </c>
      <c r="B3641" s="2" t="str">
        <f t="shared" si="3121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3199">$G3641&amp;""</f>
        <v>e</v>
      </c>
      <c r="N3641" t="str">
        <f t="shared" ref="N3641:N3643" si="3200">$H3641&amp;""</f>
        <v>5/2</v>
      </c>
      <c r="O3641">
        <v>69431</v>
      </c>
      <c r="P3641" t="str">
        <f t="shared" ref="P3641:P3643" si="3201">$J3641&amp;""</f>
        <v>o</v>
      </c>
      <c r="Q3641" t="str">
        <f t="shared" ref="Q3641:Q3643" si="3202">$K3641&amp;""</f>
        <v>7/2</v>
      </c>
      <c r="R3641">
        <v>34</v>
      </c>
      <c r="AA3641" s="10">
        <f t="shared" si="3131"/>
        <v>2381.4450000000002</v>
      </c>
      <c r="AB3641" s="3">
        <f t="shared" si="3132"/>
        <v>41978.51</v>
      </c>
      <c r="AC3641" s="3" cm="1">
        <f t="array" ref="AC3641">100000000/LvacE(AA3641)</f>
        <v>41978.50684039628</v>
      </c>
      <c r="AD3641" s="10">
        <f t="shared" si="3133"/>
        <v>1.3813662889631356E-2</v>
      </c>
      <c r="AE3641" s="10" t="b">
        <f t="shared" si="3134"/>
        <v>1</v>
      </c>
      <c r="AJ3641" t="s">
        <v>4783</v>
      </c>
      <c r="AK3641" t="s">
        <v>4864</v>
      </c>
      <c r="AL3641">
        <v>27452.45</v>
      </c>
      <c r="AM3641">
        <v>69431</v>
      </c>
      <c r="AN3641" s="10" cm="1">
        <f t="array" ref="AN3641">Lair(100000000/($AM3641-$AL3641))</f>
        <v>2381.4425547561532</v>
      </c>
      <c r="AO3641" s="10">
        <f t="shared" ref="AO3641:AO3643" si="3203">100000000/($AM3641-$AL3641)</f>
        <v>2382.1689886858881</v>
      </c>
      <c r="AP3641" s="12">
        <v>10900000</v>
      </c>
      <c r="AQ3641" s="3">
        <v>6.5000000000000002E-2</v>
      </c>
      <c r="AR3641" s="3">
        <f t="shared" ref="AR3641:AR3642" si="3204">LN(AU3641*100000000/($AM3641-$AL3641)/AP3641)</f>
        <v>-6.2880816047571297</v>
      </c>
      <c r="AS3641" s="13">
        <f t="shared" ref="AS3641:AS3643" si="3205">EXP(AR$4341*$AM3641+AR$4342)*$AP3641/(100000000/($AM3641-$AL3641))</f>
        <v>2.208140022683855</v>
      </c>
      <c r="AT3641" s="3">
        <f t="shared" ref="AT3641:AT3642" si="3206">LN(AS3641/$C3641)</f>
        <v>9.9003361914776072E-2</v>
      </c>
      <c r="AU3641" s="13" cm="1">
        <f t="array" ref="AU3641">$C3641*EXP(poly_from_str(100000000/$E3641,AU$4343))</f>
        <v>8.5030510913392536</v>
      </c>
      <c r="AV3641" s="13">
        <f t="shared" ref="AV3641:AV3642" si="3207">LN(AS3641/AU3641)</f>
        <v>-1.3482745085359857</v>
      </c>
      <c r="AW3641" s="13"/>
      <c r="AX3641" s="13"/>
      <c r="AY3641" s="13"/>
    </row>
    <row r="3642" spans="1:51" x14ac:dyDescent="0.25">
      <c r="A3642" t="s">
        <v>4092</v>
      </c>
      <c r="B3642" s="2" t="str">
        <f t="shared" si="3121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3199"/>
        <v>e</v>
      </c>
      <c r="N3642" t="str">
        <f t="shared" si="3200"/>
        <v>7/2</v>
      </c>
      <c r="O3642">
        <v>67395.320000000007</v>
      </c>
      <c r="P3642" t="str">
        <f t="shared" si="3201"/>
        <v>o</v>
      </c>
      <c r="Q3642" t="str">
        <f t="shared" si="3202"/>
        <v>5/2</v>
      </c>
      <c r="R3642">
        <v>34</v>
      </c>
      <c r="S3642" t="s">
        <v>3943</v>
      </c>
      <c r="AA3642" s="10">
        <f t="shared" si="3131"/>
        <v>2381.0459999999998</v>
      </c>
      <c r="AB3642" s="3">
        <f t="shared" si="3132"/>
        <v>41985.54</v>
      </c>
      <c r="AC3642" s="3" cm="1">
        <f t="array" ref="AC3642">100000000/LvacE(AA3642)</f>
        <v>41985.540762065568</v>
      </c>
      <c r="AD3642" s="10">
        <f t="shared" si="3133"/>
        <v>1.3816616890657631E-2</v>
      </c>
      <c r="AE3642" s="10" t="b">
        <f t="shared" si="3134"/>
        <v>1</v>
      </c>
      <c r="AJ3642" t="s">
        <v>4720</v>
      </c>
      <c r="AK3642" t="s">
        <v>4894</v>
      </c>
      <c r="AL3642">
        <v>25409.74</v>
      </c>
      <c r="AM3642">
        <v>67395.320000000007</v>
      </c>
      <c r="AN3642" s="10" cm="1">
        <f t="array" ref="AN3642">Lair(100000000/($AM3642-$AL3642))</f>
        <v>2381.0437780050261</v>
      </c>
      <c r="AO3642" s="10">
        <f t="shared" si="3203"/>
        <v>2381.7701220276103</v>
      </c>
      <c r="AP3642" s="12">
        <v>30600000</v>
      </c>
      <c r="AQ3642" s="3">
        <v>5.2999999999999999E-2</v>
      </c>
      <c r="AR3642" s="3">
        <f t="shared" si="3204"/>
        <v>-6.9140228939276529</v>
      </c>
      <c r="AS3642" s="13">
        <f t="shared" si="3205"/>
        <v>7.2234046708704307</v>
      </c>
      <c r="AT3642" s="3">
        <f t="shared" si="3206"/>
        <v>0.87871411414903511</v>
      </c>
      <c r="AU3642" s="13" cm="1">
        <f t="array" ref="AU3642">$C3642*EXP(poly_from_str(100000000/$E3642,AU$4343))</f>
        <v>12.767315568190218</v>
      </c>
      <c r="AV3642" s="13">
        <f t="shared" si="3207"/>
        <v>-0.56956203120523563</v>
      </c>
      <c r="AW3642" s="13"/>
      <c r="AX3642" s="13"/>
      <c r="AY3642" s="13"/>
    </row>
    <row r="3643" spans="1:51" x14ac:dyDescent="0.25">
      <c r="A3643" t="s">
        <v>4093</v>
      </c>
      <c r="B3643" s="2" t="str">
        <f t="shared" si="3121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3199"/>
        <v>o</v>
      </c>
      <c r="N3643" t="str">
        <f t="shared" si="3200"/>
        <v>7/2</v>
      </c>
      <c r="O3643">
        <v>107299.07</v>
      </c>
      <c r="P3643" t="str">
        <f t="shared" si="3201"/>
        <v>e</v>
      </c>
      <c r="Q3643" t="str">
        <f t="shared" si="3202"/>
        <v>7/2</v>
      </c>
      <c r="R3643">
        <v>34</v>
      </c>
      <c r="AA3643" s="10">
        <f t="shared" si="3131"/>
        <v>2380.0509999999999</v>
      </c>
      <c r="AB3643" s="3">
        <f t="shared" si="3132"/>
        <v>42003.09</v>
      </c>
      <c r="AC3643" s="3" cm="1">
        <f t="array" ref="AC3643">100000000/LvacE(AA3643)</f>
        <v>42003.091766028636</v>
      </c>
      <c r="AD3643" s="10">
        <f t="shared" si="3133"/>
        <v>1.3823989856946058E-2</v>
      </c>
      <c r="AE3643" s="10" t="b">
        <f t="shared" si="3134"/>
        <v>1</v>
      </c>
      <c r="AJ3643" t="s">
        <v>4825</v>
      </c>
      <c r="AK3643" t="s">
        <v>4891</v>
      </c>
      <c r="AL3643">
        <v>65295.9</v>
      </c>
      <c r="AM3643">
        <v>107299.07</v>
      </c>
      <c r="AN3643" s="10" cm="1">
        <f t="array" ref="AN3643">Lair(100000000/($AM3643-$AL3643))</f>
        <v>2380.0465700570235</v>
      </c>
      <c r="AO3643" s="10">
        <f t="shared" si="3203"/>
        <v>2380.7726892994024</v>
      </c>
      <c r="AP3643" s="15">
        <v>53700000</v>
      </c>
      <c r="AQ3643" s="3">
        <v>7.2999999999999995E-2</v>
      </c>
      <c r="AR3643" s="14"/>
      <c r="AS3643" s="13">
        <f t="shared" si="3205"/>
        <v>0.63477232752481372</v>
      </c>
      <c r="AT3643" s="14"/>
      <c r="AU3643" s="13" cm="1">
        <f t="array" ref="AU3643">$C3643*EXP(poly_from_str(100000000/$E3643,AU$4343))</f>
        <v>17.065860801450953</v>
      </c>
      <c r="AV3643" s="13"/>
      <c r="AW3643" s="13"/>
      <c r="AX3643" s="13"/>
      <c r="AY3643" s="13"/>
    </row>
    <row r="3644" spans="1:51" x14ac:dyDescent="0.25">
      <c r="A3644" t="s">
        <v>4094</v>
      </c>
      <c r="B3644" s="2" t="str">
        <f t="shared" si="3121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3131"/>
        <v>2379.63</v>
      </c>
      <c r="AB3644" s="3">
        <f t="shared" si="3132"/>
        <v>42010.52</v>
      </c>
      <c r="AC3644" s="3" cm="1">
        <f t="array" ref="AC3644">100000000/LvacE(AA3644)</f>
        <v>42010.522287406231</v>
      </c>
      <c r="AD3644" s="10">
        <f t="shared" si="3133"/>
        <v>1.3827112258503683E-2</v>
      </c>
      <c r="AE3644" s="10" t="b">
        <f t="shared" si="3134"/>
        <v>1</v>
      </c>
      <c r="AP3644"/>
      <c r="AQ3644"/>
      <c r="AU3644" s="13" cm="1">
        <f t="array" ref="AU3644">$C3644*EXP(poly_from_str(100000000/$E3644,AU$4343))</f>
        <v>21.355162908260574</v>
      </c>
    </row>
    <row r="3645" spans="1:51" x14ac:dyDescent="0.25">
      <c r="A3645" t="s">
        <v>4095</v>
      </c>
      <c r="B3645" s="2" t="str">
        <f t="shared" si="3121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3131"/>
        <v>2379.33</v>
      </c>
      <c r="AB3645" s="3">
        <f t="shared" si="3132"/>
        <v>42015.82</v>
      </c>
      <c r="AC3645" s="3" cm="1">
        <f t="array" ref="AC3645">100000000/LvacE(AA3645)</f>
        <v>42015.818799989611</v>
      </c>
      <c r="AD3645" s="10">
        <f t="shared" si="3133"/>
        <v>1.382933825908756E-2</v>
      </c>
      <c r="AE3645" s="10" t="b">
        <f t="shared" si="3134"/>
        <v>1</v>
      </c>
      <c r="AP3645"/>
      <c r="AQ3645"/>
      <c r="AU3645" s="13" cm="1">
        <f t="array" ref="AU3645">$C3645*EXP(poly_from_str(100000000/$E3645,AU$4343))</f>
        <v>4.2743053525172225</v>
      </c>
    </row>
    <row r="3646" spans="1:51" x14ac:dyDescent="0.25">
      <c r="A3646" t="s">
        <v>4096</v>
      </c>
      <c r="B3646" s="2" t="str">
        <f t="shared" si="3121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3131"/>
        <v>2379.2260000000001</v>
      </c>
      <c r="AB3646" s="3">
        <f t="shared" si="3132"/>
        <v>42017.65</v>
      </c>
      <c r="AC3646" s="3" cm="1">
        <f t="array" ref="AC3646">100000000/LvacE(AA3646)</f>
        <v>42017.655236081118</v>
      </c>
      <c r="AD3646" s="10">
        <f t="shared" si="3133"/>
        <v>1.3830110135834326E-2</v>
      </c>
      <c r="AE3646" s="10" t="b">
        <f t="shared" si="3134"/>
        <v>1</v>
      </c>
      <c r="AP3646"/>
      <c r="AQ3646"/>
      <c r="AU3646" s="13" cm="1">
        <f t="array" ref="AU3646">$C3646*EXP(poly_from_str(100000000/$E3646,AU$4343))</f>
        <v>12.8263147442084</v>
      </c>
    </row>
    <row r="3647" spans="1:51" x14ac:dyDescent="0.25">
      <c r="A3647" t="s">
        <v>4097</v>
      </c>
      <c r="B3647" s="2" t="str">
        <f t="shared" si="3121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3131"/>
        <v>2379.13</v>
      </c>
      <c r="AB3647" s="3">
        <f t="shared" si="3132"/>
        <v>42019.35</v>
      </c>
      <c r="AC3647" s="3" cm="1">
        <f t="array" ref="AC3647">100000000/LvacE(AA3647)</f>
        <v>42019.350550338364</v>
      </c>
      <c r="AD3647" s="10">
        <f t="shared" si="3133"/>
        <v>1.3830822727286522E-2</v>
      </c>
      <c r="AE3647" s="10" t="b">
        <f t="shared" si="3134"/>
        <v>1</v>
      </c>
      <c r="AP3647"/>
      <c r="AQ3647"/>
      <c r="AU3647" s="13" cm="1">
        <f t="array" ref="AU3647">$C3647*EXP(poly_from_str(100000000/$E3647,AU$4343))</f>
        <v>17.105967939312478</v>
      </c>
    </row>
    <row r="3648" spans="1:51" x14ac:dyDescent="0.25">
      <c r="A3648" t="s">
        <v>4098</v>
      </c>
      <c r="B3648" s="2" t="str">
        <f t="shared" si="3121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3208">$G3648&amp;""</f>
        <v>e</v>
      </c>
      <c r="N3648" t="str">
        <f t="shared" ref="N3648:N3649" si="3209">$H3648&amp;""</f>
        <v>7/2</v>
      </c>
      <c r="O3648">
        <v>58158.080000000002</v>
      </c>
      <c r="P3648" t="str">
        <f t="shared" ref="P3648:P3649" si="3210">$J3648&amp;""</f>
        <v>o</v>
      </c>
      <c r="Q3648" t="str">
        <f t="shared" ref="Q3648:Q3649" si="3211">$K3648&amp;""</f>
        <v>7/2</v>
      </c>
      <c r="R3648">
        <v>34</v>
      </c>
      <c r="AA3648" s="10">
        <f t="shared" si="3131"/>
        <v>2378.973</v>
      </c>
      <c r="AB3648" s="3">
        <f t="shared" si="3132"/>
        <v>42022.12</v>
      </c>
      <c r="AC3648" s="3" cm="1">
        <f t="array" ref="AC3648">100000000/LvacE(AA3648)</f>
        <v>42022.123390338013</v>
      </c>
      <c r="AD3648" s="10">
        <f t="shared" si="3133"/>
        <v>1.3831988297121914E-2</v>
      </c>
      <c r="AE3648" s="10" t="b">
        <f t="shared" si="3134"/>
        <v>1</v>
      </c>
      <c r="AJ3648" t="s">
        <v>4743</v>
      </c>
      <c r="AK3648" t="s">
        <v>4902</v>
      </c>
      <c r="AL3648">
        <v>16135.97</v>
      </c>
      <c r="AM3648">
        <v>58158.080000000002</v>
      </c>
      <c r="AN3648" s="10" cm="1">
        <f t="array" ref="AN3648">Lair(100000000/($AM3648-$AL3648))</f>
        <v>2378.9737615736785</v>
      </c>
      <c r="AO3648" s="10">
        <f t="shared" ref="AO3648:AO3649" si="3212">100000000/($AM3648-$AL3648)</f>
        <v>2379.6996390709555</v>
      </c>
      <c r="AP3648" s="12">
        <v>829000000</v>
      </c>
      <c r="AQ3648" s="3">
        <v>0.60199999999999998</v>
      </c>
      <c r="AR3648" s="3">
        <f t="shared" ref="AR3648:AR3649" si="3213">LN(AU3648*100000000/($AM3648-$AL3648)/AP3648)</f>
        <v>-9.0048809719290954</v>
      </c>
      <c r="AS3648" s="13">
        <f t="shared" ref="AS3648:AS3649" si="3214">EXP(AR$4341*$AM3648+AR$4342)*$AP3648/(100000000/($AM3648-$AL3648))</f>
        <v>391.75677042660908</v>
      </c>
      <c r="AT3648" s="3">
        <f t="shared" ref="AT3648:AT3649" si="3215">LN(AS3648/$C3648)</f>
        <v>3.6680560706112098</v>
      </c>
      <c r="AU3648" s="13" cm="1">
        <f t="array" ref="AU3648">$C3648*EXP(poly_from_str(100000000/$E3648,AU$4343))</f>
        <v>42.782116844668884</v>
      </c>
      <c r="AV3648" s="13">
        <f t="shared" ref="AV3648:AV3649" si="3216">LN(AS3648/AU3648)</f>
        <v>2.2145209790651226</v>
      </c>
      <c r="AW3648" s="13"/>
      <c r="AX3648" s="13"/>
      <c r="AY3648" s="13"/>
    </row>
    <row r="3649" spans="1:51" x14ac:dyDescent="0.25">
      <c r="A3649" t="s">
        <v>4099</v>
      </c>
      <c r="B3649" s="2" t="str">
        <f t="shared" si="3121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3208"/>
        <v>e</v>
      </c>
      <c r="N3649" t="str">
        <f t="shared" si="3209"/>
        <v>11/2</v>
      </c>
      <c r="O3649">
        <v>78694.570000000007</v>
      </c>
      <c r="P3649" t="str">
        <f t="shared" si="3210"/>
        <v>o</v>
      </c>
      <c r="Q3649" t="str">
        <f t="shared" si="3211"/>
        <v>11/2</v>
      </c>
      <c r="R3649">
        <v>34</v>
      </c>
      <c r="AA3649" s="10">
        <f t="shared" si="3131"/>
        <v>2378.8670000000002</v>
      </c>
      <c r="AB3649" s="3">
        <f t="shared" si="3132"/>
        <v>42024</v>
      </c>
      <c r="AC3649" s="3" cm="1">
        <f t="array" ref="AC3649">100000000/LvacE(AA3649)</f>
        <v>42023.995705813722</v>
      </c>
      <c r="AD3649" s="10">
        <f t="shared" si="3133"/>
        <v>1.3832775372858954E-2</v>
      </c>
      <c r="AE3649" s="10" t="b">
        <f t="shared" si="3134"/>
        <v>1</v>
      </c>
      <c r="AJ3649" t="s">
        <v>4772</v>
      </c>
      <c r="AK3649" t="s">
        <v>4885</v>
      </c>
      <c r="AL3649">
        <v>36670.57</v>
      </c>
      <c r="AM3649">
        <v>78694.570000000007</v>
      </c>
      <c r="AN3649" s="10" cm="1">
        <f t="array" ref="AN3649">Lair(100000000/($AM3649-$AL3649))</f>
        <v>2378.8667603544095</v>
      </c>
      <c r="AO3649" s="10">
        <f t="shared" si="3212"/>
        <v>2379.5926137445267</v>
      </c>
      <c r="AP3649" s="12">
        <v>500000000</v>
      </c>
      <c r="AQ3649" s="3">
        <v>0.496</v>
      </c>
      <c r="AR3649" s="3">
        <f t="shared" si="3213"/>
        <v>-9.0098662854372709</v>
      </c>
      <c r="AS3649" s="13">
        <f t="shared" si="3214"/>
        <v>50.596229024973425</v>
      </c>
      <c r="AT3649" s="3">
        <f t="shared" si="3215"/>
        <v>2.1321175790900706</v>
      </c>
      <c r="AU3649" s="13" cm="1">
        <f t="array" ref="AU3649">$C3649*EXP(poly_from_str(100000000/$E3649,AU$4343))</f>
        <v>25.676284650363655</v>
      </c>
      <c r="AV3649" s="13">
        <f t="shared" si="3216"/>
        <v>0.67830925868749814</v>
      </c>
      <c r="AW3649" s="13"/>
      <c r="AX3649" s="13"/>
      <c r="AY3649" s="13"/>
    </row>
    <row r="3650" spans="1:51" x14ac:dyDescent="0.25">
      <c r="A3650" t="s">
        <v>4100</v>
      </c>
      <c r="B3650" s="2" t="str">
        <f t="shared" ref="B3650:B3713" si="3217">IF(OR(A3650=A3649,A3650=A3651),IF(B3649="",1,B3649+1),"")</f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3131"/>
        <v>2378.7289999999998</v>
      </c>
      <c r="AB3650" s="3">
        <f t="shared" si="3132"/>
        <v>42026.43</v>
      </c>
      <c r="AC3650" s="3" cm="1">
        <f t="array" ref="AC3650">100000000/LvacE(AA3650)</f>
        <v>42026.433498595303</v>
      </c>
      <c r="AD3650" s="10">
        <f t="shared" si="3133"/>
        <v>1.3833800214020871E-2</v>
      </c>
      <c r="AE3650" s="10" t="b">
        <f t="shared" si="3134"/>
        <v>1</v>
      </c>
      <c r="AP3650"/>
      <c r="AQ3650"/>
      <c r="AU3650" s="13" cm="1">
        <f t="array" ref="AU3650">$C3650*EXP(poly_from_str(100000000/$E3650,AU$4343))</f>
        <v>12.842682610104337</v>
      </c>
    </row>
    <row r="3651" spans="1:51" x14ac:dyDescent="0.25">
      <c r="A3651" t="s">
        <v>4101</v>
      </c>
      <c r="B3651" s="2" t="str">
        <f t="shared" si="3217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3218">ROUND($A3651,3)+0</f>
        <v>2378.502</v>
      </c>
      <c r="AB3651" s="3">
        <f t="shared" ref="AB3651:AB3714" si="3219">ROUND($E3651,2)+0</f>
        <v>42030.44</v>
      </c>
      <c r="AC3651" s="3" cm="1">
        <f t="array" ref="AC3651">100000000/LvacE(AA3651)</f>
        <v>42030.444106334944</v>
      </c>
      <c r="AD3651" s="10">
        <f t="shared" ref="AD3651:AD3714" si="3220">0.0005/$AA3651*AC3651+0.005</f>
        <v>1.383548639150502E-2</v>
      </c>
      <c r="AE3651" s="10" t="b">
        <f t="shared" ref="AE3651:AE3714" si="3221">ABS(AB3651-AC3651)&lt;AD3651</f>
        <v>1</v>
      </c>
      <c r="AJ3651" t="s">
        <v>4713</v>
      </c>
      <c r="AK3651" t="s">
        <v>4835</v>
      </c>
      <c r="AL3651">
        <v>25934.98</v>
      </c>
      <c r="AM3651">
        <v>67965.47</v>
      </c>
      <c r="AN3651" s="10" cm="1">
        <f t="array" ref="AN3651">Lair(100000000/($AM3651-$AL3651))</f>
        <v>2378.499406138536</v>
      </c>
      <c r="AO3651" s="10">
        <f>100000000/($AM3651-$AL3651)</f>
        <v>2379.2251767704824</v>
      </c>
      <c r="AP3651" s="12">
        <v>14700000</v>
      </c>
      <c r="AQ3651" s="3">
        <v>3.5000000000000003E-2</v>
      </c>
      <c r="AR3651" s="3"/>
      <c r="AS3651" s="13">
        <f>EXP(AR$4341*$AM3651+AR$4342)*$AP3651/(100000000/($AM3651-$AL3651))</f>
        <v>3.3282780188460057</v>
      </c>
      <c r="AT3651" s="3"/>
      <c r="AU3651" s="13" cm="1">
        <f t="array" ref="AU3651">$C3651*EXP(poly_from_str(100000000/$E3651,AU$4343))</f>
        <v>21.416986982683511</v>
      </c>
      <c r="AV3651" s="13"/>
      <c r="AW3651" s="13"/>
      <c r="AX3651" s="13"/>
      <c r="AY3651" s="13"/>
    </row>
    <row r="3652" spans="1:51" x14ac:dyDescent="0.25">
      <c r="A3652" t="s">
        <v>4102</v>
      </c>
      <c r="B3652" s="2" t="str">
        <f t="shared" si="3217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3218"/>
        <v>2378.2379999999998</v>
      </c>
      <c r="AB3652" s="3">
        <f t="shared" si="3219"/>
        <v>42035.11</v>
      </c>
      <c r="AC3652" s="3" cm="1">
        <f t="array" ref="AC3652">100000000/LvacE(AA3652)</f>
        <v>42035.109388286153</v>
      </c>
      <c r="AD3652" s="10">
        <f t="shared" si="3220"/>
        <v>1.3837448015775997E-2</v>
      </c>
      <c r="AE3652" s="10" t="b">
        <f t="shared" si="3221"/>
        <v>1</v>
      </c>
      <c r="AP3652"/>
      <c r="AQ3652"/>
      <c r="AU3652" s="13" cm="1">
        <f t="array" ref="AU3652">$C3652*EXP(poly_from_str(100000000/$E3652,AU$4343))</f>
        <v>8.5726432009975557</v>
      </c>
    </row>
    <row r="3653" spans="1:51" x14ac:dyDescent="0.25">
      <c r="A3653" t="s">
        <v>4103</v>
      </c>
      <c r="B3653" s="2" t="str">
        <f t="shared" si="3217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3222">$G3653&amp;""</f>
        <v>e</v>
      </c>
      <c r="N3653" t="str">
        <f t="shared" ref="N3653:N3654" si="3223">$H3653&amp;""</f>
        <v>7/2</v>
      </c>
      <c r="O3653">
        <v>58174.15</v>
      </c>
      <c r="P3653" t="str">
        <f t="shared" ref="P3653:P3654" si="3224">$J3653&amp;""</f>
        <v>o</v>
      </c>
      <c r="Q3653" t="str">
        <f t="shared" ref="Q3653:Q3654" si="3225">$K3653&amp;""</f>
        <v>9/2</v>
      </c>
      <c r="R3653">
        <v>34</v>
      </c>
      <c r="AA3653" s="10">
        <f t="shared" si="3218"/>
        <v>2378.0639999999999</v>
      </c>
      <c r="AB3653" s="3">
        <f t="shared" si="3219"/>
        <v>42038.18</v>
      </c>
      <c r="AC3653" s="3" cm="1">
        <f t="array" ref="AC3653">100000000/LvacE(AA3653)</f>
        <v>42038.184799452349</v>
      </c>
      <c r="AD3653" s="10">
        <f t="shared" si="3220"/>
        <v>1.3838741261684367E-2</v>
      </c>
      <c r="AE3653" s="10" t="b">
        <f t="shared" si="3221"/>
        <v>1</v>
      </c>
      <c r="AJ3653" t="s">
        <v>4743</v>
      </c>
      <c r="AK3653" t="s">
        <v>4698</v>
      </c>
      <c r="AL3653">
        <v>16135.97</v>
      </c>
      <c r="AM3653">
        <v>58174.15</v>
      </c>
      <c r="AN3653" s="10" cm="1">
        <f t="array" ref="AN3653">Lair(100000000/($AM3653-$AL3653))</f>
        <v>2378.0642749973845</v>
      </c>
      <c r="AO3653" s="10">
        <f t="shared" ref="AO3653:AO3654" si="3226">100000000/($AM3653-$AL3653)</f>
        <v>2378.7899476142879</v>
      </c>
      <c r="AP3653" s="12">
        <v>215000000</v>
      </c>
      <c r="AQ3653" s="3">
        <v>0.47299999999999998</v>
      </c>
      <c r="AR3653" s="3">
        <f t="shared" ref="AR3653:AR3654" si="3227">LN(AU3653*100000000/($AM3653-$AL3653)/AP3653)</f>
        <v>-7.6533377347494298</v>
      </c>
      <c r="AS3653" s="13">
        <f t="shared" ref="AS3653:AS3654" si="3228">EXP(AR$4341*$AM3653+AR$4342)*$AP3653/(100000000/($AM3653-$AL3653))</f>
        <v>101.51792458583932</v>
      </c>
      <c r="AT3653" s="3">
        <f t="shared" ref="AT3653:AT3654" si="3229">LN(AS3653/$C3653)</f>
        <v>2.3176502868012192</v>
      </c>
      <c r="AU3653" s="13" cm="1">
        <f t="array" ref="AU3653">$C3653*EXP(poly_from_str(100000000/$E3653,AU$4343))</f>
        <v>42.882492368600822</v>
      </c>
      <c r="AV3653" s="13">
        <f t="shared" ref="AV3653:AV3654" si="3230">LN(AS3653/AU3653)</f>
        <v>0.8617717404541253</v>
      </c>
      <c r="AW3653" s="13"/>
      <c r="AX3653" s="13"/>
      <c r="AY3653" s="13"/>
    </row>
    <row r="3654" spans="1:51" x14ac:dyDescent="0.25">
      <c r="A3654" t="s">
        <v>4104</v>
      </c>
      <c r="B3654" s="2" t="str">
        <f t="shared" si="3217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3222"/>
        <v>e</v>
      </c>
      <c r="N3654" t="str">
        <f t="shared" si="3223"/>
        <v>7/2</v>
      </c>
      <c r="O3654">
        <v>68492.429999999993</v>
      </c>
      <c r="P3654" t="str">
        <f t="shared" si="3224"/>
        <v>o</v>
      </c>
      <c r="Q3654" t="str">
        <f t="shared" si="3225"/>
        <v>7/2</v>
      </c>
      <c r="R3654">
        <v>34</v>
      </c>
      <c r="AA3654" s="10">
        <f t="shared" si="3218"/>
        <v>2377.6529999999998</v>
      </c>
      <c r="AB3654" s="3">
        <f t="shared" si="3219"/>
        <v>42045.45</v>
      </c>
      <c r="AC3654" s="3" cm="1">
        <f t="array" ref="AC3654">100000000/LvacE(AA3654)</f>
        <v>42045.450919758172</v>
      </c>
      <c r="AD3654" s="10">
        <f t="shared" si="3220"/>
        <v>1.3841797125097349E-2</v>
      </c>
      <c r="AE3654" s="10" t="b">
        <f t="shared" si="3221"/>
        <v>1</v>
      </c>
      <c r="AJ3654" t="s">
        <v>4736</v>
      </c>
      <c r="AK3654" t="s">
        <v>4831</v>
      </c>
      <c r="AL3654">
        <v>26446.97</v>
      </c>
      <c r="AM3654">
        <v>68492.429999999993</v>
      </c>
      <c r="AN3654" s="10" cm="1">
        <f t="array" ref="AN3654">Lair(100000000/($AM3654-$AL3654))</f>
        <v>2377.652489959346</v>
      </c>
      <c r="AO3654" s="10">
        <f t="shared" si="3226"/>
        <v>2378.3780698320347</v>
      </c>
      <c r="AP3654" s="12">
        <v>315000000</v>
      </c>
      <c r="AQ3654" s="3">
        <v>0.32200000000000001</v>
      </c>
      <c r="AR3654" s="3">
        <f t="shared" si="3227"/>
        <v>-8.3910526049526855</v>
      </c>
      <c r="AS3654" s="13">
        <f t="shared" si="3228"/>
        <v>68.579226613967421</v>
      </c>
      <c r="AT3654" s="3">
        <f t="shared" si="3229"/>
        <v>2.2820795207792073</v>
      </c>
      <c r="AU3654" s="13" cm="1">
        <f t="array" ref="AU3654">$C3654*EXP(poly_from_str(100000000/$E3654,AU$4343))</f>
        <v>30.049816087639481</v>
      </c>
      <c r="AV3654" s="13">
        <f t="shared" si="3230"/>
        <v>0.82513312908369707</v>
      </c>
      <c r="AW3654" s="13"/>
      <c r="AX3654" s="13"/>
      <c r="AY3654" s="13"/>
    </row>
    <row r="3655" spans="1:51" x14ac:dyDescent="0.25">
      <c r="A3655" t="s">
        <v>4105</v>
      </c>
      <c r="B3655" s="2" t="str">
        <f t="shared" si="3217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3218"/>
        <v>2377.0549999999998</v>
      </c>
      <c r="AB3655" s="3">
        <f t="shared" si="3219"/>
        <v>42056.03</v>
      </c>
      <c r="AC3655" s="3" cm="1">
        <f t="array" ref="AC3655">100000000/LvacE(AA3655)</f>
        <v>42056.027523277393</v>
      </c>
      <c r="AD3655" s="10">
        <f t="shared" si="3220"/>
        <v>1.3846246200293514E-2</v>
      </c>
      <c r="AE3655" s="10" t="b">
        <f t="shared" si="3221"/>
        <v>1</v>
      </c>
      <c r="AP3655"/>
      <c r="AQ3655"/>
      <c r="AU3655" s="13" cm="1">
        <f t="array" ref="AU3655">$C3655*EXP(poly_from_str(100000000/$E3655,AU$4343))</f>
        <v>21.497705241529843</v>
      </c>
    </row>
    <row r="3656" spans="1:51" x14ac:dyDescent="0.25">
      <c r="A3656" t="s">
        <v>4106</v>
      </c>
      <c r="B3656" s="2" t="str">
        <f t="shared" si="3217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3218"/>
        <v>2377.0059999999999</v>
      </c>
      <c r="AB3656" s="3">
        <f t="shared" si="3219"/>
        <v>42056.89</v>
      </c>
      <c r="AC3656" s="3" cm="1">
        <f t="array" ref="AC3656">100000000/LvacE(AA3656)</f>
        <v>42056.894403902137</v>
      </c>
      <c r="AD3656" s="10">
        <f t="shared" si="3220"/>
        <v>1.3846610905463037E-2</v>
      </c>
      <c r="AE3656" s="10" t="b">
        <f t="shared" si="3221"/>
        <v>1</v>
      </c>
      <c r="AP3656"/>
      <c r="AQ3656"/>
      <c r="AU3656" s="13" cm="1">
        <f t="array" ref="AU3656">$C3656*EXP(poly_from_str(100000000/$E3656,AU$4343))</f>
        <v>17.200354864292951</v>
      </c>
    </row>
    <row r="3657" spans="1:51" x14ac:dyDescent="0.25">
      <c r="A3657" t="s">
        <v>4107</v>
      </c>
      <c r="B3657" s="2" t="str">
        <f t="shared" si="3217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3231">$G3657&amp;""</f>
        <v>e</v>
      </c>
      <c r="N3657" t="str">
        <f t="shared" ref="N3657:N3665" si="3232">$H3657&amp;""</f>
        <v>9/2</v>
      </c>
      <c r="O3657">
        <v>63593.35</v>
      </c>
      <c r="P3657" t="str">
        <f t="shared" ref="P3657:P3665" si="3233">$J3657&amp;""</f>
        <v>o</v>
      </c>
      <c r="Q3657" t="str">
        <f t="shared" ref="Q3657:Q3665" si="3234">$K3657&amp;""</f>
        <v>9/2</v>
      </c>
      <c r="R3657">
        <v>34</v>
      </c>
      <c r="AA3657" s="10">
        <f t="shared" si="3218"/>
        <v>2376.9349999999999</v>
      </c>
      <c r="AB3657" s="3">
        <f t="shared" si="3219"/>
        <v>42058.15</v>
      </c>
      <c r="AC3657" s="3" cm="1">
        <f t="array" ref="AC3657">100000000/LvacE(AA3657)</f>
        <v>42058.150559639726</v>
      </c>
      <c r="AD3657" s="10">
        <f t="shared" si="3220"/>
        <v>1.3847139395826921E-2</v>
      </c>
      <c r="AE3657" s="10" t="b">
        <f t="shared" si="3221"/>
        <v>1</v>
      </c>
      <c r="AJ3657" t="s">
        <v>4798</v>
      </c>
      <c r="AK3657" t="s">
        <v>4840</v>
      </c>
      <c r="AL3657">
        <v>21535.17</v>
      </c>
      <c r="AM3657">
        <v>63593.35</v>
      </c>
      <c r="AN3657" s="10" cm="1">
        <f t="array" ref="AN3657">Lair(100000000/($AM3657-$AL3657))</f>
        <v>2376.9333395338308</v>
      </c>
      <c r="AO3657" s="10">
        <f t="shared" ref="AO3657:AO3665" si="3235">100000000/($AM3657-$AL3657)</f>
        <v>2377.6587574640653</v>
      </c>
      <c r="AP3657" s="12">
        <v>44100000</v>
      </c>
      <c r="AQ3657" s="3">
        <v>5.3999999999999999E-2</v>
      </c>
      <c r="AR3657" s="3">
        <f t="shared" ref="AR3657:AR3663" si="3236">LN(AU3657*100000000/($AM3657-$AL3657)/AP3657)</f>
        <v>-6.9829820341965565</v>
      </c>
      <c r="AS3657" s="13">
        <f t="shared" ref="AS3657:AS3665" si="3237">EXP(AR$4341*$AM3657+AR$4342)*$AP3657/(100000000/($AM3657-$AL3657))</f>
        <v>13.871541645793645</v>
      </c>
      <c r="AT3657" s="3">
        <f t="shared" ref="AT3657:AT3665" si="3238">LN(AS3657/$C3657)</f>
        <v>1.2435450166908648</v>
      </c>
      <c r="AU3657" s="13" cm="1">
        <f t="array" ref="AU3657">$C3657*EXP(poly_from_str(100000000/$E3657,AU$4343))</f>
        <v>17.203566880132726</v>
      </c>
      <c r="AV3657" s="13">
        <f t="shared" ref="AV3657:AV3663" si="3239">LN(AS3657/AU3657)</f>
        <v>-0.21527736126096833</v>
      </c>
      <c r="AW3657" s="13"/>
      <c r="AX3657" s="13"/>
      <c r="AY3657" s="13"/>
    </row>
    <row r="3658" spans="1:51" x14ac:dyDescent="0.25">
      <c r="A3658" t="s">
        <v>4108</v>
      </c>
      <c r="B3658" s="2">
        <f t="shared" si="3217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3231"/>
        <v>e</v>
      </c>
      <c r="N3658" t="str">
        <f t="shared" si="3232"/>
        <v>9/2</v>
      </c>
      <c r="O3658">
        <v>66852.87</v>
      </c>
      <c r="P3658" t="str">
        <f t="shared" si="3233"/>
        <v>o</v>
      </c>
      <c r="Q3658" t="str">
        <f t="shared" si="3234"/>
        <v>7/2</v>
      </c>
      <c r="R3658">
        <v>34</v>
      </c>
      <c r="AA3658" s="10">
        <f t="shared" si="3218"/>
        <v>2376.5549999999998</v>
      </c>
      <c r="AB3658" s="3">
        <f t="shared" si="3219"/>
        <v>42064.87</v>
      </c>
      <c r="AC3658" s="3" cm="1">
        <f t="array" ref="AC3658">100000000/LvacE(AA3658)</f>
        <v>42064.874922322386</v>
      </c>
      <c r="AD3658" s="10">
        <f t="shared" si="3220"/>
        <v>1.3849968740955371E-2</v>
      </c>
      <c r="AE3658" s="10" t="b">
        <f t="shared" si="3221"/>
        <v>1</v>
      </c>
      <c r="AJ3658" t="s">
        <v>4705</v>
      </c>
      <c r="AK3658" t="s">
        <v>4830</v>
      </c>
      <c r="AL3658">
        <v>24788.02</v>
      </c>
      <c r="AM3658">
        <v>66852.87</v>
      </c>
      <c r="AN3658" s="10" cm="1">
        <f t="array" ref="AN3658">Lair(100000000/($AM3658-$AL3658))</f>
        <v>2376.5564116689006</v>
      </c>
      <c r="AO3658" s="10">
        <f t="shared" si="3235"/>
        <v>2377.2817447346188</v>
      </c>
      <c r="AP3658" s="12">
        <v>34400000</v>
      </c>
      <c r="AQ3658" s="3">
        <v>7.4999999999999997E-2</v>
      </c>
      <c r="AR3658" s="3">
        <f t="shared" si="3236"/>
        <v>-7.0214213565808015</v>
      </c>
      <c r="AS3658" s="13">
        <f t="shared" si="3237"/>
        <v>8.4737938302712816</v>
      </c>
      <c r="AT3658" s="3">
        <f t="shared" si="3238"/>
        <v>1.038366033557879</v>
      </c>
      <c r="AU3658" s="13" cm="1">
        <f t="array" ref="AU3658">$C3658*EXP(poly_from_str(100000000/$E3658,AU$4343))</f>
        <v>12.915559868748755</v>
      </c>
      <c r="AV3658" s="13">
        <f t="shared" si="3239"/>
        <v>-0.42145445365312539</v>
      </c>
      <c r="AW3658" s="13"/>
      <c r="AX3658" s="13"/>
      <c r="AY3658" s="13"/>
    </row>
    <row r="3659" spans="1:51" x14ac:dyDescent="0.25">
      <c r="A3659" t="s">
        <v>4108</v>
      </c>
      <c r="B3659" s="2">
        <f t="shared" si="3217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3231"/>
        <v>o</v>
      </c>
      <c r="N3659" t="str">
        <f t="shared" si="3232"/>
        <v>11/2</v>
      </c>
      <c r="O3659">
        <v>102484.66</v>
      </c>
      <c r="P3659" t="str">
        <f t="shared" si="3233"/>
        <v>e</v>
      </c>
      <c r="Q3659" t="str">
        <f t="shared" si="3234"/>
        <v>9/2</v>
      </c>
      <c r="R3659">
        <v>34</v>
      </c>
      <c r="AA3659" s="10">
        <f t="shared" si="3218"/>
        <v>2376.5549999999998</v>
      </c>
      <c r="AB3659" s="3">
        <f t="shared" si="3219"/>
        <v>42064.87</v>
      </c>
      <c r="AC3659" s="3" cm="1">
        <f t="array" ref="AC3659">100000000/LvacE(AA3659)</f>
        <v>42064.874922322386</v>
      </c>
      <c r="AD3659" s="10">
        <f t="shared" si="3220"/>
        <v>1.3849968740955371E-2</v>
      </c>
      <c r="AE3659" s="10" t="b">
        <f t="shared" si="3221"/>
        <v>1</v>
      </c>
      <c r="AJ3659" t="s">
        <v>4849</v>
      </c>
      <c r="AK3659" t="s">
        <v>4832</v>
      </c>
      <c r="AL3659">
        <v>60419.73</v>
      </c>
      <c r="AM3659">
        <v>102484.66</v>
      </c>
      <c r="AN3659" s="10" cm="1">
        <f t="array" ref="AN3659">Lair(100000000/($AM3659-$AL3659))</f>
        <v>2376.5518915203456</v>
      </c>
      <c r="AO3659" s="10">
        <f t="shared" si="3235"/>
        <v>2377.2772235684215</v>
      </c>
      <c r="AP3659" s="12">
        <v>1130000000</v>
      </c>
      <c r="AQ3659" s="3">
        <v>0.379</v>
      </c>
      <c r="AR3659" s="3">
        <f t="shared" si="3236"/>
        <v>-10.513339605731423</v>
      </c>
      <c r="AS3659" s="13">
        <f t="shared" si="3237"/>
        <v>19.198769395918962</v>
      </c>
      <c r="AT3659" s="3">
        <f t="shared" si="3238"/>
        <v>1.8562338943489662</v>
      </c>
      <c r="AU3659" s="13" cm="1">
        <f t="array" ref="AU3659">$C3659*EXP(poly_from_str(100000000/$E3659,AU$4343))</f>
        <v>12.915559868748755</v>
      </c>
      <c r="AV3659" s="13">
        <f t="shared" si="3239"/>
        <v>0.39641340713796169</v>
      </c>
      <c r="AW3659" s="13"/>
      <c r="AX3659" s="13"/>
      <c r="AY3659" s="13"/>
    </row>
    <row r="3660" spans="1:51" x14ac:dyDescent="0.25">
      <c r="A3660" t="s">
        <v>4109</v>
      </c>
      <c r="B3660" s="2" t="str">
        <f t="shared" si="3217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3231"/>
        <v>e</v>
      </c>
      <c r="N3660" t="str">
        <f t="shared" si="3232"/>
        <v>3/2</v>
      </c>
      <c r="O3660">
        <v>63221.279999999999</v>
      </c>
      <c r="P3660" t="str">
        <f t="shared" si="3233"/>
        <v>o</v>
      </c>
      <c r="Q3660" t="str">
        <f t="shared" si="3234"/>
        <v>3/2</v>
      </c>
      <c r="R3660">
        <v>34</v>
      </c>
      <c r="AA3660" s="10">
        <f t="shared" si="3218"/>
        <v>2376.1030000000001</v>
      </c>
      <c r="AB3660" s="3">
        <f t="shared" si="3219"/>
        <v>42072.88</v>
      </c>
      <c r="AC3660" s="3" cm="1">
        <f t="array" ref="AC3660">100000000/LvacE(AA3660)</f>
        <v>42072.876175005164</v>
      </c>
      <c r="AD3660" s="10">
        <f t="shared" si="3220"/>
        <v>1.3853335940193914E-2</v>
      </c>
      <c r="AE3660" s="10" t="b">
        <f t="shared" si="3221"/>
        <v>1</v>
      </c>
      <c r="AJ3660" t="s">
        <v>4789</v>
      </c>
      <c r="AK3660" t="s">
        <v>4707</v>
      </c>
      <c r="AL3660">
        <v>21148.43</v>
      </c>
      <c r="AM3660">
        <v>63221.279999999999</v>
      </c>
      <c r="AN3660" s="10" cm="1">
        <f t="array" ref="AN3660">Lair(100000000/($AM3660-$AL3660))</f>
        <v>2376.1044818959654</v>
      </c>
      <c r="AO3660" s="10">
        <f t="shared" si="3235"/>
        <v>2376.8297132236112</v>
      </c>
      <c r="AP3660" s="12">
        <v>221000000</v>
      </c>
      <c r="AQ3660" s="3">
        <v>0.66700000000000004</v>
      </c>
      <c r="AR3660" s="3">
        <f t="shared" si="3236"/>
        <v>-7.8996937321354439</v>
      </c>
      <c r="AS3660" s="13">
        <f t="shared" si="3237"/>
        <v>71.508311417666505</v>
      </c>
      <c r="AT3660" s="3">
        <f t="shared" si="3238"/>
        <v>2.1903721448680891</v>
      </c>
      <c r="AU3660" s="13" cm="1">
        <f t="array" ref="AU3660">$C3660*EXP(poly_from_str(100000000/$E3660,AU$4343))</f>
        <v>34.482663894074292</v>
      </c>
      <c r="AV3660" s="13">
        <f t="shared" si="3239"/>
        <v>0.7293569846278809</v>
      </c>
      <c r="AW3660" s="13"/>
      <c r="AX3660" s="13"/>
      <c r="AY3660" s="13"/>
    </row>
    <row r="3661" spans="1:51" x14ac:dyDescent="0.25">
      <c r="A3661" t="s">
        <v>4110</v>
      </c>
      <c r="B3661" s="2" t="str">
        <f t="shared" si="3217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3231"/>
        <v>e</v>
      </c>
      <c r="N3661" t="str">
        <f t="shared" si="3232"/>
        <v>3/2</v>
      </c>
      <c r="O3661">
        <v>66324.84</v>
      </c>
      <c r="P3661" t="str">
        <f t="shared" si="3233"/>
        <v>o</v>
      </c>
      <c r="Q3661" t="str">
        <f t="shared" si="3234"/>
        <v>1/2</v>
      </c>
      <c r="R3661">
        <v>34</v>
      </c>
      <c r="AA3661" s="10">
        <f t="shared" si="3218"/>
        <v>2376.0230000000001</v>
      </c>
      <c r="AB3661" s="3">
        <f t="shared" si="3219"/>
        <v>42074.29</v>
      </c>
      <c r="AC3661" s="3" cm="1">
        <f t="array" ref="AC3661">100000000/LvacE(AA3661)</f>
        <v>42074.292642952183</v>
      </c>
      <c r="AD3661" s="10">
        <f t="shared" si="3220"/>
        <v>1.3853932104813838E-2</v>
      </c>
      <c r="AE3661" s="10" t="b">
        <f t="shared" si="3221"/>
        <v>1</v>
      </c>
      <c r="AJ3661" t="s">
        <v>4710</v>
      </c>
      <c r="AK3661" t="s">
        <v>4834</v>
      </c>
      <c r="AL3661">
        <v>24250.62</v>
      </c>
      <c r="AM3661">
        <v>66324.84</v>
      </c>
      <c r="AN3661" s="10" cm="1">
        <f t="array" ref="AN3661">Lair(100000000/($AM3661-$AL3661))</f>
        <v>2376.0271061564781</v>
      </c>
      <c r="AO3661" s="10">
        <f t="shared" si="3235"/>
        <v>2376.752320066777</v>
      </c>
      <c r="AP3661" s="12">
        <v>44400000</v>
      </c>
      <c r="AQ3661" s="3">
        <v>0.2</v>
      </c>
      <c r="AR3661" s="3">
        <f t="shared" si="3236"/>
        <v>-6.9877393841298323</v>
      </c>
      <c r="AS3661" s="13">
        <f t="shared" si="3237"/>
        <v>11.381746573706756</v>
      </c>
      <c r="AT3661" s="3">
        <f t="shared" si="3238"/>
        <v>1.0457165332804563</v>
      </c>
      <c r="AU3661" s="13" cm="1">
        <f t="array" ref="AU3661">$C3661*EXP(poly_from_str(100000000/$E3661,AU$4343))</f>
        <v>17.244967812137521</v>
      </c>
      <c r="AV3661" s="13">
        <f t="shared" si="3239"/>
        <v>-0.41550948548265743</v>
      </c>
      <c r="AW3661" s="13"/>
      <c r="AX3661" s="13"/>
      <c r="AY3661" s="13"/>
    </row>
    <row r="3662" spans="1:51" x14ac:dyDescent="0.25">
      <c r="A3662" t="s">
        <v>4111</v>
      </c>
      <c r="B3662" s="2" t="str">
        <f t="shared" si="3217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3231"/>
        <v>e</v>
      </c>
      <c r="N3662" t="str">
        <f t="shared" si="3232"/>
        <v>9/2</v>
      </c>
      <c r="O3662">
        <v>65922.42</v>
      </c>
      <c r="P3662" t="str">
        <f t="shared" si="3233"/>
        <v>o</v>
      </c>
      <c r="Q3662" t="str">
        <f t="shared" si="3234"/>
        <v>11/2</v>
      </c>
      <c r="R3662">
        <v>34</v>
      </c>
      <c r="AA3662" s="10">
        <f t="shared" si="3218"/>
        <v>2375.8270000000002</v>
      </c>
      <c r="AB3662" s="3">
        <f t="shared" si="3219"/>
        <v>42077.760000000002</v>
      </c>
      <c r="AC3662" s="3" cm="1">
        <f t="array" ref="AC3662">100000000/LvacE(AA3662)</f>
        <v>42077.763392507273</v>
      </c>
      <c r="AD3662" s="10">
        <f t="shared" si="3220"/>
        <v>1.3855392962641488E-2</v>
      </c>
      <c r="AE3662" s="10" t="b">
        <f t="shared" si="3221"/>
        <v>1</v>
      </c>
      <c r="AJ3662" t="s">
        <v>4763</v>
      </c>
      <c r="AK3662" t="s">
        <v>4833</v>
      </c>
      <c r="AL3662">
        <v>23844.58</v>
      </c>
      <c r="AM3662">
        <v>65922.42</v>
      </c>
      <c r="AN3662" s="10" cm="1">
        <f t="array" ref="AN3662">Lair(100000000/($AM3662-$AL3662))</f>
        <v>2375.8226777165714</v>
      </c>
      <c r="AO3662" s="10">
        <f t="shared" si="3235"/>
        <v>2376.5478456118472</v>
      </c>
      <c r="AP3662" s="12">
        <v>55700000</v>
      </c>
      <c r="AQ3662" s="3">
        <v>0.13100000000000001</v>
      </c>
      <c r="AR3662" s="3">
        <f t="shared" si="3236"/>
        <v>-6.9909029077513747</v>
      </c>
      <c r="AS3662" s="13">
        <f t="shared" si="3237"/>
        <v>14.717509740345731</v>
      </c>
      <c r="AT3662" s="3">
        <f t="shared" si="3238"/>
        <v>1.0796000113066313</v>
      </c>
      <c r="AU3662" s="13" cm="1">
        <f t="array" ref="AU3662">$C3662*EXP(poly_from_str(100000000/$E3662,AU$4343))</f>
        <v>21.567414086483844</v>
      </c>
      <c r="AV3662" s="13">
        <f t="shared" si="3239"/>
        <v>-0.38214564474868223</v>
      </c>
      <c r="AW3662" s="13"/>
      <c r="AX3662" s="13"/>
      <c r="AY3662" s="13"/>
    </row>
    <row r="3663" spans="1:51" x14ac:dyDescent="0.25">
      <c r="A3663" t="s">
        <v>4112</v>
      </c>
      <c r="B3663" s="2" t="str">
        <f t="shared" si="3217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3231"/>
        <v>e</v>
      </c>
      <c r="N3663" t="str">
        <f t="shared" si="3232"/>
        <v>9/2</v>
      </c>
      <c r="O3663">
        <v>69686.259999999995</v>
      </c>
      <c r="P3663" t="str">
        <f t="shared" si="3233"/>
        <v>o</v>
      </c>
      <c r="Q3663" t="str">
        <f t="shared" si="3234"/>
        <v>9/2</v>
      </c>
      <c r="R3663">
        <v>34</v>
      </c>
      <c r="AA3663" s="10">
        <f t="shared" si="3218"/>
        <v>2375.5909999999999</v>
      </c>
      <c r="AB3663" s="3">
        <f t="shared" si="3219"/>
        <v>42081.94</v>
      </c>
      <c r="AC3663" s="3" cm="1">
        <f t="array" ref="AC3663">100000000/LvacE(AA3663)</f>
        <v>42081.943218135501</v>
      </c>
      <c r="AD3663" s="10">
        <f t="shared" si="3220"/>
        <v>1.3857152434517454E-2</v>
      </c>
      <c r="AE3663" s="10" t="b">
        <f t="shared" si="3221"/>
        <v>1</v>
      </c>
      <c r="AJ3663" t="s">
        <v>4718</v>
      </c>
      <c r="AK3663" t="s">
        <v>4838</v>
      </c>
      <c r="AL3663">
        <v>27604.26</v>
      </c>
      <c r="AM3663">
        <v>69686.259999999995</v>
      </c>
      <c r="AN3663" s="10" cm="1">
        <f t="array" ref="AN3663">Lair(100000000/($AM3663-$AL3663))</f>
        <v>2375.5877978548824</v>
      </c>
      <c r="AO3663" s="10">
        <f t="shared" si="3235"/>
        <v>2376.3129128843684</v>
      </c>
      <c r="AP3663" s="12">
        <v>150000000</v>
      </c>
      <c r="AQ3663" s="3">
        <v>0.16700000000000001</v>
      </c>
      <c r="AR3663" s="3">
        <f t="shared" si="3236"/>
        <v>-7.9810295994317899</v>
      </c>
      <c r="AS3663" s="13">
        <f t="shared" si="3237"/>
        <v>29.884140860742026</v>
      </c>
      <c r="AT3663" s="3">
        <f t="shared" si="3238"/>
        <v>1.7878900212522708</v>
      </c>
      <c r="AU3663" s="13" cm="1">
        <f t="array" ref="AU3663">$C3663*EXP(poly_from_str(100000000/$E3663,AU$4343))</f>
        <v>21.580947893090297</v>
      </c>
      <c r="AV3663" s="13">
        <f t="shared" si="3239"/>
        <v>0.32551705021073901</v>
      </c>
      <c r="AW3663" s="13"/>
      <c r="AX3663" s="13"/>
      <c r="AY3663" s="13"/>
    </row>
    <row r="3664" spans="1:51" x14ac:dyDescent="0.25">
      <c r="A3664" t="s">
        <v>4113</v>
      </c>
      <c r="B3664" s="2" t="str">
        <f t="shared" si="3217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3231"/>
        <v>e</v>
      </c>
      <c r="N3664" t="str">
        <f t="shared" si="3232"/>
        <v>9/2</v>
      </c>
      <c r="O3664">
        <v>60166.2</v>
      </c>
      <c r="P3664" t="str">
        <f t="shared" si="3233"/>
        <v>o</v>
      </c>
      <c r="Q3664" t="str">
        <f t="shared" si="3234"/>
        <v>9/2</v>
      </c>
      <c r="R3664">
        <v>34</v>
      </c>
      <c r="AA3664" s="10">
        <f t="shared" si="3218"/>
        <v>2374.4140000000002</v>
      </c>
      <c r="AB3664" s="3">
        <f t="shared" si="3219"/>
        <v>42102.8</v>
      </c>
      <c r="AC3664" s="3" cm="1">
        <f t="array" ref="AC3664">100000000/LvacE(AA3664)</f>
        <v>42102.801616211327</v>
      </c>
      <c r="AD3664" s="10">
        <f t="shared" si="3220"/>
        <v>1.3865935261544813E-2</v>
      </c>
      <c r="AE3664" s="10" t="b">
        <f t="shared" si="3221"/>
        <v>1</v>
      </c>
      <c r="AJ3664" t="s">
        <v>4744</v>
      </c>
      <c r="AK3664" t="s">
        <v>4726</v>
      </c>
      <c r="AL3664">
        <v>18063.36</v>
      </c>
      <c r="AM3664">
        <v>60166.2</v>
      </c>
      <c r="AN3664" s="10" cm="1">
        <f t="array" ref="AN3664">Lair(100000000/($AM3664-$AL3664))</f>
        <v>2374.4118387093922</v>
      </c>
      <c r="AO3664" s="10">
        <f t="shared" si="3235"/>
        <v>2375.1366891164589</v>
      </c>
      <c r="AP3664" s="12">
        <v>20200000</v>
      </c>
      <c r="AQ3664" s="3">
        <v>1.7999999999999999E-2</v>
      </c>
      <c r="AR3664" s="3"/>
      <c r="AS3664" s="13">
        <f t="shared" si="3237"/>
        <v>8.2261656084581016</v>
      </c>
      <c r="AT3664" s="3"/>
      <c r="AU3664" s="13" cm="1">
        <f t="array" ref="AU3664">$C3664*EXP(poly_from_str(100000000/$E3664,AU$4343))</f>
        <v>25.978914959977178</v>
      </c>
      <c r="AV3664" s="13"/>
      <c r="AW3664" s="13"/>
      <c r="AX3664" s="13"/>
      <c r="AY3664" s="13"/>
    </row>
    <row r="3665" spans="1:51" x14ac:dyDescent="0.25">
      <c r="A3665" t="s">
        <v>4114</v>
      </c>
      <c r="B3665" s="2" t="str">
        <f t="shared" si="3217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3231"/>
        <v>o</v>
      </c>
      <c r="N3665" t="str">
        <f t="shared" si="3232"/>
        <v>13/2</v>
      </c>
      <c r="O3665">
        <v>104788.68</v>
      </c>
      <c r="P3665" t="str">
        <f t="shared" si="3233"/>
        <v>e</v>
      </c>
      <c r="Q3665" t="str">
        <f t="shared" si="3234"/>
        <v>11/2</v>
      </c>
      <c r="R3665">
        <v>34</v>
      </c>
      <c r="AA3665" s="10">
        <f t="shared" si="3218"/>
        <v>2374.0140000000001</v>
      </c>
      <c r="AB3665" s="3">
        <f t="shared" si="3219"/>
        <v>42109.89</v>
      </c>
      <c r="AC3665" s="3" cm="1">
        <f t="array" ref="AC3665">100000000/LvacE(AA3665)</f>
        <v>42109.894989719221</v>
      </c>
      <c r="AD3665" s="10">
        <f t="shared" si="3220"/>
        <v>1.3868923053890841E-2</v>
      </c>
      <c r="AE3665" s="10" t="b">
        <f t="shared" si="3221"/>
        <v>1</v>
      </c>
      <c r="AJ3665" t="s">
        <v>4888</v>
      </c>
      <c r="AK3665" t="s">
        <v>4836</v>
      </c>
      <c r="AL3665">
        <v>62678.7</v>
      </c>
      <c r="AM3665">
        <v>104788.68</v>
      </c>
      <c r="AN3665" s="10" cm="1">
        <f t="array" ref="AN3665">Lair(100000000/($AM3665-$AL3665))</f>
        <v>2374.0092105999402</v>
      </c>
      <c r="AO3665" s="10">
        <f t="shared" si="3235"/>
        <v>2374.733970426963</v>
      </c>
      <c r="AP3665" s="12">
        <v>1660000000</v>
      </c>
      <c r="AQ3665" s="3">
        <v>0.61599999999999999</v>
      </c>
      <c r="AR3665" s="3">
        <f>LN(AU3665*100000000/($AM3665-$AL3665)/AP3665)</f>
        <v>-10.604542529200938</v>
      </c>
      <c r="AS3665" s="13">
        <f t="shared" si="3237"/>
        <v>23.750588456058072</v>
      </c>
      <c r="AT3665" s="3">
        <f t="shared" si="3238"/>
        <v>1.7813129461509944</v>
      </c>
      <c r="AU3665" s="13" cm="1">
        <f t="array" ref="AU3665">$C3665*EXP(poly_from_str(100000000/$E3665,AU$4343))</f>
        <v>17.337992855434766</v>
      </c>
      <c r="AV3665" s="13">
        <f>LN(AS3665/AU3665)</f>
        <v>0.31470709490003362</v>
      </c>
      <c r="AW3665" s="13"/>
      <c r="AX3665" s="13"/>
      <c r="AY3665" s="13"/>
    </row>
    <row r="3666" spans="1:51" x14ac:dyDescent="0.25">
      <c r="A3666" t="s">
        <v>4115</v>
      </c>
      <c r="B3666" s="2" t="str">
        <f t="shared" si="3217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3218"/>
        <v>2373.5940000000001</v>
      </c>
      <c r="AB3666" s="3">
        <f t="shared" si="3219"/>
        <v>42117.35</v>
      </c>
      <c r="AC3666" s="3" cm="1">
        <f t="array" ref="AC3666">100000000/LvacE(AA3666)</f>
        <v>42117.345604540664</v>
      </c>
      <c r="AD3666" s="10">
        <f t="shared" si="3220"/>
        <v>1.3872061861577984E-2</v>
      </c>
      <c r="AE3666" s="10" t="b">
        <f t="shared" si="3221"/>
        <v>1</v>
      </c>
      <c r="AP3666"/>
      <c r="AQ3666"/>
      <c r="AU3666" s="13" cm="1">
        <f t="array" ref="AU3666">$C3666*EXP(poly_from_str(100000000/$E3666,AU$4343))</f>
        <v>17.357788794960044</v>
      </c>
    </row>
    <row r="3667" spans="1:51" x14ac:dyDescent="0.25">
      <c r="A3667" t="s">
        <v>4116</v>
      </c>
      <c r="B3667" s="2" t="str">
        <f t="shared" si="3217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3240">$G3667&amp;""</f>
        <v>e</v>
      </c>
      <c r="N3667" t="str">
        <f t="shared" ref="N3667:N3668" si="3241">$H3667&amp;""</f>
        <v>3/2</v>
      </c>
      <c r="O3667">
        <v>64401.03</v>
      </c>
      <c r="P3667" t="str">
        <f t="shared" ref="P3667:P3668" si="3242">$J3667&amp;""</f>
        <v>o</v>
      </c>
      <c r="Q3667" t="str">
        <f t="shared" ref="Q3667:Q3668" si="3243">$K3667&amp;""</f>
        <v>5/2</v>
      </c>
      <c r="R3667">
        <v>34</v>
      </c>
      <c r="AA3667" s="10">
        <f t="shared" si="3218"/>
        <v>2373.2550000000001</v>
      </c>
      <c r="AB3667" s="3">
        <f t="shared" si="3219"/>
        <v>42123.360000000001</v>
      </c>
      <c r="AC3667" s="3" cm="1">
        <f t="array" ref="AC3667">100000000/LvacE(AA3667)</f>
        <v>42123.361238029611</v>
      </c>
      <c r="AD3667" s="10">
        <f t="shared" si="3220"/>
        <v>1.3874596543150569E-2</v>
      </c>
      <c r="AE3667" s="10" t="b">
        <f t="shared" si="3221"/>
        <v>1</v>
      </c>
      <c r="AJ3667" t="s">
        <v>4766</v>
      </c>
      <c r="AK3667" t="s">
        <v>4837</v>
      </c>
      <c r="AL3667">
        <v>22277.66</v>
      </c>
      <c r="AM3667">
        <v>64401.03</v>
      </c>
      <c r="AN3667" s="10" cm="1">
        <f t="array" ref="AN3667">Lair(100000000/($AM3667-$AL3667))</f>
        <v>2373.254509891854</v>
      </c>
      <c r="AO3667" s="10">
        <f t="shared" ref="AO3667:AO3668" si="3244">100000000/($AM3667-$AL3667)</f>
        <v>2373.9790999627999</v>
      </c>
      <c r="AP3667" s="12">
        <v>172000000</v>
      </c>
      <c r="AQ3667" s="3">
        <v>0.26</v>
      </c>
      <c r="AR3667" s="3">
        <f t="shared" ref="AR3667:AR3668" si="3245">LN(AU3667*100000000/($AM3667-$AL3667)/AP3667)</f>
        <v>-7.7761023314296711</v>
      </c>
      <c r="AS3667" s="13">
        <f t="shared" ref="AS3667:AS3668" si="3246">EXP(AR$4341*$AM3667+AR$4342)*$AP3667/(100000000/($AM3667-$AL3667))</f>
        <v>50.999156883362389</v>
      </c>
      <c r="AT3667" s="3">
        <f t="shared" ref="AT3667:AT3668" si="3247">LN(AS3667/$C3667)</f>
        <v>1.9858989518335857</v>
      </c>
      <c r="AU3667" s="13" cm="1">
        <f t="array" ref="AU3667">$C3667*EXP(poly_from_str(100000000/$E3667,AU$4343))</f>
        <v>30.404174921887346</v>
      </c>
      <c r="AV3667" s="13">
        <f t="shared" ref="AV3667:AV3668" si="3248">LN(AS3667/AU3667)</f>
        <v>0.51722916894920967</v>
      </c>
      <c r="AW3667" s="13"/>
      <c r="AX3667" s="13"/>
      <c r="AY3667" s="13"/>
    </row>
    <row r="3668" spans="1:51" x14ac:dyDescent="0.25">
      <c r="A3668" t="s">
        <v>4117</v>
      </c>
      <c r="B3668" s="2" t="str">
        <f t="shared" si="3217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3240"/>
        <v>e</v>
      </c>
      <c r="N3668" t="str">
        <f t="shared" si="3241"/>
        <v>9/2</v>
      </c>
      <c r="O3668">
        <v>71978.52</v>
      </c>
      <c r="P3668" t="str">
        <f t="shared" si="3242"/>
        <v>o</v>
      </c>
      <c r="Q3668" t="str">
        <f t="shared" si="3243"/>
        <v>7/2</v>
      </c>
      <c r="R3668">
        <v>34</v>
      </c>
      <c r="AA3668" s="10">
        <f t="shared" si="3218"/>
        <v>2372.1289999999999</v>
      </c>
      <c r="AB3668" s="3">
        <f t="shared" si="3219"/>
        <v>42143.35</v>
      </c>
      <c r="AC3668" s="3" cm="1">
        <f t="array" ref="AC3668">100000000/LvacE(AA3668)</f>
        <v>42143.354706836748</v>
      </c>
      <c r="AD3668" s="10">
        <f t="shared" si="3220"/>
        <v>1.3883023374115986E-2</v>
      </c>
      <c r="AE3668" s="10" t="b">
        <f t="shared" si="3221"/>
        <v>1</v>
      </c>
      <c r="AJ3668" t="s">
        <v>4697</v>
      </c>
      <c r="AK3668" t="s">
        <v>4716</v>
      </c>
      <c r="AL3668">
        <v>29835.09</v>
      </c>
      <c r="AM3668">
        <v>71978.52</v>
      </c>
      <c r="AN3668" s="10" cm="1">
        <f t="array" ref="AN3668">Lair(100000000/($AM3668-$AL3668))</f>
        <v>2372.12476524159</v>
      </c>
      <c r="AO3668" s="10">
        <f t="shared" si="3244"/>
        <v>2372.8491012715381</v>
      </c>
      <c r="AP3668" s="12">
        <v>370000000</v>
      </c>
      <c r="AQ3668" s="3">
        <v>0.29199999999999998</v>
      </c>
      <c r="AR3668" s="3">
        <f t="shared" si="3245"/>
        <v>-8.2881805381802192</v>
      </c>
      <c r="AS3668" s="13">
        <f t="shared" si="3246"/>
        <v>62.154776165879916</v>
      </c>
      <c r="AT3668" s="3">
        <f t="shared" si="3247"/>
        <v>1.9324030866762933</v>
      </c>
      <c r="AU3668" s="13" cm="1">
        <f t="array" ref="AU3668">$C3668*EXP(poly_from_str(100000000/$E3668,AU$4343))</f>
        <v>39.212138750538038</v>
      </c>
      <c r="AV3668" s="13">
        <f t="shared" si="3248"/>
        <v>0.46064130314795709</v>
      </c>
      <c r="AW3668" s="13"/>
      <c r="AX3668" s="13"/>
      <c r="AY3668" s="13"/>
    </row>
    <row r="3669" spans="1:51" x14ac:dyDescent="0.25">
      <c r="A3669" t="s">
        <v>4118</v>
      </c>
      <c r="B3669" s="2" t="str">
        <f t="shared" si="3217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3218"/>
        <v>2372.038</v>
      </c>
      <c r="AB3669" s="3">
        <f t="shared" si="3219"/>
        <v>42144.97</v>
      </c>
      <c r="AC3669" s="3" cm="1">
        <f t="array" ref="AC3669">100000000/LvacE(AA3669)</f>
        <v>42144.971348910229</v>
      </c>
      <c r="AD3669" s="10">
        <f t="shared" si="3220"/>
        <v>1.3883704929876804E-2</v>
      </c>
      <c r="AE3669" s="10" t="b">
        <f t="shared" si="3221"/>
        <v>1</v>
      </c>
      <c r="AP3669"/>
      <c r="AQ3669"/>
      <c r="AU3669" s="13" cm="1">
        <f t="array" ref="AU3669">$C3669*EXP(poly_from_str(100000000/$E3669,AU$4343))</f>
        <v>17.432011397335931</v>
      </c>
    </row>
    <row r="3670" spans="1:51" x14ac:dyDescent="0.25">
      <c r="A3670" t="s">
        <v>4119</v>
      </c>
      <c r="B3670" s="2" t="str">
        <f t="shared" si="3217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3249">$G3670&amp;""</f>
        <v>o</v>
      </c>
      <c r="N3670" t="str">
        <f t="shared" ref="N3670:N3673" si="3250">$H3670&amp;""</f>
        <v>9/2</v>
      </c>
      <c r="O3670">
        <v>100321.12</v>
      </c>
      <c r="P3670" t="str">
        <f t="shared" ref="P3670:P3673" si="3251">$J3670&amp;""</f>
        <v>e</v>
      </c>
      <c r="Q3670" t="str">
        <f t="shared" ref="Q3670:Q3673" si="3252">$K3670&amp;""</f>
        <v>9/2</v>
      </c>
      <c r="R3670">
        <v>34</v>
      </c>
      <c r="AA3670" s="10">
        <f t="shared" si="3218"/>
        <v>2371.9299999999998</v>
      </c>
      <c r="AB3670" s="3">
        <f t="shared" si="3219"/>
        <v>42146.89</v>
      </c>
      <c r="AC3670" s="3" cm="1">
        <f t="array" ref="AC3670">100000000/LvacE(AA3670)</f>
        <v>42146.89016198599</v>
      </c>
      <c r="AD3670" s="10">
        <f t="shared" si="3220"/>
        <v>1.3884513911031522E-2</v>
      </c>
      <c r="AE3670" s="10" t="b">
        <f t="shared" si="3221"/>
        <v>1</v>
      </c>
      <c r="AJ3670" t="s">
        <v>4698</v>
      </c>
      <c r="AK3670" t="s">
        <v>4841</v>
      </c>
      <c r="AL3670">
        <v>58174.15</v>
      </c>
      <c r="AM3670">
        <v>100321.12</v>
      </c>
      <c r="AN3670" s="10" cm="1">
        <f t="array" ref="AN3670">Lair(100000000/($AM3670-$AL3670))</f>
        <v>2371.9255101638018</v>
      </c>
      <c r="AO3670" s="10">
        <f t="shared" ref="AO3670:AO3673" si="3253">100000000/($AM3670-$AL3670)</f>
        <v>2372.6498013973487</v>
      </c>
      <c r="AP3670" s="12">
        <v>2260000000</v>
      </c>
      <c r="AQ3670" s="3">
        <v>0.85799999999999998</v>
      </c>
      <c r="AR3670" s="3">
        <f t="shared" ref="AR3670:AR3673" si="3254">LN(AU3670*100000000/($AM3670-$AL3670)/AP3670)</f>
        <v>-11.601407818710697</v>
      </c>
      <c r="AS3670" s="13">
        <f t="shared" ref="AS3670:AS3673" si="3255">EXP(AR$4341*$AM3670+AR$4342)*$AP3670/(100000000/($AM3670-$AL3670))</f>
        <v>45.254786759380877</v>
      </c>
      <c r="AT3670" s="3">
        <f t="shared" ref="AT3670:AT3673" si="3256">LN(AS3670/$C3670)</f>
        <v>3.1191612687288779</v>
      </c>
      <c r="AU3670" s="13" cm="1">
        <f t="array" ref="AU3670">$C3670*EXP(poly_from_str(100000000/$E3670,AU$4343))</f>
        <v>8.7186129708456583</v>
      </c>
      <c r="AV3670" s="13">
        <f t="shared" ref="AV3670:AV3673" si="3257">LN(AS3670/AU3670)</f>
        <v>1.6468482869962073</v>
      </c>
      <c r="AW3670" s="13"/>
      <c r="AX3670" s="13"/>
      <c r="AY3670" s="13"/>
    </row>
    <row r="3671" spans="1:51" x14ac:dyDescent="0.25">
      <c r="A3671" t="s">
        <v>4120</v>
      </c>
      <c r="B3671" s="2" t="str">
        <f t="shared" si="3217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3249"/>
        <v>e</v>
      </c>
      <c r="N3671" t="str">
        <f t="shared" si="3250"/>
        <v>7/2</v>
      </c>
      <c r="O3671">
        <v>64235.61</v>
      </c>
      <c r="P3671" t="str">
        <f t="shared" si="3251"/>
        <v>o</v>
      </c>
      <c r="Q3671" t="str">
        <f t="shared" si="3252"/>
        <v>9/2</v>
      </c>
      <c r="R3671">
        <v>34</v>
      </c>
      <c r="AA3671" s="10">
        <f t="shared" si="3218"/>
        <v>2371.4940000000001</v>
      </c>
      <c r="AB3671" s="3">
        <f t="shared" si="3219"/>
        <v>42154.64</v>
      </c>
      <c r="AC3671" s="3" cm="1">
        <f t="array" ref="AC3671">100000000/LvacE(AA3671)</f>
        <v>42154.638258087056</v>
      </c>
      <c r="AD3671" s="10">
        <f t="shared" si="3220"/>
        <v>1.3887780921665215E-2</v>
      </c>
      <c r="AE3671" s="10" t="b">
        <f t="shared" si="3221"/>
        <v>1</v>
      </c>
      <c r="AJ3671" t="s">
        <v>4790</v>
      </c>
      <c r="AK3671" t="s">
        <v>4842</v>
      </c>
      <c r="AL3671">
        <v>22080.94</v>
      </c>
      <c r="AM3671">
        <v>64235.61</v>
      </c>
      <c r="AN3671" s="10" cm="1">
        <f t="array" ref="AN3671">Lair(100000000/($AM3671-$AL3671))</f>
        <v>2371.492217779286</v>
      </c>
      <c r="AO3671" s="10">
        <f t="shared" si="3253"/>
        <v>2372.216411609912</v>
      </c>
      <c r="AP3671" s="12">
        <v>29600000</v>
      </c>
      <c r="AQ3671" s="3">
        <v>5.0999999999999997E-2</v>
      </c>
      <c r="AR3671" s="3">
        <f t="shared" si="3254"/>
        <v>-6.8595690934627074</v>
      </c>
      <c r="AS3671" s="13">
        <f t="shared" si="3255"/>
        <v>8.8928359215479258</v>
      </c>
      <c r="AT3671" s="3">
        <f t="shared" si="3256"/>
        <v>1.0866337112865865</v>
      </c>
      <c r="AU3671" s="13" cm="1">
        <f t="array" ref="AU3671">$C3671*EXP(poly_from_str(100000000/$E3671,AU$4343))</f>
        <v>13.093760695373016</v>
      </c>
      <c r="AV3671" s="13">
        <f t="shared" si="3257"/>
        <v>-0.38688983399777865</v>
      </c>
      <c r="AW3671" s="13"/>
      <c r="AX3671" s="13"/>
      <c r="AY3671" s="13"/>
    </row>
    <row r="3672" spans="1:51" x14ac:dyDescent="0.25">
      <c r="A3672" t="s">
        <v>4121</v>
      </c>
      <c r="B3672" s="2">
        <f t="shared" si="3217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3249"/>
        <v>e</v>
      </c>
      <c r="N3672" t="str">
        <f t="shared" si="3250"/>
        <v>5/2</v>
      </c>
      <c r="O3672">
        <v>63768.66</v>
      </c>
      <c r="P3672" t="str">
        <f t="shared" si="3251"/>
        <v>o</v>
      </c>
      <c r="Q3672" t="str">
        <f t="shared" si="3252"/>
        <v>7/2</v>
      </c>
      <c r="R3672">
        <v>34</v>
      </c>
      <c r="AA3672" s="10">
        <f t="shared" si="3218"/>
        <v>2371.337</v>
      </c>
      <c r="AB3672" s="3">
        <f t="shared" si="3219"/>
        <v>42157.43</v>
      </c>
      <c r="AC3672" s="3" cm="1">
        <f t="array" ref="AC3672">100000000/LvacE(AA3672)</f>
        <v>42157.428981105062</v>
      </c>
      <c r="AD3672" s="10">
        <f t="shared" si="3220"/>
        <v>1.3888957786494509E-2</v>
      </c>
      <c r="AE3672" s="10" t="b">
        <f t="shared" si="3221"/>
        <v>1</v>
      </c>
      <c r="AJ3672" t="s">
        <v>4796</v>
      </c>
      <c r="AK3672" t="s">
        <v>4850</v>
      </c>
      <c r="AL3672">
        <v>21611.19</v>
      </c>
      <c r="AM3672">
        <v>63768.66</v>
      </c>
      <c r="AN3672" s="10" cm="1">
        <f t="array" ref="AN3672">Lair(100000000/($AM3672-$AL3672))</f>
        <v>2371.3346961520106</v>
      </c>
      <c r="AO3672" s="10">
        <f t="shared" si="3253"/>
        <v>2372.0588545754763</v>
      </c>
      <c r="AP3672" s="12">
        <v>221000000</v>
      </c>
      <c r="AQ3672" s="3">
        <v>0.48399999999999999</v>
      </c>
      <c r="AR3672" s="3">
        <f t="shared" si="3254"/>
        <v>-7.7709744668608902</v>
      </c>
      <c r="AS3672" s="13">
        <f t="shared" si="3255"/>
        <v>68.768366126190344</v>
      </c>
      <c r="AT3672" s="3">
        <f t="shared" si="3256"/>
        <v>2.0335192671876268</v>
      </c>
      <c r="AU3672" s="13" cm="1">
        <f t="array" ref="AU3672">$C3672*EXP(poly_from_str(100000000/$E3672,AU$4343))</f>
        <v>39.298455607961515</v>
      </c>
      <c r="AV3672" s="13">
        <f t="shared" si="3257"/>
        <v>0.55955862392813849</v>
      </c>
      <c r="AW3672" s="13"/>
      <c r="AX3672" s="13"/>
      <c r="AY3672" s="13"/>
    </row>
    <row r="3673" spans="1:51" x14ac:dyDescent="0.25">
      <c r="A3673" t="s">
        <v>4121</v>
      </c>
      <c r="B3673" s="2">
        <f t="shared" si="3217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3249"/>
        <v>e</v>
      </c>
      <c r="N3673" t="str">
        <f t="shared" si="3250"/>
        <v>5/2</v>
      </c>
      <c r="O3673">
        <v>63576.27</v>
      </c>
      <c r="P3673" t="str">
        <f t="shared" si="3251"/>
        <v>o</v>
      </c>
      <c r="Q3673" t="str">
        <f t="shared" si="3252"/>
        <v>5/2</v>
      </c>
      <c r="R3673">
        <v>34</v>
      </c>
      <c r="AA3673" s="10">
        <f t="shared" si="3218"/>
        <v>2371.337</v>
      </c>
      <c r="AB3673" s="3">
        <f t="shared" si="3219"/>
        <v>42157.43</v>
      </c>
      <c r="AC3673" s="3" cm="1">
        <f t="array" ref="AC3673">100000000/LvacE(AA3673)</f>
        <v>42157.428981105062</v>
      </c>
      <c r="AD3673" s="10">
        <f t="shared" si="3220"/>
        <v>1.3888957786494509E-2</v>
      </c>
      <c r="AE3673" s="10" t="b">
        <f t="shared" si="3221"/>
        <v>1</v>
      </c>
      <c r="AJ3673" t="s">
        <v>4792</v>
      </c>
      <c r="AK3673" t="s">
        <v>4843</v>
      </c>
      <c r="AL3673">
        <v>21418.84</v>
      </c>
      <c r="AM3673">
        <v>63576.27</v>
      </c>
      <c r="AN3673" s="10" cm="1">
        <f t="array" ref="AN3673">Lair(100000000/($AM3673-$AL3673))</f>
        <v>2371.3369463136587</v>
      </c>
      <c r="AO3673" s="10">
        <f t="shared" si="3253"/>
        <v>2372.0611052428958</v>
      </c>
      <c r="AP3673" s="12">
        <v>222000000</v>
      </c>
      <c r="AQ3673" s="3">
        <v>0.38500000000000001</v>
      </c>
      <c r="AR3673" s="3">
        <f t="shared" si="3254"/>
        <v>-7.7754881983914244</v>
      </c>
      <c r="AS3673" s="13">
        <f t="shared" si="3255"/>
        <v>70.084091078673325</v>
      </c>
      <c r="AT3673" s="3">
        <f t="shared" si="3256"/>
        <v>2.0524712448522044</v>
      </c>
      <c r="AU3673" s="13" cm="1">
        <f t="array" ref="AU3673">$C3673*EXP(poly_from_str(100000000/$E3673,AU$4343))</f>
        <v>39.298455607961515</v>
      </c>
      <c r="AV3673" s="13">
        <f t="shared" si="3257"/>
        <v>0.57851060159271628</v>
      </c>
      <c r="AW3673" s="13"/>
      <c r="AX3673" s="13"/>
      <c r="AY3673" s="13"/>
    </row>
    <row r="3674" spans="1:51" x14ac:dyDescent="0.25">
      <c r="A3674" t="s">
        <v>4122</v>
      </c>
      <c r="B3674" s="2" t="str">
        <f t="shared" si="3217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3218"/>
        <v>2371.027</v>
      </c>
      <c r="AB3674" s="3">
        <f t="shared" si="3219"/>
        <v>42162.94</v>
      </c>
      <c r="AC3674" s="3" cm="1">
        <f t="array" ref="AC3674">100000000/LvacE(AA3674)</f>
        <v>42162.940411063217</v>
      </c>
      <c r="AD3674" s="10">
        <f t="shared" si="3220"/>
        <v>1.3891282218857739E-2</v>
      </c>
      <c r="AE3674" s="10" t="b">
        <f t="shared" si="3221"/>
        <v>1</v>
      </c>
      <c r="AP3674"/>
      <c r="AQ3674"/>
      <c r="AU3674" s="13" cm="1">
        <f t="array" ref="AU3674">$C3674*EXP(poly_from_str(100000000/$E3674,AU$4343))</f>
        <v>30.591923653297023</v>
      </c>
    </row>
    <row r="3675" spans="1:51" x14ac:dyDescent="0.25">
      <c r="A3675" t="s">
        <v>4123</v>
      </c>
      <c r="B3675" s="2" t="str">
        <f t="shared" si="3217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3218"/>
        <v>2370.1689999999999</v>
      </c>
      <c r="AB3675" s="3">
        <f t="shared" si="3219"/>
        <v>42178.2</v>
      </c>
      <c r="AC3675" s="3" cm="1">
        <f t="array" ref="AC3675">100000000/LvacE(AA3675)</f>
        <v>42178.202142803479</v>
      </c>
      <c r="AD3675" s="10">
        <f t="shared" si="3220"/>
        <v>1.3897720403651278E-2</v>
      </c>
      <c r="AE3675" s="10" t="b">
        <f t="shared" si="3221"/>
        <v>1</v>
      </c>
      <c r="AJ3675" t="s">
        <v>4724</v>
      </c>
      <c r="AK3675" t="s">
        <v>4849</v>
      </c>
      <c r="AL3675">
        <v>18241.54</v>
      </c>
      <c r="AM3675">
        <v>60419.73</v>
      </c>
      <c r="AN3675" s="10" cm="1">
        <f t="array" ref="AN3675">Lair(100000000/($AM3675-$AL3675))</f>
        <v>2370.1696860679663</v>
      </c>
      <c r="AO3675" s="10">
        <f>100000000/($AM3675-$AL3675)</f>
        <v>2370.8935826786305</v>
      </c>
      <c r="AP3675" s="12">
        <v>39500000</v>
      </c>
      <c r="AQ3675" s="3">
        <v>4.9000000000000002E-2</v>
      </c>
      <c r="AR3675" s="3"/>
      <c r="AS3675" s="13">
        <f>EXP(AR$4341*$AM3675+AR$4342)*$AP3675/(100000000/($AM3675-$AL3675))</f>
        <v>15.810899284495859</v>
      </c>
      <c r="AT3675" s="3"/>
      <c r="AU3675" s="13" cm="1">
        <f t="array" ref="AU3675">$C3675*EXP(poly_from_str(100000000/$E3675,AU$4343))</f>
        <v>17.523285923100818</v>
      </c>
      <c r="AV3675" s="13"/>
      <c r="AW3675" s="13"/>
      <c r="AX3675" s="13"/>
      <c r="AY3675" s="13"/>
    </row>
    <row r="3676" spans="1:51" x14ac:dyDescent="0.25">
      <c r="A3676" t="s">
        <v>4124</v>
      </c>
      <c r="B3676" s="2" t="str">
        <f t="shared" si="3217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3218"/>
        <v>2370.0239999999999</v>
      </c>
      <c r="AB3676" s="3">
        <f t="shared" si="3219"/>
        <v>42180.78</v>
      </c>
      <c r="AC3676" s="3" cm="1">
        <f t="array" ref="AC3676">100000000/LvacE(AA3676)</f>
        <v>42180.782431235886</v>
      </c>
      <c r="AD3676" s="10">
        <f t="shared" si="3220"/>
        <v>1.3898809132573318E-2</v>
      </c>
      <c r="AE3676" s="10" t="b">
        <f t="shared" si="3221"/>
        <v>1</v>
      </c>
      <c r="AP3676"/>
      <c r="AQ3676"/>
      <c r="AU3676" s="13" cm="1">
        <f t="array" ref="AU3676">$C3676*EXP(poly_from_str(100000000/$E3676,AU$4343))</f>
        <v>26.29569655635035</v>
      </c>
    </row>
    <row r="3677" spans="1:51" x14ac:dyDescent="0.25">
      <c r="A3677" t="s">
        <v>4125</v>
      </c>
      <c r="B3677" s="2" t="str">
        <f t="shared" si="3217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3218"/>
        <v>2369.8609999999999</v>
      </c>
      <c r="AB3677" s="3">
        <f t="shared" si="3219"/>
        <v>42183.68</v>
      </c>
      <c r="AC3677" s="3" cm="1">
        <f t="array" ref="AC3677">100000000/LvacE(AA3677)</f>
        <v>42183.683408251592</v>
      </c>
      <c r="AD3677" s="10">
        <f t="shared" si="3220"/>
        <v>1.3900033252636251E-2</v>
      </c>
      <c r="AE3677" s="10" t="b">
        <f t="shared" si="3221"/>
        <v>1</v>
      </c>
      <c r="AP3677"/>
      <c r="AQ3677"/>
      <c r="AU3677" s="13" cm="1">
        <f t="array" ref="AU3677">$C3677*EXP(poly_from_str(100000000/$E3677,AU$4343))</f>
        <v>26.307823690466357</v>
      </c>
    </row>
    <row r="3678" spans="1:51" x14ac:dyDescent="0.25">
      <c r="A3678" t="s">
        <v>4126</v>
      </c>
      <c r="B3678" s="2" t="str">
        <f t="shared" si="3217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3218"/>
        <v>2369.4940000000001</v>
      </c>
      <c r="AB3678" s="3">
        <f t="shared" si="3219"/>
        <v>42190.22</v>
      </c>
      <c r="AC3678" s="3" cm="1">
        <f t="array" ref="AC3678">100000000/LvacE(AA3678)</f>
        <v>42190.216516623921</v>
      </c>
      <c r="AD3678" s="10">
        <f t="shared" si="3220"/>
        <v>1.3902790324985825E-2</v>
      </c>
      <c r="AE3678" s="10" t="b">
        <f t="shared" si="3221"/>
        <v>1</v>
      </c>
      <c r="AJ3678" t="s">
        <v>4785</v>
      </c>
      <c r="AK3678" t="s">
        <v>4848</v>
      </c>
      <c r="AL3678">
        <v>19872.43</v>
      </c>
      <c r="AM3678">
        <v>62062.63</v>
      </c>
      <c r="AN3678" s="10" cm="1">
        <f t="array" ref="AN3678">Lair(100000000/($AM3678-$AL3678))</f>
        <v>2369.4949313584375</v>
      </c>
      <c r="AO3678" s="10">
        <f>100000000/($AM3678-$AL3678)</f>
        <v>2370.2186763750824</v>
      </c>
      <c r="AP3678" s="12">
        <v>54400000</v>
      </c>
      <c r="AQ3678" s="3">
        <v>0.26900000000000002</v>
      </c>
      <c r="AR3678" s="3">
        <f>LN(AU3678*100000000/($AM3678-$AL3678)/AP3678)</f>
        <v>-7.8688405578581104</v>
      </c>
      <c r="AS3678" s="13">
        <f>EXP(AR$4341*$AM3678+AR$4342)*$AP3678/(100000000/($AM3678-$AL3678))</f>
        <v>19.254665485900393</v>
      </c>
      <c r="AT3678" s="3">
        <f>LN(AS3678/$C3678)</f>
        <v>2.2646062137126206</v>
      </c>
      <c r="AU3678" s="13" cm="1">
        <f t="array" ref="AU3678">$C3678*EXP(poly_from_str(100000000/$E3678,AU$4343))</f>
        <v>8.7784219187108796</v>
      </c>
      <c r="AV3678" s="13">
        <f>LN(AS3678/AU3678)</f>
        <v>0.78545673868989752</v>
      </c>
      <c r="AW3678" s="13"/>
      <c r="AX3678" s="13"/>
      <c r="AY3678" s="13"/>
    </row>
    <row r="3679" spans="1:51" x14ac:dyDescent="0.25">
      <c r="A3679" t="s">
        <v>4127</v>
      </c>
      <c r="B3679" s="2" t="str">
        <f t="shared" si="3217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3218"/>
        <v>2369.317</v>
      </c>
      <c r="AB3679" s="3">
        <f t="shared" si="3219"/>
        <v>42193.37</v>
      </c>
      <c r="AC3679" s="3" cm="1">
        <f t="array" ref="AC3679">100000000/LvacE(AA3679)</f>
        <v>42193.36808512779</v>
      </c>
      <c r="AD3679" s="10">
        <f t="shared" si="3220"/>
        <v>1.3904120488125438E-2</v>
      </c>
      <c r="AE3679" s="10" t="b">
        <f t="shared" si="3221"/>
        <v>1</v>
      </c>
      <c r="AP3679"/>
      <c r="AQ3679"/>
      <c r="AU3679" s="13" cm="1">
        <f t="array" ref="AU3679">$C3679*EXP(poly_from_str(100000000/$E3679,AU$4343))</f>
        <v>8.7828431800434679</v>
      </c>
    </row>
    <row r="3680" spans="1:51" x14ac:dyDescent="0.25">
      <c r="A3680" t="s">
        <v>4128</v>
      </c>
      <c r="B3680" s="2" t="str">
        <f t="shared" si="3217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3258">$G3680&amp;""</f>
        <v>o</v>
      </c>
      <c r="N3680" t="str">
        <f t="shared" ref="N3680:N3683" si="3259">$H3680&amp;""</f>
        <v>11/2</v>
      </c>
      <c r="O3680">
        <v>102617.24</v>
      </c>
      <c r="P3680" t="str">
        <f t="shared" ref="P3680:P3683" si="3260">$J3680&amp;""</f>
        <v>e</v>
      </c>
      <c r="Q3680" t="str">
        <f t="shared" ref="Q3680:Q3683" si="3261">$K3680&amp;""</f>
        <v>11/2</v>
      </c>
      <c r="R3680">
        <v>34</v>
      </c>
      <c r="AA3680" s="10">
        <f t="shared" si="3218"/>
        <v>2369.0810000000001</v>
      </c>
      <c r="AB3680" s="3">
        <f t="shared" si="3219"/>
        <v>42197.57</v>
      </c>
      <c r="AC3680" s="3" cm="1">
        <f t="array" ref="AC3680">100000000/LvacE(AA3680)</f>
        <v>42197.57090889306</v>
      </c>
      <c r="AD3680" s="10">
        <f t="shared" si="3220"/>
        <v>1.3905894502740317E-2</v>
      </c>
      <c r="AE3680" s="10" t="b">
        <f t="shared" si="3221"/>
        <v>1</v>
      </c>
      <c r="AJ3680" t="s">
        <v>4849</v>
      </c>
      <c r="AK3680" t="s">
        <v>4845</v>
      </c>
      <c r="AL3680">
        <v>60419.73</v>
      </c>
      <c r="AM3680">
        <v>102617.24</v>
      </c>
      <c r="AN3680" s="10" cm="1">
        <f t="array" ref="AN3680">Lair(100000000/($AM3680-$AL3680))</f>
        <v>2369.0844235478694</v>
      </c>
      <c r="AO3680" s="10">
        <f t="shared" ref="AO3680:AO3683" si="3262">100000000/($AM3680-$AL3680)</f>
        <v>2369.8080763533203</v>
      </c>
      <c r="AU3680" s="13" cm="1">
        <f t="array" ref="AU3680">$C3680*EXP(poly_from_str(100000000/$E3680,AU$4343))</f>
        <v>43.943769262676611</v>
      </c>
    </row>
    <row r="3681" spans="1:51" x14ac:dyDescent="0.25">
      <c r="A3681" t="s">
        <v>4129</v>
      </c>
      <c r="B3681" s="2" t="str">
        <f t="shared" si="3217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3258"/>
        <v>e</v>
      </c>
      <c r="N3681" t="str">
        <f t="shared" si="3259"/>
        <v>15/2</v>
      </c>
      <c r="O3681">
        <v>80988.759999999995</v>
      </c>
      <c r="P3681" t="str">
        <f t="shared" si="3260"/>
        <v>o</v>
      </c>
      <c r="Q3681" t="str">
        <f t="shared" si="3261"/>
        <v>13/2</v>
      </c>
      <c r="R3681">
        <v>34</v>
      </c>
      <c r="AA3681" s="10">
        <f t="shared" si="3218"/>
        <v>2368.7759999999998</v>
      </c>
      <c r="AB3681" s="3">
        <f t="shared" si="3219"/>
        <v>42203</v>
      </c>
      <c r="AC3681" s="3" cm="1">
        <f t="array" ref="AC3681">100000000/LvacE(AA3681)</f>
        <v>42203.003764664129</v>
      </c>
      <c r="AD3681" s="10">
        <f t="shared" si="3220"/>
        <v>1.3908187976546565E-2</v>
      </c>
      <c r="AE3681" s="10" t="b">
        <f t="shared" si="3221"/>
        <v>1</v>
      </c>
      <c r="AJ3681" t="s">
        <v>4781</v>
      </c>
      <c r="AK3681" t="s">
        <v>4844</v>
      </c>
      <c r="AL3681">
        <v>38785.760000000002</v>
      </c>
      <c r="AM3681">
        <v>80988.759999999995</v>
      </c>
      <c r="AN3681" s="10" cm="1">
        <f t="array" ref="AN3681">Lair(100000000/($AM3681-$AL3681))</f>
        <v>2368.776215011253</v>
      </c>
      <c r="AO3681" s="10">
        <f t="shared" si="3262"/>
        <v>2369.4997985925174</v>
      </c>
      <c r="AP3681" s="12">
        <v>3190000000</v>
      </c>
      <c r="AQ3681" s="3">
        <v>0.83099999999999996</v>
      </c>
      <c r="AR3681" s="3">
        <f t="shared" ref="AR3681:AR3683" si="3263">LN(AU3681*100000000/($AM3681-$AL3681)/AP3681)</f>
        <v>-10.329069623457702</v>
      </c>
      <c r="AS3681" s="13">
        <f t="shared" ref="AS3681:AS3683" si="3264">EXP(AR$4341*$AM3681+AR$4342)*$AP3681/(100000000/($AM3681-$AL3681))</f>
        <v>272.90508057574192</v>
      </c>
      <c r="AT3681" s="3">
        <f t="shared" ref="AT3681:AT3683" si="3265">LN(AS3681/$C3681)</f>
        <v>3.306538951533915</v>
      </c>
      <c r="AU3681" s="13" cm="1">
        <f t="array" ref="AU3681">$C3681*EXP(poly_from_str(100000000/$E3681,AU$4343))</f>
        <v>43.982110595919799</v>
      </c>
      <c r="AV3681" s="13">
        <f t="shared" ref="AV3681:AV3683" si="3266">LN(AS3681/AU3681)</f>
        <v>1.8253410706501456</v>
      </c>
      <c r="AW3681" s="13"/>
      <c r="AX3681" s="13"/>
      <c r="AY3681" s="13"/>
    </row>
    <row r="3682" spans="1:51" x14ac:dyDescent="0.25">
      <c r="A3682" t="s">
        <v>4130</v>
      </c>
      <c r="B3682" s="2" t="str">
        <f t="shared" si="3217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3258"/>
        <v>e</v>
      </c>
      <c r="N3682" t="str">
        <f t="shared" si="3259"/>
        <v>9/2</v>
      </c>
      <c r="O3682">
        <v>67240.350000000006</v>
      </c>
      <c r="P3682" t="str">
        <f t="shared" si="3260"/>
        <v>o</v>
      </c>
      <c r="Q3682" t="str">
        <f t="shared" si="3261"/>
        <v>7/2</v>
      </c>
      <c r="R3682">
        <v>34</v>
      </c>
      <c r="AA3682" s="10">
        <f t="shared" si="3218"/>
        <v>2368.585</v>
      </c>
      <c r="AB3682" s="3">
        <f t="shared" si="3219"/>
        <v>42206.41</v>
      </c>
      <c r="AC3682" s="3" cm="1">
        <f t="array" ref="AC3682">100000000/LvacE(AA3682)</f>
        <v>42206.40669159453</v>
      </c>
      <c r="AD3682" s="10">
        <f t="shared" si="3220"/>
        <v>1.3909624668651227E-2</v>
      </c>
      <c r="AE3682" s="10" t="b">
        <f t="shared" si="3221"/>
        <v>1</v>
      </c>
      <c r="AJ3682" t="s">
        <v>4746</v>
      </c>
      <c r="AK3682" t="s">
        <v>4852</v>
      </c>
      <c r="AL3682">
        <v>25033.91</v>
      </c>
      <c r="AM3682">
        <v>67240.350000000006</v>
      </c>
      <c r="AN3682" s="10" cm="1">
        <f t="array" ref="AN3682">Lair(100000000/($AM3682-$AL3682))</f>
        <v>2368.5831343080349</v>
      </c>
      <c r="AO3682" s="10">
        <f t="shared" si="3262"/>
        <v>2369.3066745264464</v>
      </c>
      <c r="AP3682" s="12">
        <v>136000000</v>
      </c>
      <c r="AQ3682" s="3">
        <v>0.27</v>
      </c>
      <c r="AR3682" s="3">
        <f t="shared" si="3263"/>
        <v>-7.6843063938733298</v>
      </c>
      <c r="AS3682" s="13">
        <f t="shared" si="3264"/>
        <v>32.650424788659635</v>
      </c>
      <c r="AT3682" s="3">
        <f t="shared" si="3265"/>
        <v>1.6940983967821746</v>
      </c>
      <c r="AU3682" s="13" cm="1">
        <f t="array" ref="AU3682">$C3682*EXP(poly_from_str(100000000/$E3682,AU$4343))</f>
        <v>26.403759383136141</v>
      </c>
      <c r="AV3682" s="13">
        <f t="shared" si="3266"/>
        <v>0.21235146511963265</v>
      </c>
      <c r="AW3682" s="13"/>
      <c r="AX3682" s="13"/>
      <c r="AY3682" s="13"/>
    </row>
    <row r="3683" spans="1:51" x14ac:dyDescent="0.25">
      <c r="A3683" t="s">
        <v>4131</v>
      </c>
      <c r="B3683" s="2" t="str">
        <f t="shared" si="3217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3258"/>
        <v>e</v>
      </c>
      <c r="N3683" t="str">
        <f t="shared" si="3259"/>
        <v>7/2</v>
      </c>
      <c r="O3683">
        <v>66681.14</v>
      </c>
      <c r="P3683" t="str">
        <f t="shared" si="3260"/>
        <v>o</v>
      </c>
      <c r="Q3683" t="str">
        <f t="shared" si="3261"/>
        <v>5/2</v>
      </c>
      <c r="R3683">
        <v>34</v>
      </c>
      <c r="AA3683" s="10">
        <f t="shared" si="3218"/>
        <v>2368.3710000000001</v>
      </c>
      <c r="AB3683" s="3">
        <f t="shared" si="3219"/>
        <v>42210.22</v>
      </c>
      <c r="AC3683" s="3" cm="1">
        <f t="array" ref="AC3683">100000000/LvacE(AA3683)</f>
        <v>42210.220046945033</v>
      </c>
      <c r="AD3683" s="10">
        <f t="shared" si="3220"/>
        <v>1.3911234778450049E-2</v>
      </c>
      <c r="AE3683" s="10" t="b">
        <f t="shared" si="3221"/>
        <v>1</v>
      </c>
      <c r="AJ3683" t="s">
        <v>4747</v>
      </c>
      <c r="AK3683" t="s">
        <v>4851</v>
      </c>
      <c r="AL3683">
        <v>24470.9</v>
      </c>
      <c r="AM3683">
        <v>66681.14</v>
      </c>
      <c r="AN3683" s="10" cm="1">
        <f t="array" ref="AN3683">Lair(100000000/($AM3683-$AL3683))</f>
        <v>2368.3698840651127</v>
      </c>
      <c r="AO3683" s="10">
        <f t="shared" si="3262"/>
        <v>2369.0933763939747</v>
      </c>
      <c r="AP3683" s="12">
        <v>124000000</v>
      </c>
      <c r="AQ3683" s="3">
        <v>0.35699999999999998</v>
      </c>
      <c r="AR3683" s="3">
        <f t="shared" si="3263"/>
        <v>-7.773729960544995</v>
      </c>
      <c r="AS3683" s="13">
        <f t="shared" si="3264"/>
        <v>31.048219820868674</v>
      </c>
      <c r="AT3683" s="3">
        <f t="shared" si="3265"/>
        <v>1.8261035616405732</v>
      </c>
      <c r="AU3683" s="13" cm="1">
        <f t="array" ref="AU3683">$C3683*EXP(poly_from_str(100000000/$E3683,AU$4343))</f>
        <v>22.016662293904737</v>
      </c>
      <c r="AV3683" s="13">
        <f t="shared" si="3266"/>
        <v>0.34374193038591128</v>
      </c>
      <c r="AW3683" s="13"/>
      <c r="AX3683" s="13"/>
      <c r="AY3683" s="13"/>
    </row>
    <row r="3684" spans="1:51" x14ac:dyDescent="0.25">
      <c r="A3684" t="s">
        <v>4132</v>
      </c>
      <c r="B3684" s="2" t="str">
        <f t="shared" si="3217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3218"/>
        <v>2368.2469999999998</v>
      </c>
      <c r="AB3684" s="3">
        <f t="shared" si="3219"/>
        <v>42212.43</v>
      </c>
      <c r="AC3684" s="3" cm="1">
        <f t="array" ref="AC3684">100000000/LvacE(AA3684)</f>
        <v>42212.429970025056</v>
      </c>
      <c r="AD3684" s="10">
        <f t="shared" si="3220"/>
        <v>1.3912167938991384E-2</v>
      </c>
      <c r="AE3684" s="10" t="b">
        <f t="shared" si="3221"/>
        <v>1</v>
      </c>
      <c r="AP3684"/>
      <c r="AQ3684"/>
      <c r="AU3684" s="13" cm="1">
        <f t="array" ref="AU3684">$C3684*EXP(poly_from_str(100000000/$E3684,AU$4343))</f>
        <v>26.429432619575465</v>
      </c>
    </row>
    <row r="3685" spans="1:51" x14ac:dyDescent="0.25">
      <c r="A3685" t="s">
        <v>4133</v>
      </c>
      <c r="B3685" s="2">
        <f t="shared" si="3217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3267">$G3685&amp;""</f>
        <v>e</v>
      </c>
      <c r="N3685" t="str">
        <f t="shared" ref="N3685:N3686" si="3268">$H3685&amp;""</f>
        <v>9/2</v>
      </c>
      <c r="O3685">
        <v>62535.62</v>
      </c>
      <c r="P3685" t="str">
        <f t="shared" ref="P3685:P3686" si="3269">$J3685&amp;""</f>
        <v>o</v>
      </c>
      <c r="Q3685" t="str">
        <f t="shared" ref="Q3685:Q3686" si="3270">$K3685&amp;""</f>
        <v>9/2</v>
      </c>
      <c r="R3685">
        <v>34</v>
      </c>
      <c r="AA3685" s="10">
        <f t="shared" si="3218"/>
        <v>2367.8240000000001</v>
      </c>
      <c r="AB3685" s="3">
        <f t="shared" si="3219"/>
        <v>42219.97</v>
      </c>
      <c r="AC3685" s="3" cm="1">
        <f t="array" ref="AC3685">100000000/LvacE(AA3685)</f>
        <v>42219.970400495826</v>
      </c>
      <c r="AD3685" s="10">
        <f t="shared" si="3220"/>
        <v>1.3915352323588204E-2</v>
      </c>
      <c r="AE3685" s="10" t="b">
        <f t="shared" si="3221"/>
        <v>1</v>
      </c>
      <c r="AJ3685" t="s">
        <v>4964</v>
      </c>
      <c r="AK3685" t="s">
        <v>4839</v>
      </c>
      <c r="AL3685">
        <v>20315.650000000001</v>
      </c>
      <c r="AM3685">
        <v>62535.62</v>
      </c>
      <c r="AN3685" s="10" cm="1">
        <f t="array" ref="AN3685">Lair(100000000/($AM3685-$AL3685))</f>
        <v>2367.824026175741</v>
      </c>
      <c r="AO3685" s="10">
        <f t="shared" ref="AO3685:AO3686" si="3271">100000000/($AM3685-$AL3685)</f>
        <v>2368.5473959360938</v>
      </c>
      <c r="AP3685" s="12">
        <v>108000000</v>
      </c>
      <c r="AQ3685" s="3">
        <v>0.47599999999999998</v>
      </c>
      <c r="AR3685" s="3">
        <f>LN(AU3685*100000000/($AM3685-$AL3685)/AP3685)</f>
        <v>-7.6342310627312893</v>
      </c>
      <c r="AS3685" s="13">
        <f t="shared" ref="AS3685:AS3686" si="3272">EXP(AR$4341*$AM3685+AR$4342)*$AP3685/(100000000/($AM3685-$AL3685))</f>
        <v>36.919116006010498</v>
      </c>
      <c r="AT3685" s="3">
        <f t="shared" ref="AT3685" si="3273">LN(AS3685/$C3685)</f>
        <v>1.9992915534147271</v>
      </c>
      <c r="AU3685" s="13" cm="1">
        <f t="array" ref="AU3685">$C3685*EXP(poly_from_str(100000000/$E3685,AU$4343))</f>
        <v>22.051455069082309</v>
      </c>
      <c r="AV3685" s="13">
        <f>LN(AS3685/AU3685)</f>
        <v>0.51535087660564305</v>
      </c>
      <c r="AW3685" s="13"/>
      <c r="AX3685" s="13"/>
      <c r="AY3685" s="13"/>
    </row>
    <row r="3686" spans="1:51" x14ac:dyDescent="0.25">
      <c r="A3686" t="s">
        <v>4133</v>
      </c>
      <c r="B3686" s="2">
        <f t="shared" si="3217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3267"/>
        <v>e</v>
      </c>
      <c r="N3686" t="str">
        <f t="shared" si="3268"/>
        <v>5/2</v>
      </c>
      <c r="O3686">
        <v>66681.14</v>
      </c>
      <c r="P3686" t="str">
        <f t="shared" si="3269"/>
        <v>o</v>
      </c>
      <c r="Q3686" t="str">
        <f t="shared" si="3270"/>
        <v>5/2</v>
      </c>
      <c r="R3686">
        <v>34</v>
      </c>
      <c r="AA3686" s="10">
        <f t="shared" si="3218"/>
        <v>2367.8240000000001</v>
      </c>
      <c r="AB3686" s="3">
        <f t="shared" si="3219"/>
        <v>42219.97</v>
      </c>
      <c r="AC3686" s="3" cm="1">
        <f t="array" ref="AC3686">100000000/LvacE(AA3686)</f>
        <v>42219.970400495826</v>
      </c>
      <c r="AD3686" s="10">
        <f t="shared" si="3220"/>
        <v>1.3915352323588204E-2</v>
      </c>
      <c r="AE3686" s="10" t="b">
        <f t="shared" si="3221"/>
        <v>1</v>
      </c>
      <c r="AJ3686" t="s">
        <v>4717</v>
      </c>
      <c r="AK3686" t="s">
        <v>4851</v>
      </c>
      <c r="AL3686">
        <v>24461.24</v>
      </c>
      <c r="AM3686">
        <v>66681.14</v>
      </c>
      <c r="AN3686" s="10" cm="1">
        <f t="array" ref="AN3686">Lair(100000000/($AM3686-$AL3686))</f>
        <v>2367.8279523124779</v>
      </c>
      <c r="AO3686" s="10">
        <f t="shared" si="3271"/>
        <v>2368.5513229543417</v>
      </c>
      <c r="AP3686" s="12">
        <v>23400000</v>
      </c>
      <c r="AQ3686" s="3">
        <v>2.7E-2</v>
      </c>
      <c r="AR3686" s="3"/>
      <c r="AS3686" s="13">
        <f t="shared" si="3272"/>
        <v>5.8604404276707971</v>
      </c>
      <c r="AT3686" s="3"/>
      <c r="AU3686" s="13" cm="1">
        <f t="array" ref="AU3686">$C3686*EXP(poly_from_str(100000000/$E3686,AU$4343))</f>
        <v>22.051455069082309</v>
      </c>
      <c r="AV3686" s="13"/>
      <c r="AW3686" s="13"/>
      <c r="AX3686" s="13"/>
      <c r="AY3686" s="13"/>
    </row>
    <row r="3687" spans="1:51" x14ac:dyDescent="0.25">
      <c r="A3687" t="s">
        <v>4134</v>
      </c>
      <c r="B3687" s="2" t="str">
        <f t="shared" si="3217"/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3218"/>
        <v>2367.7469999999998</v>
      </c>
      <c r="AB3687" s="3">
        <f t="shared" si="3219"/>
        <v>42221.34</v>
      </c>
      <c r="AC3687" s="3" cm="1">
        <f t="array" ref="AC3687">100000000/LvacE(AA3687)</f>
        <v>42221.343298214095</v>
      </c>
      <c r="AD3687" s="10">
        <f t="shared" si="3220"/>
        <v>1.3915932170585392E-2</v>
      </c>
      <c r="AE3687" s="10" t="b">
        <f t="shared" si="3221"/>
        <v>1</v>
      </c>
      <c r="AP3687"/>
      <c r="AQ3687"/>
      <c r="AU3687" s="13" cm="1">
        <f t="array" ref="AU3687">$C3687*EXP(poly_from_str(100000000/$E3687,AU$4343))</f>
        <v>4.4112727155563025</v>
      </c>
    </row>
    <row r="3688" spans="1:51" x14ac:dyDescent="0.25">
      <c r="A3688" t="s">
        <v>4135</v>
      </c>
      <c r="B3688" s="2" t="str">
        <f t="shared" si="3217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3218"/>
        <v>2367.56</v>
      </c>
      <c r="AB3688" s="3">
        <f t="shared" si="3219"/>
        <v>42224.68</v>
      </c>
      <c r="AC3688" s="3" cm="1">
        <f t="array" ref="AC3688">100000000/LvacE(AA3688)</f>
        <v>42224.677850110827</v>
      </c>
      <c r="AD3688" s="10">
        <f t="shared" si="3220"/>
        <v>1.39173406059637E-2</v>
      </c>
      <c r="AE3688" s="10" t="b">
        <f t="shared" si="3221"/>
        <v>1</v>
      </c>
      <c r="AP3688"/>
      <c r="AQ3688"/>
      <c r="AU3688" s="13" cm="1">
        <f t="array" ref="AU3688">$C3688*EXP(poly_from_str(100000000/$E3688,AU$4343))</f>
        <v>17.654680563008803</v>
      </c>
    </row>
    <row r="3689" spans="1:51" x14ac:dyDescent="0.25">
      <c r="A3689" t="s">
        <v>4136</v>
      </c>
      <c r="B3689" s="2" t="str">
        <f t="shared" si="3217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3218"/>
        <v>2367.4969999999998</v>
      </c>
      <c r="AB3689" s="3">
        <f t="shared" si="3219"/>
        <v>42225.8</v>
      </c>
      <c r="AC3689" s="3" cm="1">
        <f t="array" ref="AC3689">100000000/LvacE(AA3689)</f>
        <v>42225.801373903683</v>
      </c>
      <c r="AD3689" s="10">
        <f t="shared" si="3220"/>
        <v>1.3917815180738074E-2</v>
      </c>
      <c r="AE3689" s="10" t="b">
        <f t="shared" si="3221"/>
        <v>1</v>
      </c>
      <c r="AJ3689" t="s">
        <v>4888</v>
      </c>
      <c r="AK3689" t="s">
        <v>4853</v>
      </c>
      <c r="AL3689">
        <v>62678.7</v>
      </c>
      <c r="AM3689">
        <v>104904.55</v>
      </c>
      <c r="AN3689" s="10" cm="1">
        <f t="array" ref="AN3689">Lair(100000000/($AM3689-$AL3689))</f>
        <v>2367.4942771570832</v>
      </c>
      <c r="AO3689" s="10">
        <f>100000000/($AM3689-$AL3689)</f>
        <v>2368.2175728848556</v>
      </c>
      <c r="AU3689" s="13" cm="1">
        <f t="array" ref="AU3689">$C3689*EXP(poly_from_str(100000000/$E3689,AU$4343))</f>
        <v>13.243426095177739</v>
      </c>
    </row>
    <row r="3690" spans="1:51" x14ac:dyDescent="0.25">
      <c r="A3690" t="s">
        <v>4137</v>
      </c>
      <c r="B3690" s="2" t="str">
        <f t="shared" si="3217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3218"/>
        <v>2366.79</v>
      </c>
      <c r="AB3690" s="3">
        <f t="shared" si="3219"/>
        <v>42238.41</v>
      </c>
      <c r="AC3690" s="3" cm="1">
        <f t="array" ref="AC3690">100000000/LvacE(AA3690)</f>
        <v>42238.413908868839</v>
      </c>
      <c r="AD3690" s="10">
        <f t="shared" si="3220"/>
        <v>1.392314356340631E-2</v>
      </c>
      <c r="AE3690" s="10" t="b">
        <f t="shared" si="3221"/>
        <v>1</v>
      </c>
      <c r="AP3690"/>
      <c r="AQ3690"/>
      <c r="AU3690" s="13" cm="1">
        <f t="array" ref="AU3690">$C3690*EXP(poly_from_str(100000000/$E3690,AU$4343))</f>
        <v>4.4235864939949883</v>
      </c>
    </row>
    <row r="3691" spans="1:51" x14ac:dyDescent="0.25">
      <c r="A3691" t="s">
        <v>4138</v>
      </c>
      <c r="B3691" s="2" t="str">
        <f t="shared" si="3217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3274">$G3691&amp;""</f>
        <v>o</v>
      </c>
      <c r="N3691" t="str">
        <f t="shared" ref="N3691:N3697" si="3275">$H3691&amp;""</f>
        <v>9/2</v>
      </c>
      <c r="O3691">
        <v>100430.29</v>
      </c>
      <c r="P3691" t="str">
        <f t="shared" ref="P3691:P3697" si="3276">$J3691&amp;""</f>
        <v>e</v>
      </c>
      <c r="Q3691" t="str">
        <f t="shared" ref="Q3691:Q3697" si="3277">$K3691&amp;""</f>
        <v>9/2</v>
      </c>
      <c r="R3691">
        <v>34</v>
      </c>
      <c r="AA3691" s="10">
        <f t="shared" si="3218"/>
        <v>2365.7959999999998</v>
      </c>
      <c r="AB3691" s="3">
        <f t="shared" si="3219"/>
        <v>42256.160000000003</v>
      </c>
      <c r="AC3691" s="3" cm="1">
        <f t="array" ref="AC3691">100000000/LvacE(AA3691)</f>
        <v>42256.159131258588</v>
      </c>
      <c r="AD3691" s="10">
        <f t="shared" si="3220"/>
        <v>1.3930643033308578E-2</v>
      </c>
      <c r="AE3691" s="10" t="b">
        <f t="shared" si="3221"/>
        <v>1</v>
      </c>
      <c r="AJ3691" t="s">
        <v>4698</v>
      </c>
      <c r="AK3691" t="s">
        <v>4732</v>
      </c>
      <c r="AL3691">
        <v>58174.15</v>
      </c>
      <c r="AM3691">
        <v>100430.29</v>
      </c>
      <c r="AN3691" s="10" cm="1">
        <f t="array" ref="AN3691">Lair(100000000/($AM3691-$AL3691))</f>
        <v>2365.7970749500219</v>
      </c>
      <c r="AO3691" s="10">
        <f t="shared" ref="AO3691:AO3697" si="3278">100000000/($AM3691-$AL3691)</f>
        <v>2366.5199897577018</v>
      </c>
      <c r="AP3691" s="12">
        <v>3170000000</v>
      </c>
      <c r="AQ3691" s="3">
        <v>0.54200000000000004</v>
      </c>
      <c r="AR3691" s="3">
        <f t="shared" ref="AR3691:AR3697" si="3279">LN(AU3691*100000000/($AM3691-$AL3691)/AP3691)</f>
        <v>-10.538502322838914</v>
      </c>
      <c r="AS3691" s="13">
        <f t="shared" ref="AS3691:AS3697" si="3280">EXP(AR$4341*$AM3691+AR$4342)*$AP3691/(100000000/($AM3691-$AL3691))</f>
        <v>63.121992447384088</v>
      </c>
      <c r="AT3691" s="3">
        <f t="shared" ref="AT3691:AT3697" si="3281">LN(AS3691/$C3691)</f>
        <v>2.0656277003827817</v>
      </c>
      <c r="AU3691" s="13" cm="1">
        <f t="array" ref="AU3691">$C3691*EXP(poly_from_str(100000000/$E3691,AU$4343))</f>
        <v>35.492425435983264</v>
      </c>
      <c r="AV3691" s="13">
        <f t="shared" ref="AV3691:AV3697" si="3282">LN(AS3691/AU3691)</f>
        <v>0.57574993634790927</v>
      </c>
      <c r="AW3691" s="13"/>
      <c r="AX3691" s="13"/>
      <c r="AY3691" s="13"/>
    </row>
    <row r="3692" spans="1:51" x14ac:dyDescent="0.25">
      <c r="A3692" t="s">
        <v>4139</v>
      </c>
      <c r="B3692" s="2" t="str">
        <f t="shared" si="3217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3274"/>
        <v>e</v>
      </c>
      <c r="N3692" t="str">
        <f t="shared" si="3275"/>
        <v>9/2</v>
      </c>
      <c r="O3692">
        <v>67049.179999999993</v>
      </c>
      <c r="P3692" t="str">
        <f t="shared" si="3276"/>
        <v>o</v>
      </c>
      <c r="Q3692" t="str">
        <f t="shared" si="3277"/>
        <v>9/2</v>
      </c>
      <c r="R3692">
        <v>34</v>
      </c>
      <c r="AA3692" s="10">
        <f t="shared" si="3218"/>
        <v>2365.5160000000001</v>
      </c>
      <c r="AB3692" s="3">
        <f t="shared" si="3219"/>
        <v>42261.16</v>
      </c>
      <c r="AC3692" s="3" cm="1">
        <f t="array" ref="AC3692">100000000/LvacE(AA3692)</f>
        <v>42261.16047714142</v>
      </c>
      <c r="AD3692" s="10">
        <f t="shared" si="3220"/>
        <v>1.3932757266731956E-2</v>
      </c>
      <c r="AE3692" s="10" t="b">
        <f t="shared" si="3221"/>
        <v>1</v>
      </c>
      <c r="AJ3692" t="s">
        <v>4705</v>
      </c>
      <c r="AK3692" t="s">
        <v>4862</v>
      </c>
      <c r="AL3692">
        <v>24788.02</v>
      </c>
      <c r="AM3692">
        <v>67049.179999999993</v>
      </c>
      <c r="AN3692" s="10" cm="1">
        <f t="array" ref="AN3692">Lair(100000000/($AM3692-$AL3692))</f>
        <v>2365.5160304768015</v>
      </c>
      <c r="AO3692" s="10">
        <f t="shared" si="3278"/>
        <v>2366.2388822266125</v>
      </c>
      <c r="AP3692" s="12">
        <v>619000000</v>
      </c>
      <c r="AQ3692" s="3">
        <v>0.42199999999999999</v>
      </c>
      <c r="AR3692" s="3">
        <f t="shared" si="3279"/>
        <v>-8.6812662137794145</v>
      </c>
      <c r="AS3692" s="13">
        <f t="shared" si="3280"/>
        <v>150.95029145374721</v>
      </c>
      <c r="AT3692" s="3">
        <f t="shared" si="3281"/>
        <v>2.7143654939535411</v>
      </c>
      <c r="AU3692" s="13" cm="1">
        <f t="array" ref="AU3692">$C3692*EXP(poly_from_str(100000000/$E3692,AU$4343))</f>
        <v>44.402359629512553</v>
      </c>
      <c r="AV3692" s="13">
        <f t="shared" si="3282"/>
        <v>1.2236579741127016</v>
      </c>
      <c r="AW3692" s="13"/>
      <c r="AX3692" s="13"/>
      <c r="AY3692" s="13"/>
    </row>
    <row r="3693" spans="1:51" x14ac:dyDescent="0.25">
      <c r="A3693" t="s">
        <v>4140</v>
      </c>
      <c r="B3693" s="2" t="str">
        <f t="shared" si="3217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3274"/>
        <v>e</v>
      </c>
      <c r="N3693" t="str">
        <f t="shared" si="3275"/>
        <v>5/2</v>
      </c>
      <c r="O3693">
        <v>71536.38</v>
      </c>
      <c r="P3693" t="str">
        <f t="shared" si="3276"/>
        <v>o</v>
      </c>
      <c r="Q3693" t="str">
        <f t="shared" si="3277"/>
        <v>5/2</v>
      </c>
      <c r="R3693">
        <v>34</v>
      </c>
      <c r="AA3693" s="10">
        <f t="shared" si="3218"/>
        <v>2365.105</v>
      </c>
      <c r="AB3693" s="3">
        <f t="shared" si="3219"/>
        <v>42268.5</v>
      </c>
      <c r="AC3693" s="3" cm="1">
        <f t="array" ref="AC3693">100000000/LvacE(AA3693)</f>
        <v>42268.503882921228</v>
      </c>
      <c r="AD3693" s="10">
        <f t="shared" si="3220"/>
        <v>1.3935862019428574E-2</v>
      </c>
      <c r="AE3693" s="10" t="b">
        <f t="shared" si="3221"/>
        <v>1</v>
      </c>
      <c r="AJ3693" t="s">
        <v>4700</v>
      </c>
      <c r="AK3693" t="s">
        <v>4860</v>
      </c>
      <c r="AL3693">
        <v>29267.86</v>
      </c>
      <c r="AM3693">
        <v>71536.38</v>
      </c>
      <c r="AN3693" s="10" cm="1">
        <f t="array" ref="AN3693">Lair(100000000/($AM3693-$AL3693))</f>
        <v>2365.1041018839751</v>
      </c>
      <c r="AO3693" s="10">
        <f t="shared" si="3278"/>
        <v>2365.8268612196498</v>
      </c>
      <c r="AP3693" s="12">
        <v>352000000</v>
      </c>
      <c r="AQ3693" s="3">
        <v>0.46899999999999997</v>
      </c>
      <c r="AR3693" s="3">
        <f t="shared" si="3279"/>
        <v>-8.4724189140708628</v>
      </c>
      <c r="AS3693" s="13">
        <f t="shared" si="3280"/>
        <v>61.30741566350757</v>
      </c>
      <c r="AT3693" s="3">
        <f t="shared" si="3281"/>
        <v>2.1699906598737218</v>
      </c>
      <c r="AU3693" s="13" cm="1">
        <f t="array" ref="AU3693">$C3693*EXP(poly_from_str(100000000/$E3693,AU$4343))</f>
        <v>31.119665653657901</v>
      </c>
      <c r="AV3693" s="13">
        <f t="shared" si="3282"/>
        <v>0.67806085345361855</v>
      </c>
      <c r="AW3693" s="13"/>
      <c r="AX3693" s="13"/>
      <c r="AY3693" s="13"/>
    </row>
    <row r="3694" spans="1:51" x14ac:dyDescent="0.25">
      <c r="A3694" t="s">
        <v>4141</v>
      </c>
      <c r="B3694" s="2" t="str">
        <f t="shared" si="3217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3274"/>
        <v>e</v>
      </c>
      <c r="N3694" t="str">
        <f t="shared" si="3275"/>
        <v>7/2</v>
      </c>
      <c r="O3694">
        <v>67679.210000000006</v>
      </c>
      <c r="P3694" t="str">
        <f t="shared" si="3276"/>
        <v>o</v>
      </c>
      <c r="Q3694" t="str">
        <f t="shared" si="3277"/>
        <v>7/2</v>
      </c>
      <c r="R3694">
        <v>34</v>
      </c>
      <c r="AA3694" s="10">
        <f t="shared" si="3218"/>
        <v>2365.0549999999998</v>
      </c>
      <c r="AB3694" s="3">
        <f t="shared" si="3219"/>
        <v>42269.4</v>
      </c>
      <c r="AC3694" s="3" cm="1">
        <f t="array" ref="AC3694">100000000/LvacE(AA3694)</f>
        <v>42269.397415394502</v>
      </c>
      <c r="AD3694" s="10">
        <f t="shared" si="3220"/>
        <v>1.3936239837000517E-2</v>
      </c>
      <c r="AE3694" s="10" t="b">
        <f t="shared" si="3221"/>
        <v>1</v>
      </c>
      <c r="AJ3694" t="s">
        <v>4720</v>
      </c>
      <c r="AK3694" t="s">
        <v>4861</v>
      </c>
      <c r="AL3694">
        <v>25409.74</v>
      </c>
      <c r="AM3694">
        <v>67679.210000000006</v>
      </c>
      <c r="AN3694" s="10" cm="1">
        <f t="array" ref="AN3694">Lair(100000000/($AM3694-$AL3694))</f>
        <v>2365.050942205251</v>
      </c>
      <c r="AO3694" s="10">
        <f t="shared" si="3278"/>
        <v>2365.7736896156966</v>
      </c>
      <c r="AP3694" s="12">
        <v>79300000</v>
      </c>
      <c r="AQ3694" s="3">
        <v>6.9000000000000006E-2</v>
      </c>
      <c r="AR3694" s="3">
        <f t="shared" si="3279"/>
        <v>-7.1360488053939966</v>
      </c>
      <c r="AS3694" s="13">
        <f t="shared" si="3280"/>
        <v>18.448781923402478</v>
      </c>
      <c r="AT3694" s="3">
        <f t="shared" si="3281"/>
        <v>1.123238878667248</v>
      </c>
      <c r="AU3694" s="13" cm="1">
        <f t="array" ref="AU3694">$C3694*EXP(poly_from_str(100000000/$E3694,AU$4343))</f>
        <v>26.678006311448648</v>
      </c>
      <c r="AV3694" s="13">
        <f t="shared" si="3282"/>
        <v>-0.36884114440229959</v>
      </c>
      <c r="AW3694" s="13"/>
      <c r="AX3694" s="13"/>
      <c r="AY3694" s="13"/>
    </row>
    <row r="3695" spans="1:51" x14ac:dyDescent="0.25">
      <c r="A3695" t="s">
        <v>4142</v>
      </c>
      <c r="B3695" s="2" t="str">
        <f t="shared" si="3217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3274"/>
        <v>e</v>
      </c>
      <c r="N3695" t="str">
        <f t="shared" si="3275"/>
        <v>11/2</v>
      </c>
      <c r="O3695">
        <v>68374.539999999994</v>
      </c>
      <c r="P3695" t="str">
        <f t="shared" si="3276"/>
        <v>o</v>
      </c>
      <c r="Q3695" t="str">
        <f t="shared" si="3277"/>
        <v>9/2</v>
      </c>
      <c r="R3695">
        <v>34</v>
      </c>
      <c r="AA3695" s="10">
        <f t="shared" si="3218"/>
        <v>2364.502</v>
      </c>
      <c r="AB3695" s="3">
        <f t="shared" si="3219"/>
        <v>42279.28</v>
      </c>
      <c r="AC3695" s="3" cm="1">
        <f t="array" ref="AC3695">100000000/LvacE(AA3695)</f>
        <v>42279.282404378187</v>
      </c>
      <c r="AD3695" s="10">
        <f t="shared" si="3220"/>
        <v>1.3940420097842628E-2</v>
      </c>
      <c r="AE3695" s="10" t="b">
        <f t="shared" si="3221"/>
        <v>1</v>
      </c>
      <c r="AJ3695" t="s">
        <v>4738</v>
      </c>
      <c r="AK3695" t="s">
        <v>4739</v>
      </c>
      <c r="AL3695">
        <v>26095.23</v>
      </c>
      <c r="AM3695">
        <v>68374.539999999994</v>
      </c>
      <c r="AN3695" s="10" cm="1">
        <f t="array" ref="AN3695">Lair(100000000/($AM3695-$AL3695))</f>
        <v>2364.5004603599277</v>
      </c>
      <c r="AO3695" s="10">
        <f t="shared" si="3278"/>
        <v>2365.2230842934759</v>
      </c>
      <c r="AP3695" s="12">
        <v>323000000</v>
      </c>
      <c r="AQ3695" s="3">
        <v>0.24199999999999999</v>
      </c>
      <c r="AR3695" s="3">
        <f t="shared" si="3279"/>
        <v>-8.2513596790121984</v>
      </c>
      <c r="AS3695" s="13">
        <f t="shared" si="3280"/>
        <v>71.340418341525833</v>
      </c>
      <c r="AT3695" s="3">
        <f t="shared" si="3281"/>
        <v>2.1880215022865031</v>
      </c>
      <c r="AU3695" s="13" cm="1">
        <f t="array" ref="AU3695">$C3695*EXP(poly_from_str(100000000/$E3695,AU$4343))</f>
        <v>35.629558143803898</v>
      </c>
      <c r="AV3695" s="13">
        <f t="shared" si="3282"/>
        <v>0.69428746566590871</v>
      </c>
      <c r="AW3695" s="13"/>
      <c r="AX3695" s="13"/>
      <c r="AY3695" s="13"/>
    </row>
    <row r="3696" spans="1:51" x14ac:dyDescent="0.25">
      <c r="A3696" t="s">
        <v>4143</v>
      </c>
      <c r="B3696" s="2" t="str">
        <f t="shared" si="3217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3274"/>
        <v>e</v>
      </c>
      <c r="N3696" t="str">
        <f t="shared" si="3275"/>
        <v>7/2</v>
      </c>
      <c r="O3696">
        <v>65935.25</v>
      </c>
      <c r="P3696" t="str">
        <f t="shared" si="3276"/>
        <v>o</v>
      </c>
      <c r="Q3696" t="str">
        <f t="shared" si="3277"/>
        <v>7/2</v>
      </c>
      <c r="R3696">
        <v>34</v>
      </c>
      <c r="S3696" t="s">
        <v>2205</v>
      </c>
      <c r="AA3696" s="10">
        <f t="shared" si="3218"/>
        <v>2364.2739999999999</v>
      </c>
      <c r="AB3696" s="3">
        <f t="shared" si="3219"/>
        <v>42283.360000000001</v>
      </c>
      <c r="AC3696" s="3" cm="1">
        <f t="array" ref="AC3696">100000000/LvacE(AA3696)</f>
        <v>42283.35929744169</v>
      </c>
      <c r="AD3696" s="10">
        <f t="shared" si="3220"/>
        <v>1.3942144459026681E-2</v>
      </c>
      <c r="AE3696" s="10" t="b">
        <f t="shared" si="3221"/>
        <v>1</v>
      </c>
      <c r="AJ3696" t="s">
        <v>4759</v>
      </c>
      <c r="AK3696" t="s">
        <v>4858</v>
      </c>
      <c r="AL3696">
        <v>23651.88</v>
      </c>
      <c r="AM3696">
        <v>65935.25</v>
      </c>
      <c r="AN3696" s="10" cm="1">
        <f t="array" ref="AN3696">Lair(100000000/($AM3696-$AL3696))</f>
        <v>2364.2734053145118</v>
      </c>
      <c r="AO3696" s="10">
        <f t="shared" si="3278"/>
        <v>2364.9959783243389</v>
      </c>
      <c r="AP3696" s="12">
        <v>154000000</v>
      </c>
      <c r="AQ3696" s="3">
        <v>0.11</v>
      </c>
      <c r="AR3696" s="3">
        <f t="shared" si="3279"/>
        <v>-7.6436016772462141</v>
      </c>
      <c r="AS3696" s="13">
        <f t="shared" si="3280"/>
        <v>40.850544788017345</v>
      </c>
      <c r="AT3696" s="3">
        <f t="shared" si="3281"/>
        <v>1.7640100084657451</v>
      </c>
      <c r="AU3696" s="13" cm="1">
        <f t="array" ref="AU3696">$C3696*EXP(poly_from_str(100000000/$E3696,AU$4343))</f>
        <v>31.197247903515638</v>
      </c>
      <c r="AV3696" s="13">
        <f t="shared" si="3282"/>
        <v>0.26959027481684811</v>
      </c>
      <c r="AW3696" s="13"/>
      <c r="AX3696" s="13"/>
      <c r="AY3696" s="13"/>
    </row>
    <row r="3697" spans="1:51" x14ac:dyDescent="0.25">
      <c r="A3697" t="s">
        <v>4144</v>
      </c>
      <c r="B3697" s="2" t="str">
        <f t="shared" si="3217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3274"/>
        <v>e</v>
      </c>
      <c r="N3697" t="str">
        <f t="shared" si="3275"/>
        <v>7/2</v>
      </c>
      <c r="O3697">
        <v>69431</v>
      </c>
      <c r="P3697" t="str">
        <f t="shared" si="3276"/>
        <v>o</v>
      </c>
      <c r="Q3697" t="str">
        <f t="shared" si="3277"/>
        <v>7/2</v>
      </c>
      <c r="R3697">
        <v>34</v>
      </c>
      <c r="AA3697" s="10">
        <f t="shared" si="3218"/>
        <v>2363.7649999999999</v>
      </c>
      <c r="AB3697" s="3">
        <f t="shared" si="3219"/>
        <v>42292.46</v>
      </c>
      <c r="AC3697" s="3" cm="1">
        <f t="array" ref="AC3697">100000000/LvacE(AA3697)</f>
        <v>42292.463619682647</v>
      </c>
      <c r="AD3697" s="10">
        <f t="shared" si="3220"/>
        <v>1.3945995820160349E-2</v>
      </c>
      <c r="AE3697" s="10" t="b">
        <f t="shared" si="3221"/>
        <v>1</v>
      </c>
      <c r="AJ3697" t="s">
        <v>4723</v>
      </c>
      <c r="AK3697" t="s">
        <v>4864</v>
      </c>
      <c r="AL3697">
        <v>27138.55</v>
      </c>
      <c r="AM3697">
        <v>69431</v>
      </c>
      <c r="AN3697" s="10" cm="1">
        <f t="array" ref="AN3697">Lair(100000000/($AM3697-$AL3697))</f>
        <v>2363.7657650875062</v>
      </c>
      <c r="AO3697" s="10">
        <f t="shared" si="3278"/>
        <v>2364.4882242575213</v>
      </c>
      <c r="AP3697" s="12">
        <v>83200000</v>
      </c>
      <c r="AQ3697" s="3">
        <v>9.8000000000000004E-2</v>
      </c>
      <c r="AR3697" s="3">
        <f t="shared" si="3279"/>
        <v>-8.9724862894628945</v>
      </c>
      <c r="AS3697" s="13">
        <f t="shared" si="3280"/>
        <v>16.980827451634624</v>
      </c>
      <c r="AT3697" s="3">
        <f t="shared" si="3281"/>
        <v>2.8320849106519894</v>
      </c>
      <c r="AU3697" s="13" cm="1">
        <f t="array" ref="AU3697">$C3697*EXP(poly_from_str(100000000/$E3697,AU$4343))</f>
        <v>4.4635960682521798</v>
      </c>
      <c r="AV3697" s="13">
        <f t="shared" si="3282"/>
        <v>1.3361301761697781</v>
      </c>
      <c r="AW3697" s="13"/>
      <c r="AX3697" s="13"/>
      <c r="AY3697" s="13"/>
    </row>
    <row r="3698" spans="1:51" x14ac:dyDescent="0.25">
      <c r="A3698" t="s">
        <v>4145</v>
      </c>
      <c r="B3698" s="2" t="str">
        <f t="shared" si="3217"/>
        <v/>
      </c>
      <c r="C3698">
        <v>1</v>
      </c>
      <c r="D3698" t="s">
        <v>1156</v>
      </c>
      <c r="E3698">
        <v>42292.959999999999</v>
      </c>
      <c r="R3698">
        <v>34</v>
      </c>
      <c r="S3698" t="s">
        <v>22</v>
      </c>
      <c r="AA3698" s="10">
        <f t="shared" si="3218"/>
        <v>2363.7370000000001</v>
      </c>
      <c r="AB3698" s="3">
        <f t="shared" si="3219"/>
        <v>42292.959999999999</v>
      </c>
      <c r="AC3698" s="3" cm="1">
        <f t="array" ref="AC3698">100000000/LvacE(AA3698)</f>
        <v>42292.96456059967</v>
      </c>
      <c r="AD3698" s="10">
        <f t="shared" si="3220"/>
        <v>1.3946207755050514E-2</v>
      </c>
      <c r="AE3698" s="10" t="b">
        <f t="shared" si="3221"/>
        <v>1</v>
      </c>
      <c r="AP3698"/>
      <c r="AQ3698"/>
      <c r="AU3698" s="13" cm="1">
        <f t="array" ref="AU3698">$C3698*EXP(poly_from_str(100000000/$E3698,AU$4343))</f>
        <v>4.4639735544212202</v>
      </c>
    </row>
    <row r="3699" spans="1:51" x14ac:dyDescent="0.25">
      <c r="A3699" t="s">
        <v>4146</v>
      </c>
      <c r="B3699" s="2" t="str">
        <f t="shared" si="3217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3218"/>
        <v>2362.87</v>
      </c>
      <c r="AB3699" s="3">
        <f t="shared" si="3219"/>
        <v>42308.480000000003</v>
      </c>
      <c r="AC3699" s="3" cm="1">
        <f t="array" ref="AC3699">100000000/LvacE(AA3699)</f>
        <v>42308.481712614317</v>
      </c>
      <c r="AD3699" s="10">
        <f t="shared" si="3220"/>
        <v>1.395277389628171E-2</v>
      </c>
      <c r="AE3699" s="10" t="b">
        <f t="shared" si="3221"/>
        <v>1</v>
      </c>
      <c r="AP3699"/>
      <c r="AQ3699"/>
      <c r="AU3699" s="13" cm="1">
        <f t="array" ref="AU3699">$C3699*EXP(poly_from_str(100000000/$E3699,AU$4343))</f>
        <v>4.4757591329314099</v>
      </c>
    </row>
    <row r="3700" spans="1:51" x14ac:dyDescent="0.25">
      <c r="A3700" t="s">
        <v>4147</v>
      </c>
      <c r="B3700" s="2" t="str">
        <f t="shared" si="3217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3283">$G3700&amp;""</f>
        <v>o</v>
      </c>
      <c r="N3700" t="str">
        <f t="shared" ref="N3700:N3701" si="3284">$H3700&amp;""</f>
        <v>9/2</v>
      </c>
      <c r="O3700">
        <v>102484.66</v>
      </c>
      <c r="P3700" t="str">
        <f t="shared" ref="P3700:P3701" si="3285">$J3700&amp;""</f>
        <v>e</v>
      </c>
      <c r="Q3700" t="str">
        <f t="shared" ref="Q3700:Q3701" si="3286">$K3700&amp;""</f>
        <v>9/2</v>
      </c>
      <c r="R3700">
        <v>34</v>
      </c>
      <c r="AA3700" s="10">
        <f t="shared" si="3218"/>
        <v>2362.317</v>
      </c>
      <c r="AB3700" s="3">
        <f t="shared" si="3219"/>
        <v>42318.38</v>
      </c>
      <c r="AC3700" s="3" cm="1">
        <f t="array" ref="AC3700">100000000/LvacE(AA3700)</f>
        <v>42318.384990904378</v>
      </c>
      <c r="AD3700" s="10">
        <f t="shared" si="3220"/>
        <v>1.3956965765158608E-2</v>
      </c>
      <c r="AE3700" s="10" t="b">
        <f t="shared" si="3221"/>
        <v>1</v>
      </c>
      <c r="AJ3700" t="s">
        <v>4726</v>
      </c>
      <c r="AK3700" t="s">
        <v>4832</v>
      </c>
      <c r="AL3700">
        <v>60166.2</v>
      </c>
      <c r="AM3700">
        <v>102484.66</v>
      </c>
      <c r="AN3700" s="10" cm="1">
        <f t="array" ref="AN3700">Lair(100000000/($AM3700-$AL3700))</f>
        <v>2362.3128163155543</v>
      </c>
      <c r="AO3700" s="10">
        <f t="shared" ref="AO3700:AO3701" si="3287">100000000/($AM3700-$AL3700)</f>
        <v>2363.0349497595134</v>
      </c>
      <c r="AP3700" s="12">
        <v>1370000000</v>
      </c>
      <c r="AQ3700" s="3">
        <v>0.51200000000000001</v>
      </c>
      <c r="AR3700" s="3">
        <f t="shared" ref="AR3700:AR3701" si="3288">LN(AU3700*100000000/($AM3700-$AL3700)/AP3700)</f>
        <v>-11.076857529672521</v>
      </c>
      <c r="AS3700" s="13">
        <f t="shared" ref="AS3700:AS3701" si="3289">EXP(AR$4341*$AM3700+AR$4342)*$AP3700/(100000000/($AM3700-$AL3700))</f>
        <v>23.41667348445251</v>
      </c>
      <c r="AT3700" s="3">
        <f t="shared" ref="AT3700:AT3701" si="3290">LN(AS3700/$C3700)</f>
        <v>2.4603011301367546</v>
      </c>
      <c r="AU3700" s="13" cm="1">
        <f t="array" ref="AU3700">$C3700*EXP(poly_from_str(100000000/$E3700,AU$4343))</f>
        <v>8.9666934024188585</v>
      </c>
      <c r="AV3700" s="13">
        <f t="shared" ref="AV3700:AV3701" si="3291">LN(AS3700/AU3700)</f>
        <v>0.95993133107906081</v>
      </c>
      <c r="AW3700" s="13"/>
      <c r="AX3700" s="13"/>
      <c r="AY3700" s="13"/>
    </row>
    <row r="3701" spans="1:51" x14ac:dyDescent="0.25">
      <c r="A3701" t="s">
        <v>4148</v>
      </c>
      <c r="B3701" s="2" t="str">
        <f t="shared" si="3217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3283"/>
        <v>e</v>
      </c>
      <c r="N3701" t="str">
        <f t="shared" si="3284"/>
        <v>7/2</v>
      </c>
      <c r="O3701">
        <v>64401.03</v>
      </c>
      <c r="P3701" t="str">
        <f t="shared" si="3285"/>
        <v>o</v>
      </c>
      <c r="Q3701" t="str">
        <f t="shared" si="3286"/>
        <v>5/2</v>
      </c>
      <c r="R3701">
        <v>34</v>
      </c>
      <c r="AA3701" s="10">
        <f t="shared" si="3218"/>
        <v>2362.2269999999999</v>
      </c>
      <c r="AB3701" s="3">
        <f t="shared" si="3219"/>
        <v>42320</v>
      </c>
      <c r="AC3701" s="3" cm="1">
        <f t="array" ref="AC3701">100000000/LvacE(AA3701)</f>
        <v>42319.997174660137</v>
      </c>
      <c r="AD3701" s="10">
        <f t="shared" si="3220"/>
        <v>1.3957648264679927E-2</v>
      </c>
      <c r="AE3701" s="10" t="b">
        <f t="shared" si="3221"/>
        <v>1</v>
      </c>
      <c r="AJ3701" t="s">
        <v>4790</v>
      </c>
      <c r="AK3701" t="s">
        <v>4837</v>
      </c>
      <c r="AL3701">
        <v>22080.94</v>
      </c>
      <c r="AM3701">
        <v>64401.03</v>
      </c>
      <c r="AN3701" s="10" cm="1">
        <f t="array" ref="AN3701">Lair(100000000/($AM3701-$AL3701))</f>
        <v>2362.2218220884733</v>
      </c>
      <c r="AO3701" s="10">
        <f t="shared" si="3287"/>
        <v>2362.9439351381343</v>
      </c>
      <c r="AP3701" s="12">
        <v>39900000</v>
      </c>
      <c r="AQ3701" s="3">
        <v>6.9000000000000006E-2</v>
      </c>
      <c r="AR3701" s="3">
        <f t="shared" si="3288"/>
        <v>-6.8472811120959864</v>
      </c>
      <c r="AS3701" s="13">
        <f t="shared" si="3289"/>
        <v>11.885868442519408</v>
      </c>
      <c r="AT3701" s="3">
        <f t="shared" si="3290"/>
        <v>1.0890558074913581</v>
      </c>
      <c r="AU3701" s="13" cm="1">
        <f t="array" ref="AU3701">$C3701*EXP(poly_from_str(100000000/$E3701,AU$4343))</f>
        <v>17.93837403451737</v>
      </c>
      <c r="AV3701" s="13">
        <f t="shared" si="3291"/>
        <v>-0.41159205038447511</v>
      </c>
      <c r="AW3701" s="13"/>
      <c r="AX3701" s="13"/>
      <c r="AY3701" s="13"/>
    </row>
    <row r="3702" spans="1:51" x14ac:dyDescent="0.25">
      <c r="A3702" t="s">
        <v>4149</v>
      </c>
      <c r="B3702" s="2" t="str">
        <f t="shared" si="3217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3218"/>
        <v>2362.1390000000001</v>
      </c>
      <c r="AB3702" s="3">
        <f t="shared" si="3219"/>
        <v>42321.57</v>
      </c>
      <c r="AC3702" s="3" cm="1">
        <f t="array" ref="AC3702">100000000/LvacE(AA3702)</f>
        <v>42321.57365087753</v>
      </c>
      <c r="AD3702" s="10">
        <f t="shared" si="3220"/>
        <v>1.3958315672972153E-2</v>
      </c>
      <c r="AE3702" s="10" t="b">
        <f t="shared" si="3221"/>
        <v>1</v>
      </c>
      <c r="AP3702"/>
      <c r="AQ3702"/>
      <c r="AU3702" s="13" cm="1">
        <f t="array" ref="AU3702">$C3702*EXP(poly_from_str(100000000/$E3702,AU$4343))</f>
        <v>4.4858032359714839</v>
      </c>
    </row>
    <row r="3703" spans="1:51" x14ac:dyDescent="0.25">
      <c r="A3703" t="s">
        <v>4150</v>
      </c>
      <c r="B3703" s="2" t="str">
        <f t="shared" si="3217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3218"/>
        <v>2362.0169999999998</v>
      </c>
      <c r="AB3703" s="3">
        <f t="shared" si="3219"/>
        <v>42323.76</v>
      </c>
      <c r="AC3703" s="3" cm="1">
        <f t="array" ref="AC3703">100000000/LvacE(AA3703)</f>
        <v>42323.759414459135</v>
      </c>
      <c r="AD3703" s="10">
        <f t="shared" si="3220"/>
        <v>1.3959241066948107E-2</v>
      </c>
      <c r="AE3703" s="10" t="b">
        <f t="shared" si="3221"/>
        <v>1</v>
      </c>
      <c r="AP3703"/>
      <c r="AQ3703"/>
      <c r="AU3703" s="13" cm="1">
        <f t="array" ref="AU3703">$C3703*EXP(poly_from_str(100000000/$E3703,AU$4343))</f>
        <v>26.924957986367566</v>
      </c>
    </row>
    <row r="3704" spans="1:51" x14ac:dyDescent="0.25">
      <c r="A3704" t="s">
        <v>4151</v>
      </c>
      <c r="B3704" s="2" t="str">
        <f t="shared" si="3217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3292">$G3704&amp;""</f>
        <v>e</v>
      </c>
      <c r="N3704" t="str">
        <f t="shared" ref="N3704:N3706" si="3293">$H3704&amp;""</f>
        <v>7/2</v>
      </c>
      <c r="O3704">
        <v>64857.15</v>
      </c>
      <c r="P3704" t="str">
        <f t="shared" ref="P3704:P3706" si="3294">$J3704&amp;""</f>
        <v>o</v>
      </c>
      <c r="Q3704" t="str">
        <f t="shared" ref="Q3704:Q3706" si="3295">$K3704&amp;""</f>
        <v>9/2</v>
      </c>
      <c r="R3704">
        <v>34</v>
      </c>
      <c r="AA3704" s="10">
        <f t="shared" si="3218"/>
        <v>2361.703</v>
      </c>
      <c r="AB3704" s="3">
        <f t="shared" si="3219"/>
        <v>42329.39</v>
      </c>
      <c r="AC3704" s="3" cm="1">
        <f t="array" ref="AC3704">100000000/LvacE(AA3704)</f>
        <v>42329.386106660808</v>
      </c>
      <c r="AD3704" s="10">
        <f t="shared" si="3220"/>
        <v>1.3961623478197897E-2</v>
      </c>
      <c r="AE3704" s="10" t="b">
        <f t="shared" si="3221"/>
        <v>1</v>
      </c>
      <c r="AJ3704" t="s">
        <v>4799</v>
      </c>
      <c r="AK3704" t="s">
        <v>4854</v>
      </c>
      <c r="AL3704">
        <v>22527.7</v>
      </c>
      <c r="AM3704">
        <v>64857.15</v>
      </c>
      <c r="AN3704" s="10" cm="1">
        <f t="array" ref="AN3704">Lair(100000000/($AM3704-$AL3704))</f>
        <v>2361.6994387414038</v>
      </c>
      <c r="AO3704" s="10">
        <f t="shared" ref="AO3704:AO3706" si="3296">100000000/($AM3704-$AL3704)</f>
        <v>2362.4214347221618</v>
      </c>
      <c r="AP3704" s="12">
        <v>107000000</v>
      </c>
      <c r="AQ3704" s="3">
        <v>0.21299999999999999</v>
      </c>
      <c r="AR3704" s="3">
        <f>LN(AU3704*100000000/($AM3704-$AL3704)/AP3704)</f>
        <v>-7.6091945739751399</v>
      </c>
      <c r="AS3704" s="13">
        <f>EXP(AR$4341*$AM3704+AR$4342)*$AP3704/(100000000/($AM3704-$AL3704))</f>
        <v>30.808588489070196</v>
      </c>
      <c r="AT3704" s="3">
        <f>LN(AS3704/$C3704)</f>
        <v>1.8183555857225497</v>
      </c>
      <c r="AU3704" s="13" cm="1">
        <f t="array" ref="AU3704">$C3704*EXP(poly_from_str(100000000/$E3704,AU$4343))</f>
        <v>22.459246827081969</v>
      </c>
      <c r="AV3704" s="13">
        <f>LN(AS3704/AU3704)</f>
        <v>0.31609108337648456</v>
      </c>
      <c r="AW3704" s="13"/>
      <c r="AX3704" s="13"/>
      <c r="AY3704" s="13"/>
    </row>
    <row r="3705" spans="1:51" x14ac:dyDescent="0.25">
      <c r="A3705" t="s">
        <v>4152</v>
      </c>
      <c r="B3705" s="2" t="str">
        <f t="shared" si="3217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3292"/>
        <v>o</v>
      </c>
      <c r="N3705" t="str">
        <f t="shared" si="3293"/>
        <v>13/2</v>
      </c>
      <c r="O3705">
        <v>105019.06</v>
      </c>
      <c r="P3705" t="str">
        <f t="shared" si="3294"/>
        <v>e</v>
      </c>
      <c r="Q3705" t="str">
        <f t="shared" si="3295"/>
        <v>13/2</v>
      </c>
      <c r="R3705">
        <v>34</v>
      </c>
      <c r="AA3705" s="10">
        <f t="shared" si="3218"/>
        <v>2361.0909999999999</v>
      </c>
      <c r="AB3705" s="3">
        <f t="shared" si="3219"/>
        <v>42340.36</v>
      </c>
      <c r="AC3705" s="3" cm="1">
        <f t="array" ref="AC3705">100000000/LvacE(AA3705)</f>
        <v>42340.35708095388</v>
      </c>
      <c r="AD3705" s="10">
        <f t="shared" si="3220"/>
        <v>1.396626963572219E-2</v>
      </c>
      <c r="AE3705" s="10" t="b">
        <f t="shared" si="3221"/>
        <v>1</v>
      </c>
      <c r="AJ3705" t="s">
        <v>4888</v>
      </c>
      <c r="AK3705" t="s">
        <v>4855</v>
      </c>
      <c r="AL3705">
        <v>62678.7</v>
      </c>
      <c r="AM3705">
        <v>105019.06</v>
      </c>
      <c r="AN3705" s="10" cm="1">
        <f t="array" ref="AN3705">Lair(100000000/($AM3705-$AL3705))</f>
        <v>2361.0908410795141</v>
      </c>
      <c r="AO3705" s="10">
        <f t="shared" si="3296"/>
        <v>2361.812700695034</v>
      </c>
      <c r="AU3705" s="13" cm="1">
        <f t="array" ref="AU3705">$C3705*EXP(poly_from_str(100000000/$E3705,AU$4343))</f>
        <v>27.002334663610007</v>
      </c>
    </row>
    <row r="3706" spans="1:51" x14ac:dyDescent="0.25">
      <c r="A3706" t="s">
        <v>4153</v>
      </c>
      <c r="B3706" s="2" t="str">
        <f t="shared" si="3217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3292"/>
        <v>o</v>
      </c>
      <c r="N3706" t="str">
        <f t="shared" si="3293"/>
        <v>11/2</v>
      </c>
      <c r="O3706">
        <v>104904.55</v>
      </c>
      <c r="P3706" t="str">
        <f t="shared" si="3294"/>
        <v>e</v>
      </c>
      <c r="Q3706" t="str">
        <f t="shared" si="3295"/>
        <v>11/2</v>
      </c>
      <c r="R3706">
        <v>34</v>
      </c>
      <c r="AA3706" s="10">
        <f t="shared" si="3218"/>
        <v>2360.7860000000001</v>
      </c>
      <c r="AB3706" s="3">
        <f t="shared" si="3219"/>
        <v>42345.83</v>
      </c>
      <c r="AC3706" s="3" cm="1">
        <f t="array" ref="AC3706">100000000/LvacE(AA3706)</f>
        <v>42345.82676508202</v>
      </c>
      <c r="AD3706" s="10">
        <f t="shared" si="3220"/>
        <v>1.3968586471853447E-2</v>
      </c>
      <c r="AE3706" s="10" t="b">
        <f t="shared" si="3221"/>
        <v>1</v>
      </c>
      <c r="AJ3706" t="s">
        <v>4821</v>
      </c>
      <c r="AK3706" t="s">
        <v>4853</v>
      </c>
      <c r="AL3706">
        <v>62558.67</v>
      </c>
      <c r="AM3706">
        <v>104904.55</v>
      </c>
      <c r="AN3706" s="10" cm="1">
        <f t="array" ref="AN3706">Lair(100000000/($AM3706-$AL3706))</f>
        <v>2360.7830357861808</v>
      </c>
      <c r="AO3706" s="10">
        <f t="shared" si="3296"/>
        <v>2361.5048264435641</v>
      </c>
      <c r="AU3706" s="13" cm="1">
        <f t="array" ref="AU3706">$C3706*EXP(poly_from_str(100000000/$E3706,AU$4343))</f>
        <v>22.523364179046727</v>
      </c>
    </row>
    <row r="3707" spans="1:51" x14ac:dyDescent="0.25">
      <c r="A3707" t="s">
        <v>4154</v>
      </c>
      <c r="B3707" s="2" t="str">
        <f t="shared" si="3217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3218"/>
        <v>2360.6729999999998</v>
      </c>
      <c r="AB3707" s="3">
        <f t="shared" si="3219"/>
        <v>42347.85</v>
      </c>
      <c r="AC3707" s="3" cm="1">
        <f t="array" ref="AC3707">100000000/LvacE(AA3707)</f>
        <v>42347.853596982008</v>
      </c>
      <c r="AD3707" s="10">
        <f t="shared" si="3220"/>
        <v>1.3969445068627042E-2</v>
      </c>
      <c r="AE3707" s="10" t="b">
        <f t="shared" si="3221"/>
        <v>1</v>
      </c>
      <c r="AP3707"/>
      <c r="AQ3707"/>
      <c r="AU3707" s="13" cm="1">
        <f t="array" ref="AU3707">$C3707*EXP(poly_from_str(100000000/$E3707,AU$4343))</f>
        <v>13.518777226649533</v>
      </c>
    </row>
    <row r="3708" spans="1:51" x14ac:dyDescent="0.25">
      <c r="A3708" t="s">
        <v>4155</v>
      </c>
      <c r="B3708" s="2" t="str">
        <f t="shared" si="3217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3218"/>
        <v>2360.4960000000001</v>
      </c>
      <c r="AB3708" s="3">
        <f t="shared" si="3219"/>
        <v>42351.03</v>
      </c>
      <c r="AC3708" s="3" cm="1">
        <f t="array" ref="AC3708">100000000/LvacE(AA3708)</f>
        <v>42351.028759046341</v>
      </c>
      <c r="AD3708" s="10">
        <f t="shared" si="3220"/>
        <v>1.3970790198129194E-2</v>
      </c>
      <c r="AE3708" s="10" t="b">
        <f t="shared" si="3221"/>
        <v>1</v>
      </c>
      <c r="AP3708"/>
      <c r="AQ3708"/>
      <c r="AU3708" s="13" cm="1">
        <f t="array" ref="AU3708">$C3708*EXP(poly_from_str(100000000/$E3708,AU$4343))</f>
        <v>22.543804774405764</v>
      </c>
    </row>
    <row r="3709" spans="1:51" x14ac:dyDescent="0.25">
      <c r="A3709" t="s">
        <v>4156</v>
      </c>
      <c r="B3709" s="2">
        <f t="shared" si="3217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3297">$G3709&amp;""</f>
        <v>e</v>
      </c>
      <c r="N3709" t="str">
        <f t="shared" ref="N3709:N3711" si="3298">$H3709&amp;""</f>
        <v>7/2</v>
      </c>
      <c r="O3709">
        <v>68801.67</v>
      </c>
      <c r="P3709" t="str">
        <f t="shared" ref="P3709:P3711" si="3299">$J3709&amp;""</f>
        <v>o</v>
      </c>
      <c r="Q3709" t="str">
        <f t="shared" ref="Q3709:Q3711" si="3300">$K3709&amp;""</f>
        <v>7/2</v>
      </c>
      <c r="R3709">
        <v>34</v>
      </c>
      <c r="AA3709" s="10">
        <f t="shared" si="3218"/>
        <v>2360.2919999999999</v>
      </c>
      <c r="AB3709" s="3">
        <f t="shared" si="3219"/>
        <v>42354.69</v>
      </c>
      <c r="AC3709" s="3" cm="1">
        <f t="array" ref="AC3709">100000000/LvacE(AA3709)</f>
        <v>42354.688858488138</v>
      </c>
      <c r="AD3709" s="10">
        <f t="shared" si="3220"/>
        <v>1.3972340892247262E-2</v>
      </c>
      <c r="AE3709" s="10" t="b">
        <f t="shared" si="3221"/>
        <v>1</v>
      </c>
      <c r="AJ3709" t="s">
        <v>4736</v>
      </c>
      <c r="AK3709" t="s">
        <v>4857</v>
      </c>
      <c r="AL3709">
        <v>26446.97</v>
      </c>
      <c r="AM3709">
        <v>68801.67</v>
      </c>
      <c r="AN3709" s="10" cm="1">
        <f t="array" ref="AN3709">Lair(100000000/($AM3709-$AL3709))</f>
        <v>2360.2913829595345</v>
      </c>
      <c r="AO3709" s="10">
        <f t="shared" ref="AO3709:AO3711" si="3301">100000000/($AM3709-$AL3709)</f>
        <v>2361.0130634852803</v>
      </c>
      <c r="AP3709" s="12">
        <v>4060000</v>
      </c>
      <c r="AQ3709" s="3">
        <v>6.0000000000000001E-3</v>
      </c>
      <c r="AR3709" s="3"/>
      <c r="AS3709" s="13">
        <f t="shared" ref="AS3709:AS3711" si="3302">EXP(AR$4341*$AM3709+AR$4342)*$AP3709/(100000000/($AM3709-$AL3709))</f>
        <v>0.86998485596798925</v>
      </c>
      <c r="AT3709" s="3"/>
      <c r="AU3709" s="13" cm="1">
        <f t="array" ref="AU3709">$C3709*EXP(poly_from_str(100000000/$E3709,AU$4343))</f>
        <v>22.558238265094467</v>
      </c>
      <c r="AV3709" s="13"/>
      <c r="AW3709" s="13"/>
      <c r="AX3709" s="13"/>
      <c r="AY3709" s="13"/>
    </row>
    <row r="3710" spans="1:51" x14ac:dyDescent="0.25">
      <c r="A3710" t="s">
        <v>4156</v>
      </c>
      <c r="B3710" s="2">
        <f t="shared" si="3217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3297"/>
        <v>e</v>
      </c>
      <c r="N3710" t="str">
        <f t="shared" si="3298"/>
        <v>5/2</v>
      </c>
      <c r="O3710">
        <v>79366.649999999994</v>
      </c>
      <c r="P3710" t="str">
        <f t="shared" si="3299"/>
        <v>o</v>
      </c>
      <c r="Q3710" t="str">
        <f t="shared" si="3300"/>
        <v>5/2</v>
      </c>
      <c r="R3710">
        <v>34</v>
      </c>
      <c r="AA3710" s="10">
        <f t="shared" si="3218"/>
        <v>2360.2919999999999</v>
      </c>
      <c r="AB3710" s="3">
        <f t="shared" si="3219"/>
        <v>42354.69</v>
      </c>
      <c r="AC3710" s="3" cm="1">
        <f t="array" ref="AC3710">100000000/LvacE(AA3710)</f>
        <v>42354.688858488138</v>
      </c>
      <c r="AD3710" s="10">
        <f t="shared" si="3220"/>
        <v>1.3972340892247262E-2</v>
      </c>
      <c r="AE3710" s="10" t="b">
        <f t="shared" si="3221"/>
        <v>1</v>
      </c>
      <c r="AJ3710" t="s">
        <v>4768</v>
      </c>
      <c r="AK3710" t="s">
        <v>4859</v>
      </c>
      <c r="AL3710">
        <v>37011.919999999998</v>
      </c>
      <c r="AM3710">
        <v>79366.649999999994</v>
      </c>
      <c r="AN3710" s="10" cm="1">
        <f t="array" ref="AN3710">Lair(100000000/($AM3710-$AL3710))</f>
        <v>2360.289711020403</v>
      </c>
      <c r="AO3710" s="10">
        <f t="shared" si="3301"/>
        <v>2361.0113911716594</v>
      </c>
      <c r="AP3710" s="12">
        <v>207000000</v>
      </c>
      <c r="AQ3710" s="3">
        <v>0.29699999999999999</v>
      </c>
      <c r="AR3710" s="3">
        <f>LN(AU3710*100000000/($AM3710-$AL3710)/AP3710)</f>
        <v>-8.2652836569381396</v>
      </c>
      <c r="AS3710" s="13">
        <f t="shared" si="3302"/>
        <v>20.073279173837712</v>
      </c>
      <c r="AT3710" s="3">
        <f t="shared" ref="AT3710" si="3303">LN(AS3710/$C3710)</f>
        <v>1.3899516238659235</v>
      </c>
      <c r="AU3710" s="13" cm="1">
        <f t="array" ref="AU3710">$C3710*EXP(poly_from_str(100000000/$E3710,AU$4343))</f>
        <v>22.558238265094467</v>
      </c>
      <c r="AV3710" s="13">
        <f>LN(AS3710/AU3710)</f>
        <v>-0.11671079619432856</v>
      </c>
      <c r="AW3710" s="13"/>
      <c r="AX3710" s="13"/>
      <c r="AY3710" s="13"/>
    </row>
    <row r="3711" spans="1:51" x14ac:dyDescent="0.25">
      <c r="A3711" t="s">
        <v>4157</v>
      </c>
      <c r="B3711" s="2" t="str">
        <f t="shared" si="3217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3297"/>
        <v>e</v>
      </c>
      <c r="N3711" t="str">
        <f t="shared" si="3298"/>
        <v>9/2</v>
      </c>
      <c r="O3711">
        <v>67398.789999999994</v>
      </c>
      <c r="P3711" t="str">
        <f t="shared" si="3299"/>
        <v>o</v>
      </c>
      <c r="Q3711" t="str">
        <f t="shared" si="3300"/>
        <v>9/2</v>
      </c>
      <c r="R3711">
        <v>34</v>
      </c>
      <c r="AA3711" s="10">
        <f t="shared" si="3218"/>
        <v>2359.7260000000001</v>
      </c>
      <c r="AB3711" s="3">
        <f t="shared" si="3219"/>
        <v>42364.85</v>
      </c>
      <c r="AC3711" s="3" cm="1">
        <f t="array" ref="AC3711">100000000/LvacE(AA3711)</f>
        <v>42364.847153381794</v>
      </c>
      <c r="AD3711" s="10">
        <f t="shared" si="3220"/>
        <v>1.3976645414209489E-2</v>
      </c>
      <c r="AE3711" s="10" t="b">
        <f t="shared" si="3221"/>
        <v>1</v>
      </c>
      <c r="AJ3711" t="s">
        <v>4746</v>
      </c>
      <c r="AK3711" t="s">
        <v>4863</v>
      </c>
      <c r="AL3711">
        <v>25033.91</v>
      </c>
      <c r="AM3711">
        <v>67398.789999999994</v>
      </c>
      <c r="AN3711" s="10" cm="1">
        <f t="array" ref="AN3711">Lair(100000000/($AM3711-$AL3711))</f>
        <v>2359.7241741966104</v>
      </c>
      <c r="AO3711" s="10">
        <f t="shared" si="3301"/>
        <v>2360.4457276876515</v>
      </c>
      <c r="AP3711" s="12">
        <v>5620000</v>
      </c>
      <c r="AQ3711" s="3">
        <v>0.01</v>
      </c>
      <c r="AR3711" s="3"/>
      <c r="AS3711" s="13">
        <f t="shared" si="3302"/>
        <v>1.3382879350247177</v>
      </c>
      <c r="AT3711" s="3"/>
      <c r="AU3711" s="13" cm="1">
        <f t="array" ref="AU3711">$C3711*EXP(poly_from_str(100000000/$E3711,AU$4343))</f>
        <v>9.0394028568136111</v>
      </c>
      <c r="AV3711" s="13"/>
      <c r="AW3711" s="13"/>
      <c r="AX3711" s="13"/>
      <c r="AY3711" s="13"/>
    </row>
    <row r="3712" spans="1:51" x14ac:dyDescent="0.25">
      <c r="A3712" t="s">
        <v>4158</v>
      </c>
      <c r="B3712" s="2" t="str">
        <f t="shared" si="3217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3218"/>
        <v>2359.6619999999998</v>
      </c>
      <c r="AB3712" s="3">
        <f t="shared" si="3219"/>
        <v>42366</v>
      </c>
      <c r="AC3712" s="3" cm="1">
        <f t="array" ref="AC3712">100000000/LvacE(AA3712)</f>
        <v>42365.996101121957</v>
      </c>
      <c r="AD3712" s="10">
        <f t="shared" si="3220"/>
        <v>1.39771323395304E-2</v>
      </c>
      <c r="AE3712" s="10" t="b">
        <f t="shared" si="3221"/>
        <v>1</v>
      </c>
      <c r="AP3712"/>
      <c r="AQ3712"/>
      <c r="AU3712" s="13" cm="1">
        <f t="array" ref="AU3712">$C3712*EXP(poly_from_str(100000000/$E3712,AU$4343))</f>
        <v>9.0412335724716968</v>
      </c>
    </row>
    <row r="3713" spans="1:51" x14ac:dyDescent="0.25">
      <c r="A3713" t="s">
        <v>4159</v>
      </c>
      <c r="B3713" s="2" t="str">
        <f t="shared" si="3217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3304">$G3713&amp;""</f>
        <v>o</v>
      </c>
      <c r="N3713" t="str">
        <f t="shared" ref="N3713:N3714" si="3305">$H3713&amp;""</f>
        <v>13/2</v>
      </c>
      <c r="O3713">
        <v>105049.72</v>
      </c>
      <c r="P3713" t="str">
        <f t="shared" ref="P3713:P3714" si="3306">$J3713&amp;""</f>
        <v>e</v>
      </c>
      <c r="Q3713" t="str">
        <f t="shared" ref="Q3713:Q3714" si="3307">$K3713&amp;""</f>
        <v>15/2</v>
      </c>
      <c r="R3713">
        <v>34</v>
      </c>
      <c r="AA3713" s="10">
        <f t="shared" si="3218"/>
        <v>2359.3850000000002</v>
      </c>
      <c r="AB3713" s="3">
        <f t="shared" si="3219"/>
        <v>42370.97</v>
      </c>
      <c r="AC3713" s="3" cm="1">
        <f t="array" ref="AC3713">100000000/LvacE(AA3713)</f>
        <v>42370.969609152853</v>
      </c>
      <c r="AD3713" s="10">
        <f t="shared" si="3220"/>
        <v>1.3979240270060388E-2</v>
      </c>
      <c r="AE3713" s="10" t="b">
        <f t="shared" si="3221"/>
        <v>1</v>
      </c>
      <c r="AJ3713" t="s">
        <v>4888</v>
      </c>
      <c r="AK3713" t="s">
        <v>4870</v>
      </c>
      <c r="AL3713">
        <v>62678.7</v>
      </c>
      <c r="AM3713">
        <v>105049.72</v>
      </c>
      <c r="AN3713" s="10" cm="1">
        <f t="array" ref="AN3713">Lair(100000000/($AM3713-$AL3713))</f>
        <v>2359.3821977225784</v>
      </c>
      <c r="AO3713" s="10">
        <f t="shared" ref="AO3713:AO3714" si="3308">100000000/($AM3713-$AL3713)</f>
        <v>2360.1036746342193</v>
      </c>
      <c r="AU3713" s="13" cm="1">
        <f t="array" ref="AU3713">$C3713*EXP(poly_from_str(100000000/$E3713,AU$4343))</f>
        <v>27.147489311029723</v>
      </c>
    </row>
    <row r="3714" spans="1:51" x14ac:dyDescent="0.25">
      <c r="A3714" t="s">
        <v>4160</v>
      </c>
      <c r="B3714" s="2" t="str">
        <f t="shared" ref="B3714:B3777" si="3309">IF(OR(A3714=A3713,A3714=A3715),IF(B3713="",1,B3713+1),"")</f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3304"/>
        <v>e</v>
      </c>
      <c r="N3714" t="str">
        <f t="shared" si="3305"/>
        <v>5/2</v>
      </c>
      <c r="O3714">
        <v>63221.279999999999</v>
      </c>
      <c r="P3714" t="str">
        <f t="shared" si="3306"/>
        <v>o</v>
      </c>
      <c r="Q3714" t="str">
        <f t="shared" si="3307"/>
        <v>3/2</v>
      </c>
      <c r="R3714">
        <v>34</v>
      </c>
      <c r="AA3714" s="10">
        <f t="shared" si="3218"/>
        <v>2359.2800000000002</v>
      </c>
      <c r="AB3714" s="3">
        <f t="shared" si="3219"/>
        <v>42372.85</v>
      </c>
      <c r="AC3714" s="3" cm="1">
        <f t="array" ref="AC3714">100000000/LvacE(AA3714)</f>
        <v>42372.855179129248</v>
      </c>
      <c r="AD3714" s="10">
        <f t="shared" si="3220"/>
        <v>1.3980039499154242E-2</v>
      </c>
      <c r="AE3714" s="10" t="b">
        <f t="shared" si="3221"/>
        <v>1</v>
      </c>
      <c r="AJ3714" t="s">
        <v>4800</v>
      </c>
      <c r="AK3714" t="s">
        <v>4707</v>
      </c>
      <c r="AL3714">
        <v>20848.39</v>
      </c>
      <c r="AM3714">
        <v>63221.279999999999</v>
      </c>
      <c r="AN3714" s="10" cm="1">
        <f t="array" ref="AN3714">Lair(100000000/($AM3714-$AL3714))</f>
        <v>2359.278064965411</v>
      </c>
      <c r="AO3714" s="10">
        <f t="shared" si="3308"/>
        <v>2359.9995185600983</v>
      </c>
      <c r="AP3714" s="12">
        <v>110000000</v>
      </c>
      <c r="AQ3714" s="3">
        <v>0.247</v>
      </c>
      <c r="AR3714" s="3">
        <f>LN(AU3714*100000000/($AM3714-$AL3714)/AP3714)</f>
        <v>-7.6302789793967447</v>
      </c>
      <c r="AS3714" s="13">
        <f>EXP(AR$4341*$AM3714+AR$4342)*$AP3714/(100000000/($AM3714-$AL3714))</f>
        <v>35.846197061060593</v>
      </c>
      <c r="AT3714" s="3">
        <f>LN(AS3714/$C3714)</f>
        <v>1.9697995697953501</v>
      </c>
      <c r="AU3714" s="13" cm="1">
        <f t="array" ref="AU3714">$C3714*EXP(poly_from_str(100000000/$E3714,AU$4343))</f>
        <v>22.630425237419093</v>
      </c>
      <c r="AV3714" s="13">
        <f>LN(AS3714/AU3714)</f>
        <v>0.45994223188918115</v>
      </c>
      <c r="AW3714" s="13"/>
      <c r="AX3714" s="13"/>
      <c r="AY3714" s="13"/>
    </row>
    <row r="3715" spans="1:51" x14ac:dyDescent="0.25">
      <c r="A3715" t="s">
        <v>4161</v>
      </c>
      <c r="B3715" s="2" t="str">
        <f t="shared" si="3309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3310">ROUND($A3715,3)+0</f>
        <v>2358.777</v>
      </c>
      <c r="AB3715" s="3">
        <f t="shared" ref="AB3715:AB3778" si="3311">ROUND($E3715,2)+0</f>
        <v>42381.89</v>
      </c>
      <c r="AC3715" s="3" cm="1">
        <f t="array" ref="AC3715">100000000/LvacE(AA3715)</f>
        <v>42381.890285112124</v>
      </c>
      <c r="AD3715" s="10">
        <f t="shared" ref="AD3715:AD3778" si="3312">0.0005/$AA3715*AC3715+0.005</f>
        <v>1.3983869667440398E-2</v>
      </c>
      <c r="AE3715" s="10" t="b">
        <f t="shared" ref="AE3715:AE3778" si="3313">ABS(AB3715-AC3715)&lt;AD3715</f>
        <v>1</v>
      </c>
      <c r="AP3715"/>
      <c r="AQ3715"/>
      <c r="AU3715" s="13" cm="1">
        <f t="array" ref="AU3715">$C3715*EXP(poly_from_str(100000000/$E3715,AU$4343))</f>
        <v>18.133373794619761</v>
      </c>
    </row>
    <row r="3716" spans="1:51" x14ac:dyDescent="0.25">
      <c r="A3716" t="s">
        <v>4162</v>
      </c>
      <c r="B3716" s="2" t="str">
        <f t="shared" si="3309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3314">$G3716&amp;""</f>
        <v>e</v>
      </c>
      <c r="N3716" t="str">
        <f t="shared" ref="N3716:N3717" si="3315">$H3716&amp;""</f>
        <v>5/2</v>
      </c>
      <c r="O3716">
        <v>63232.14</v>
      </c>
      <c r="P3716" t="str">
        <f t="shared" ref="P3716:P3717" si="3316">$J3716&amp;""</f>
        <v>o</v>
      </c>
      <c r="Q3716" t="str">
        <f t="shared" ref="Q3716:Q3717" si="3317">$K3716&amp;""</f>
        <v>7/2</v>
      </c>
      <c r="R3716">
        <v>34</v>
      </c>
      <c r="AA3716" s="10">
        <f t="shared" si="3310"/>
        <v>2358.6750000000002</v>
      </c>
      <c r="AB3716" s="3">
        <f t="shared" si="3311"/>
        <v>42383.72</v>
      </c>
      <c r="AC3716" s="3" cm="1">
        <f t="array" ref="AC3716">100000000/LvacE(AA3716)</f>
        <v>42383.722923593443</v>
      </c>
      <c r="AD3716" s="10">
        <f t="shared" si="3312"/>
        <v>1.3984646660432965E-2</v>
      </c>
      <c r="AE3716" s="10" t="b">
        <f t="shared" si="3313"/>
        <v>1</v>
      </c>
      <c r="AJ3716" t="s">
        <v>4800</v>
      </c>
      <c r="AK3716" t="s">
        <v>4819</v>
      </c>
      <c r="AL3716">
        <v>20848.39</v>
      </c>
      <c r="AM3716">
        <v>63232.14</v>
      </c>
      <c r="AN3716" s="10" cm="1">
        <f t="array" ref="AN3716">Lair(100000000/($AM3716-$AL3716))</f>
        <v>2358.6734969919212</v>
      </c>
      <c r="AO3716" s="10">
        <f t="shared" ref="AO3716:AO3717" si="3318">100000000/($AM3716-$AL3716)</f>
        <v>2359.3948152298935</v>
      </c>
      <c r="AP3716" s="12">
        <v>86000000</v>
      </c>
      <c r="AQ3716" s="3">
        <v>0.19800000000000001</v>
      </c>
      <c r="AR3716" s="3">
        <f t="shared" ref="AR3716:AR3717" si="3319">LN(AU3716*100000000/($AM3716-$AL3716)/AP3716)</f>
        <v>-7.6056179748359662</v>
      </c>
      <c r="AS3716" s="13">
        <f t="shared" ref="AS3716:AS3717" si="3320">EXP(AR$4341*$AM3716+AR$4342)*$AP3716/(100000000/($AM3716-$AL3716))</f>
        <v>28.009554048377005</v>
      </c>
      <c r="AT3716" s="3">
        <f t="shared" ref="AT3716:AT3717" si="3321">LN(AS3716/$C3716)</f>
        <v>1.9462513068678329</v>
      </c>
      <c r="AU3716" s="13" cm="1">
        <f t="array" ref="AU3716">$C3716*EXP(poly_from_str(100000000/$E3716,AU$4343))</f>
        <v>18.139274483162943</v>
      </c>
      <c r="AV3716" s="13">
        <f t="shared" ref="AV3716:AV3717" si="3322">LN(AS3716/AU3716)</f>
        <v>0.43446621951606462</v>
      </c>
      <c r="AW3716" s="13"/>
      <c r="AX3716" s="13"/>
      <c r="AY3716" s="13"/>
    </row>
    <row r="3717" spans="1:51" x14ac:dyDescent="0.25">
      <c r="A3717" t="s">
        <v>4163</v>
      </c>
      <c r="B3717" s="2" t="str">
        <f t="shared" si="3309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3314"/>
        <v>e</v>
      </c>
      <c r="N3717" t="str">
        <f t="shared" si="3315"/>
        <v>7/2</v>
      </c>
      <c r="O3717">
        <v>83426.55</v>
      </c>
      <c r="P3717" t="str">
        <f t="shared" si="3316"/>
        <v>o</v>
      </c>
      <c r="Q3717" t="str">
        <f t="shared" si="3317"/>
        <v>5/2</v>
      </c>
      <c r="R3717">
        <v>34</v>
      </c>
      <c r="AA3717" s="10">
        <f t="shared" si="3310"/>
        <v>2357.627</v>
      </c>
      <c r="AB3717" s="3">
        <f t="shared" si="3311"/>
        <v>42402.559999999998</v>
      </c>
      <c r="AC3717" s="3" cm="1">
        <f t="array" ref="AC3717">100000000/LvacE(AA3717)</f>
        <v>42402.561568705882</v>
      </c>
      <c r="AD3717" s="10">
        <f t="shared" si="3312"/>
        <v>1.3992635724121308E-2</v>
      </c>
      <c r="AE3717" s="10" t="b">
        <f t="shared" si="3313"/>
        <v>1</v>
      </c>
      <c r="AJ3717" t="s">
        <v>4711</v>
      </c>
      <c r="AK3717" t="s">
        <v>4868</v>
      </c>
      <c r="AL3717">
        <v>41023.980000000003</v>
      </c>
      <c r="AM3717">
        <v>83426.55</v>
      </c>
      <c r="AN3717" s="10" cm="1">
        <f t="array" ref="AN3717">Lair(100000000/($AM3717-$AL3717))</f>
        <v>2357.6265351276447</v>
      </c>
      <c r="AO3717" s="10">
        <f t="shared" si="3318"/>
        <v>2358.3476190240358</v>
      </c>
      <c r="AP3717" s="12">
        <v>104000000</v>
      </c>
      <c r="AQ3717" s="3">
        <v>0.188</v>
      </c>
      <c r="AR3717" s="3">
        <f t="shared" si="3319"/>
        <v>-8.0804189403245026</v>
      </c>
      <c r="AS3717" s="13">
        <f t="shared" si="3320"/>
        <v>7.4447431967728965</v>
      </c>
      <c r="AT3717" s="3">
        <f t="shared" si="3321"/>
        <v>0.90889588349120554</v>
      </c>
      <c r="AU3717" s="13" cm="1">
        <f t="array" ref="AU3717">$C3717*EXP(poly_from_str(100000000/$E3717,AU$4343))</f>
        <v>13.650361781507286</v>
      </c>
      <c r="AV3717" s="13">
        <f t="shared" si="3322"/>
        <v>-0.60625785326015269</v>
      </c>
      <c r="AW3717" s="13"/>
      <c r="AX3717" s="13"/>
      <c r="AY3717" s="13"/>
    </row>
    <row r="3718" spans="1:51" x14ac:dyDescent="0.25">
      <c r="A3718" t="s">
        <v>4164</v>
      </c>
      <c r="B3718" s="2" t="str">
        <f t="shared" si="3309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3310"/>
        <v>2357.5410000000002</v>
      </c>
      <c r="AB3718" s="3">
        <f t="shared" si="3311"/>
        <v>42404.11</v>
      </c>
      <c r="AC3718" s="3" cm="1">
        <f t="array" ref="AC3718">100000000/LvacE(AA3718)</f>
        <v>42404.108231534134</v>
      </c>
      <c r="AD3718" s="10">
        <f t="shared" si="3312"/>
        <v>1.3993291788251854E-2</v>
      </c>
      <c r="AE3718" s="10" t="b">
        <f t="shared" si="3313"/>
        <v>1</v>
      </c>
      <c r="AP3718"/>
      <c r="AQ3718"/>
      <c r="AU3718" s="13" cm="1">
        <f t="array" ref="AU3718">$C3718*EXP(poly_from_str(100000000/$E3718,AU$4343))</f>
        <v>13.654166689634078</v>
      </c>
    </row>
    <row r="3719" spans="1:51" x14ac:dyDescent="0.25">
      <c r="A3719" t="s">
        <v>4165</v>
      </c>
      <c r="B3719" s="2" t="str">
        <f t="shared" si="3309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3323">$G3719&amp;""</f>
        <v>e</v>
      </c>
      <c r="N3719" t="str">
        <f t="shared" ref="N3719:N3722" si="3324">$H3719&amp;""</f>
        <v>5/2</v>
      </c>
      <c r="O3719">
        <v>66867.09</v>
      </c>
      <c r="P3719" t="str">
        <f t="shared" ref="P3719:P3722" si="3325">$J3719&amp;""</f>
        <v>o</v>
      </c>
      <c r="Q3719" t="str">
        <f t="shared" ref="Q3719:Q3722" si="3326">$K3719&amp;""</f>
        <v>3/2</v>
      </c>
      <c r="R3719">
        <v>34</v>
      </c>
      <c r="AA3719" s="10">
        <f t="shared" si="3310"/>
        <v>2357.4459999999999</v>
      </c>
      <c r="AB3719" s="3">
        <f t="shared" si="3311"/>
        <v>42405.82</v>
      </c>
      <c r="AC3719" s="3" cm="1">
        <f t="array" ref="AC3719">100000000/LvacE(AA3719)</f>
        <v>42405.816885580796</v>
      </c>
      <c r="AD3719" s="10">
        <f t="shared" si="3312"/>
        <v>1.3994016593716421E-2</v>
      </c>
      <c r="AE3719" s="10" t="b">
        <f t="shared" si="3313"/>
        <v>1</v>
      </c>
      <c r="AJ3719" t="s">
        <v>4717</v>
      </c>
      <c r="AK3719" t="s">
        <v>4867</v>
      </c>
      <c r="AL3719">
        <v>24461.24</v>
      </c>
      <c r="AM3719">
        <v>66867.09</v>
      </c>
      <c r="AN3719" s="10" cm="1">
        <f t="array" ref="AN3719">Lair(100000000/($AM3719-$AL3719))</f>
        <v>2357.4441628956974</v>
      </c>
      <c r="AO3719" s="10">
        <f t="shared" ref="AO3719:AO3722" si="3327">100000000/($AM3719-$AL3719)</f>
        <v>2358.1652059798357</v>
      </c>
      <c r="AP3719" s="12">
        <v>188000000</v>
      </c>
      <c r="AQ3719" s="3">
        <v>0.376</v>
      </c>
      <c r="AR3719" s="3">
        <f t="shared" ref="AR3719:AR3722" si="3328">LN(AU3719*100000000/($AM3719-$AL3719)/AP3719)</f>
        <v>-8.1611352831601938</v>
      </c>
      <c r="AS3719" s="13">
        <f t="shared" ref="AS3719:AS3722" si="3329">EXP(AR$4341*$AM3719+AR$4342)*$AP3719/(100000000/($AM3719-$AL3719))</f>
        <v>46.635889473383749</v>
      </c>
      <c r="AT3719" s="3">
        <f t="shared" ref="AT3719:AT3722" si="3330">LN(AS3719/$C3719)</f>
        <v>2.2329324926492262</v>
      </c>
      <c r="AU3719" s="13" cm="1">
        <f t="array" ref="AU3719">$C3719*EXP(poly_from_str(100000000/$E3719,AU$4343))</f>
        <v>22.76394892542044</v>
      </c>
      <c r="AV3719" s="13">
        <f t="shared" ref="AV3719:AV3722" si="3331">LN(AS3719/AU3719)</f>
        <v>0.71719230800071931</v>
      </c>
      <c r="AW3719" s="13"/>
      <c r="AX3719" s="13"/>
      <c r="AY3719" s="13"/>
    </row>
    <row r="3720" spans="1:51" x14ac:dyDescent="0.25">
      <c r="A3720" t="s">
        <v>4166</v>
      </c>
      <c r="B3720" s="2" t="str">
        <f t="shared" si="3309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3323"/>
        <v>o</v>
      </c>
      <c r="N3720" t="str">
        <f t="shared" si="3324"/>
        <v>11/2</v>
      </c>
      <c r="O3720">
        <v>102830.43</v>
      </c>
      <c r="P3720" t="str">
        <f t="shared" si="3325"/>
        <v>e</v>
      </c>
      <c r="Q3720" t="str">
        <f t="shared" si="3326"/>
        <v>9/2</v>
      </c>
      <c r="R3720">
        <v>34</v>
      </c>
      <c r="AA3720" s="10">
        <f t="shared" si="3310"/>
        <v>2357.1759999999999</v>
      </c>
      <c r="AB3720" s="3">
        <f t="shared" si="3311"/>
        <v>42410.67</v>
      </c>
      <c r="AC3720" s="3" cm="1">
        <f t="array" ref="AC3720">100000000/LvacE(AA3720)</f>
        <v>42410.673812074165</v>
      </c>
      <c r="AD3720" s="10">
        <f t="shared" si="3312"/>
        <v>1.399607704559909E-2</v>
      </c>
      <c r="AE3720" s="10" t="b">
        <f t="shared" si="3313"/>
        <v>1</v>
      </c>
      <c r="AJ3720" t="s">
        <v>4849</v>
      </c>
      <c r="AK3720" t="s">
        <v>4866</v>
      </c>
      <c r="AL3720">
        <v>60419.73</v>
      </c>
      <c r="AM3720">
        <v>102830.43</v>
      </c>
      <c r="AN3720" s="10" cm="1">
        <f t="array" ref="AN3720">Lair(100000000/($AM3720-$AL3720))</f>
        <v>2357.1745483278501</v>
      </c>
      <c r="AO3720" s="10">
        <f t="shared" si="3327"/>
        <v>2357.8955310806004</v>
      </c>
      <c r="AP3720" s="12">
        <v>1490000000</v>
      </c>
      <c r="AQ3720" s="3">
        <v>0.6</v>
      </c>
      <c r="AR3720" s="3">
        <f t="shared" si="3328"/>
        <v>-10.741290285983082</v>
      </c>
      <c r="AS3720" s="13">
        <f t="shared" si="3329"/>
        <v>24.86949778653787</v>
      </c>
      <c r="AT3720" s="3">
        <f t="shared" si="3330"/>
        <v>2.1150297753983924</v>
      </c>
      <c r="AU3720" s="13" cm="1">
        <f t="array" ref="AU3720">$C3720*EXP(poly_from_str(100000000/$E3720,AU$4343))</f>
        <v>13.670317750622475</v>
      </c>
      <c r="AV3720" s="13">
        <f t="shared" si="3331"/>
        <v>0.59841516922460336</v>
      </c>
      <c r="AW3720" s="13"/>
      <c r="AX3720" s="13"/>
      <c r="AY3720" s="13"/>
    </row>
    <row r="3721" spans="1:51" x14ac:dyDescent="0.25">
      <c r="A3721" t="s">
        <v>4167</v>
      </c>
      <c r="B3721" s="2" t="str">
        <f t="shared" si="3309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3323"/>
        <v>e</v>
      </c>
      <c r="N3721" t="str">
        <f t="shared" si="3324"/>
        <v>3/2</v>
      </c>
      <c r="O3721">
        <v>63576.27</v>
      </c>
      <c r="P3721" t="str">
        <f t="shared" si="3325"/>
        <v>o</v>
      </c>
      <c r="Q3721" t="str">
        <f t="shared" si="3326"/>
        <v>5/2</v>
      </c>
      <c r="R3721">
        <v>34</v>
      </c>
      <c r="AA3721" s="10">
        <f t="shared" si="3310"/>
        <v>2356.2260000000001</v>
      </c>
      <c r="AB3721" s="3">
        <f t="shared" si="3311"/>
        <v>42427.77</v>
      </c>
      <c r="AC3721" s="3" cm="1">
        <f t="array" ref="AC3721">100000000/LvacE(AA3721)</f>
        <v>42427.771844787363</v>
      </c>
      <c r="AD3721" s="10">
        <f t="shared" si="3312"/>
        <v>1.4003332414799632E-2</v>
      </c>
      <c r="AE3721" s="10" t="b">
        <f t="shared" si="3313"/>
        <v>1</v>
      </c>
      <c r="AJ3721" t="s">
        <v>4789</v>
      </c>
      <c r="AK3721" t="s">
        <v>4843</v>
      </c>
      <c r="AL3721">
        <v>21148.43</v>
      </c>
      <c r="AM3721">
        <v>63576.27</v>
      </c>
      <c r="AN3721" s="10" cm="1">
        <f t="array" ref="AN3721">Lair(100000000/($AM3721-$AL3721))</f>
        <v>2356.2222186841941</v>
      </c>
      <c r="AO3721" s="10">
        <f t="shared" si="3327"/>
        <v>2356.9429883774428</v>
      </c>
      <c r="AP3721" s="12">
        <v>58500000</v>
      </c>
      <c r="AQ3721" s="3">
        <v>0.64900000000000002</v>
      </c>
      <c r="AR3721" s="3">
        <f t="shared" si="3328"/>
        <v>-7.5010880625737837</v>
      </c>
      <c r="AS3721" s="13">
        <f t="shared" si="3329"/>
        <v>18.586564871313634</v>
      </c>
      <c r="AT3721" s="3">
        <f t="shared" si="3330"/>
        <v>1.8238267123065912</v>
      </c>
      <c r="AU3721" s="13" cm="1">
        <f t="array" ref="AU3721">$C3721*EXP(poly_from_str(100000000/$E3721,AU$4343))</f>
        <v>13.712783983306954</v>
      </c>
      <c r="AV3721" s="13">
        <f t="shared" si="3331"/>
        <v>0.30411046577507528</v>
      </c>
      <c r="AW3721" s="13"/>
      <c r="AX3721" s="13"/>
      <c r="AY3721" s="13"/>
    </row>
    <row r="3722" spans="1:51" x14ac:dyDescent="0.25">
      <c r="A3722" t="s">
        <v>4168</v>
      </c>
      <c r="B3722" s="2" t="str">
        <f t="shared" si="3309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3323"/>
        <v>e</v>
      </c>
      <c r="N3722" t="str">
        <f t="shared" si="3324"/>
        <v>11/2</v>
      </c>
      <c r="O3722">
        <v>68525.62</v>
      </c>
      <c r="P3722" t="str">
        <f t="shared" si="3325"/>
        <v>o</v>
      </c>
      <c r="Q3722" t="str">
        <f t="shared" si="3326"/>
        <v>11/2</v>
      </c>
      <c r="R3722">
        <v>34</v>
      </c>
      <c r="AA3722" s="10">
        <f t="shared" si="3310"/>
        <v>2356.0839999999998</v>
      </c>
      <c r="AB3722" s="3">
        <f t="shared" si="3311"/>
        <v>42430.33</v>
      </c>
      <c r="AC3722" s="3" cm="1">
        <f t="array" ref="AC3722">100000000/LvacE(AA3722)</f>
        <v>42430.328735051546</v>
      </c>
      <c r="AD3722" s="10">
        <f t="shared" si="3312"/>
        <v>1.4004417655535954E-2</v>
      </c>
      <c r="AE3722" s="10" t="b">
        <f t="shared" si="3313"/>
        <v>1</v>
      </c>
      <c r="AJ3722" t="s">
        <v>4738</v>
      </c>
      <c r="AK3722" t="s">
        <v>4869</v>
      </c>
      <c r="AL3722">
        <v>26095.23</v>
      </c>
      <c r="AM3722">
        <v>68525.62</v>
      </c>
      <c r="AN3722" s="10" cm="1">
        <f t="array" ref="AN3722">Lair(100000000/($AM3722-$AL3722))</f>
        <v>2356.0806017787049</v>
      </c>
      <c r="AO3722" s="10">
        <f t="shared" si="3327"/>
        <v>2356.8013397944255</v>
      </c>
      <c r="AP3722" s="12">
        <v>82400000</v>
      </c>
      <c r="AQ3722" s="3">
        <v>5.8000000000000003E-2</v>
      </c>
      <c r="AR3722" s="3">
        <f t="shared" si="3328"/>
        <v>-7.5555579276450402</v>
      </c>
      <c r="AS3722" s="13">
        <f t="shared" si="3329"/>
        <v>18.058655571046508</v>
      </c>
      <c r="AT3722" s="3">
        <f t="shared" si="3330"/>
        <v>1.5073307417417503</v>
      </c>
      <c r="AU3722" s="13" cm="1">
        <f t="array" ref="AU3722">$C3722*EXP(poly_from_str(100000000/$E3722,AU$4343))</f>
        <v>18.29224963720635</v>
      </c>
      <c r="AV3722" s="13">
        <f t="shared" si="3331"/>
        <v>-1.2852350184491773E-2</v>
      </c>
      <c r="AW3722" s="13"/>
      <c r="AX3722" s="13"/>
      <c r="AY3722" s="13"/>
    </row>
    <row r="3723" spans="1:51" x14ac:dyDescent="0.25">
      <c r="A3723" t="s">
        <v>4169</v>
      </c>
      <c r="B3723" s="2" t="str">
        <f t="shared" si="3309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3310"/>
        <v>2355.261</v>
      </c>
      <c r="AB3723" s="3">
        <f t="shared" si="3311"/>
        <v>42445.15</v>
      </c>
      <c r="AC3723" s="3" cm="1">
        <f t="array" ref="AC3723">100000000/LvacE(AA3723)</f>
        <v>42445.153965521575</v>
      </c>
      <c r="AD3723" s="10">
        <f t="shared" si="3312"/>
        <v>1.4010711332103229E-2</v>
      </c>
      <c r="AE3723" s="10" t="b">
        <f t="shared" si="3313"/>
        <v>1</v>
      </c>
      <c r="AP3723"/>
      <c r="AQ3723"/>
      <c r="AU3723" s="13" cm="1">
        <f t="array" ref="AU3723">$C3723*EXP(poly_from_str(100000000/$E3723,AU$4343))</f>
        <v>9.1709947226578183</v>
      </c>
    </row>
    <row r="3724" spans="1:51" x14ac:dyDescent="0.25">
      <c r="A3724" t="s">
        <v>4170</v>
      </c>
      <c r="B3724" s="2" t="str">
        <f t="shared" si="3309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3332">$G3724&amp;""</f>
        <v>e</v>
      </c>
      <c r="N3724" t="str">
        <f t="shared" ref="N3724:N3725" si="3333">$H3724&amp;""</f>
        <v>3/2</v>
      </c>
      <c r="O3724">
        <v>78312.91</v>
      </c>
      <c r="P3724" t="str">
        <f t="shared" ref="P3724:P3725" si="3334">$J3724&amp;""</f>
        <v>o</v>
      </c>
      <c r="Q3724" t="str">
        <f t="shared" ref="Q3724:Q3725" si="3335">$K3724&amp;""</f>
        <v>1/2</v>
      </c>
      <c r="R3724">
        <v>34</v>
      </c>
      <c r="AA3724" s="10">
        <f t="shared" si="3310"/>
        <v>2355.0419999999999</v>
      </c>
      <c r="AB3724" s="3">
        <f t="shared" si="3311"/>
        <v>42449.1</v>
      </c>
      <c r="AC3724" s="3" cm="1">
        <f t="array" ref="AC3724">100000000/LvacE(AA3724)</f>
        <v>42449.100699131195</v>
      </c>
      <c r="AD3724" s="10">
        <f t="shared" si="3312"/>
        <v>1.4012387188663981E-2</v>
      </c>
      <c r="AE3724" s="10" t="b">
        <f t="shared" si="3313"/>
        <v>1</v>
      </c>
      <c r="AJ3724" t="s">
        <v>4811</v>
      </c>
      <c r="AK3724" t="s">
        <v>4872</v>
      </c>
      <c r="AL3724">
        <v>35863.74</v>
      </c>
      <c r="AM3724">
        <v>78312.91</v>
      </c>
      <c r="AN3724" s="10" cm="1">
        <f t="array" ref="AN3724">Lair(100000000/($AM3724-$AL3724))</f>
        <v>2355.0381589501949</v>
      </c>
      <c r="AO3724" s="10">
        <f t="shared" ref="AO3724:AO3725" si="3336">100000000/($AM3724-$AL3724)</f>
        <v>2355.7586638325315</v>
      </c>
      <c r="AP3724" s="12">
        <v>28300000</v>
      </c>
      <c r="AQ3724" s="3">
        <v>0.185</v>
      </c>
      <c r="AR3724" s="3">
        <f t="shared" ref="AR3724:AR3725" si="3337">LN(AU3724*100000000/($AM3724-$AL3724)/AP3724)</f>
        <v>-6.7715159109946335</v>
      </c>
      <c r="AS3724" s="13">
        <f t="shared" ref="AS3724:AS3725" si="3338">EXP(AR$4341*$AM3724+AR$4342)*$AP3724/(100000000/($AM3724-$AL3724))</f>
        <v>2.976772254483981</v>
      </c>
      <c r="AT3724" s="3">
        <f t="shared" ref="AT3724:AT3725" si="3339">LN(AS3724/$C3724)</f>
        <v>-7.772711245797639E-3</v>
      </c>
      <c r="AU3724" s="13" cm="1">
        <f t="array" ref="AU3724">$C3724*EXP(poly_from_str(100000000/$E3724,AU$4343))</f>
        <v>13.766503333037207</v>
      </c>
      <c r="AV3724" s="13">
        <f t="shared" ref="AV3724:AV3725" si="3340">LN(AS3724/AU3724)</f>
        <v>-1.5313987693778923</v>
      </c>
      <c r="AW3724" s="13"/>
      <c r="AX3724" s="13"/>
      <c r="AY3724" s="13"/>
    </row>
    <row r="3725" spans="1:51" x14ac:dyDescent="0.25">
      <c r="A3725" t="s">
        <v>4171</v>
      </c>
      <c r="B3725" s="2" t="str">
        <f t="shared" si="3309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3332"/>
        <v>o</v>
      </c>
      <c r="N3725" t="str">
        <f t="shared" si="3333"/>
        <v>9/2</v>
      </c>
      <c r="O3725">
        <v>100625.04</v>
      </c>
      <c r="P3725" t="str">
        <f t="shared" si="3334"/>
        <v>e</v>
      </c>
      <c r="Q3725" t="str">
        <f t="shared" si="3335"/>
        <v>11/2</v>
      </c>
      <c r="R3725">
        <v>34</v>
      </c>
      <c r="AA3725" s="10">
        <f t="shared" si="3310"/>
        <v>2354.942</v>
      </c>
      <c r="AB3725" s="3">
        <f t="shared" si="3311"/>
        <v>42450.9</v>
      </c>
      <c r="AC3725" s="3" cm="1">
        <f t="array" ref="AC3725">100000000/LvacE(AA3725)</f>
        <v>42450.903104676079</v>
      </c>
      <c r="AD3725" s="10">
        <f t="shared" si="3312"/>
        <v>1.4013152575451132E-2</v>
      </c>
      <c r="AE3725" s="10" t="b">
        <f t="shared" si="3313"/>
        <v>1</v>
      </c>
      <c r="AJ3725" t="s">
        <v>4698</v>
      </c>
      <c r="AK3725" t="s">
        <v>4871</v>
      </c>
      <c r="AL3725">
        <v>58174.15</v>
      </c>
      <c r="AM3725">
        <v>100625.04</v>
      </c>
      <c r="AN3725" s="10" cm="1">
        <f t="array" ref="AN3725">Lair(100000000/($AM3725-$AL3725))</f>
        <v>2354.9427310545925</v>
      </c>
      <c r="AO3725" s="10">
        <f t="shared" si="3336"/>
        <v>2355.6632145992703</v>
      </c>
      <c r="AP3725" s="12">
        <v>8010000000</v>
      </c>
      <c r="AQ3725" s="3">
        <v>0.91400000000000003</v>
      </c>
      <c r="AR3725" s="3">
        <f t="shared" si="3337"/>
        <v>-11.723661452292315</v>
      </c>
      <c r="AS3725" s="13">
        <f t="shared" si="3338"/>
        <v>157.90779211454173</v>
      </c>
      <c r="AT3725" s="3">
        <f t="shared" si="3339"/>
        <v>3.2702517992297659</v>
      </c>
      <c r="AU3725" s="13" cm="1">
        <f t="array" ref="AU3725">$C3725*EXP(poly_from_str(100000000/$E3725,AU$4343))</f>
        <v>27.542150017246744</v>
      </c>
      <c r="AV3725" s="13">
        <f t="shared" si="3340"/>
        <v>1.746293709313943</v>
      </c>
      <c r="AW3725" s="13"/>
      <c r="AX3725" s="13"/>
      <c r="AY3725" s="13"/>
    </row>
    <row r="3726" spans="1:51" x14ac:dyDescent="0.25">
      <c r="A3726" t="s">
        <v>4172</v>
      </c>
      <c r="B3726" s="2" t="str">
        <f t="shared" si="3309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3310"/>
        <v>2354.902</v>
      </c>
      <c r="AB3726" s="3">
        <f t="shared" si="3311"/>
        <v>42451.62</v>
      </c>
      <c r="AC3726" s="3" cm="1">
        <f t="array" ref="AC3726">100000000/LvacE(AA3726)</f>
        <v>42451.624109748336</v>
      </c>
      <c r="AD3726" s="10">
        <f t="shared" si="3312"/>
        <v>1.4013458757465989E-2</v>
      </c>
      <c r="AE3726" s="10" t="b">
        <f t="shared" si="3313"/>
        <v>1</v>
      </c>
      <c r="AP3726"/>
      <c r="AQ3726"/>
      <c r="AU3726" s="13" cm="1">
        <f t="array" ref="AU3726">$C3726*EXP(poly_from_str(100000000/$E3726,AU$4343))</f>
        <v>22.954842270563024</v>
      </c>
    </row>
    <row r="3727" spans="1:51" x14ac:dyDescent="0.25">
      <c r="A3727" t="s">
        <v>4173</v>
      </c>
      <c r="B3727" s="2" t="str">
        <f t="shared" si="3309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3310"/>
        <v>2354.42</v>
      </c>
      <c r="AB3727" s="3">
        <f t="shared" si="3311"/>
        <v>42460.31</v>
      </c>
      <c r="AC3727" s="3" cm="1">
        <f t="array" ref="AC3727">100000000/LvacE(AA3727)</f>
        <v>42460.31414679101</v>
      </c>
      <c r="AD3727" s="10">
        <f t="shared" si="3312"/>
        <v>1.4017149477746325E-2</v>
      </c>
      <c r="AE3727" s="10" t="b">
        <f t="shared" si="3313"/>
        <v>1</v>
      </c>
      <c r="AJ3727" t="s">
        <v>4821</v>
      </c>
      <c r="AK3727" t="s">
        <v>4855</v>
      </c>
      <c r="AL3727">
        <v>62558.67</v>
      </c>
      <c r="AM3727">
        <v>105019.06</v>
      </c>
      <c r="AN3727" s="10" cm="1">
        <f t="array" ref="AN3727">Lair(100000000/($AM3727-$AL3727))</f>
        <v>2354.4157976403785</v>
      </c>
      <c r="AO3727" s="10">
        <f>100000000/($AM3727-$AL3727)</f>
        <v>2355.1361633748538</v>
      </c>
      <c r="AU3727" s="13" cm="1">
        <f t="array" ref="AU3727">$C3727*EXP(poly_from_str(100000000/$E3727,AU$4343))</f>
        <v>18.393430403592653</v>
      </c>
    </row>
    <row r="3728" spans="1:51" x14ac:dyDescent="0.25">
      <c r="A3728" t="s">
        <v>4174</v>
      </c>
      <c r="B3728" s="2" t="str">
        <f t="shared" si="3309"/>
        <v/>
      </c>
      <c r="C3728">
        <v>3</v>
      </c>
      <c r="E3728">
        <v>42462.15</v>
      </c>
      <c r="R3728">
        <v>34</v>
      </c>
      <c r="S3728" t="s">
        <v>4175</v>
      </c>
      <c r="U3728" s="4" t="s">
        <v>4644</v>
      </c>
      <c r="AA3728" s="10">
        <f t="shared" si="3310"/>
        <v>2354.3180000000002</v>
      </c>
      <c r="AB3728" s="3">
        <f t="shared" si="3311"/>
        <v>42462.15</v>
      </c>
      <c r="AC3728" s="3" cm="1">
        <f t="array" ref="AC3728">100000000/LvacE(AA3728)</f>
        <v>42462.153573374097</v>
      </c>
      <c r="AD3728" s="10">
        <f t="shared" si="3312"/>
        <v>1.4017930792138974E-2</v>
      </c>
      <c r="AE3728" s="10" t="b">
        <f t="shared" si="3313"/>
        <v>1</v>
      </c>
      <c r="AP3728"/>
      <c r="AQ3728"/>
      <c r="AU3728" s="13" cm="1">
        <f t="array" ref="AU3728">$C3728*EXP(poly_from_str(100000000/$E3728,AU$4343))</f>
        <v>13.799784563619987</v>
      </c>
    </row>
    <row r="3729" spans="1:51" x14ac:dyDescent="0.25">
      <c r="A3729" t="s">
        <v>4176</v>
      </c>
      <c r="B3729" s="2" t="str">
        <f t="shared" si="3309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4177</v>
      </c>
      <c r="U3729" s="4"/>
      <c r="AA3729" s="10">
        <f t="shared" si="3310"/>
        <v>2354.1280000000002</v>
      </c>
      <c r="AB3729" s="3">
        <f t="shared" si="3311"/>
        <v>42465.58</v>
      </c>
      <c r="AC3729" s="3" cm="1">
        <f t="array" ref="AC3729">100000000/LvacE(AA3729)</f>
        <v>42465.580381152977</v>
      </c>
      <c r="AD3729" s="10">
        <f t="shared" si="3312"/>
        <v>1.4019386452468384E-2</v>
      </c>
      <c r="AE3729" s="10" t="b">
        <f t="shared" si="3313"/>
        <v>1</v>
      </c>
      <c r="AJ3729" t="s">
        <v>4772</v>
      </c>
      <c r="AK3729" t="s">
        <v>4865</v>
      </c>
      <c r="AL3729">
        <v>36670.57</v>
      </c>
      <c r="AM3729">
        <v>79136.23</v>
      </c>
      <c r="AN3729" s="10" cm="1">
        <f t="array" ref="AN3729">Lair(100000000/($AM3729-$AL3729))</f>
        <v>2354.1235899216626</v>
      </c>
      <c r="AO3729" s="10">
        <f>100000000/($AM3729-$AL3729)</f>
        <v>2354.8438903339784</v>
      </c>
      <c r="AP3729" s="12">
        <v>50000000</v>
      </c>
      <c r="AQ3729" s="3">
        <v>0.27900000000000003</v>
      </c>
      <c r="AR3729" s="3">
        <f>LN(AU3729*100000000/($AM3729-$AL3729)/AP3729)</f>
        <v>-7.7434784681436293</v>
      </c>
      <c r="AS3729" s="13">
        <f>EXP(AR$4341*$AM3729+AR$4342)*$AP3729/(100000000/($AM3729-$AL3729))</f>
        <v>4.9461112858827345</v>
      </c>
      <c r="AT3729" s="3">
        <f>LN(AS3729/$C3729)</f>
        <v>0.90545448846462839</v>
      </c>
      <c r="AU3729" s="13" cm="1">
        <f t="array" ref="AU3729">$C3729*EXP(poly_from_str(100000000/$E3729,AU$4343))</f>
        <v>9.2057232184607258</v>
      </c>
      <c r="AV3729" s="13">
        <f>LN(AS3729/AU3729)</f>
        <v>-0.62122371057641523</v>
      </c>
      <c r="AW3729" s="13"/>
      <c r="AX3729" s="13"/>
      <c r="AY3729" s="13"/>
    </row>
    <row r="3730" spans="1:51" x14ac:dyDescent="0.25">
      <c r="A3730" t="s">
        <v>4178</v>
      </c>
      <c r="B3730" s="2" t="str">
        <f t="shared" si="3309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3310"/>
        <v>2353.8009999999999</v>
      </c>
      <c r="AB3730" s="3">
        <f t="shared" si="3311"/>
        <v>42471.48</v>
      </c>
      <c r="AC3730" s="3" cm="1">
        <f t="array" ref="AC3730">100000000/LvacE(AA3730)</f>
        <v>42471.479392882386</v>
      </c>
      <c r="AD3730" s="10">
        <f t="shared" si="3312"/>
        <v>1.402189254590392E-2</v>
      </c>
      <c r="AE3730" s="10" t="b">
        <f t="shared" si="3313"/>
        <v>1</v>
      </c>
      <c r="AP3730"/>
      <c r="AQ3730"/>
      <c r="AU3730" s="13" cm="1">
        <f t="array" ref="AU3730">$C3730*EXP(poly_from_str(100000000/$E3730,AU$4343))</f>
        <v>13.823774002100135</v>
      </c>
    </row>
    <row r="3731" spans="1:51" x14ac:dyDescent="0.25">
      <c r="A3731" t="s">
        <v>4179</v>
      </c>
      <c r="B3731" s="2" t="str">
        <f t="shared" si="3309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3341">$G3731&amp;""</f>
        <v>e</v>
      </c>
      <c r="N3731" t="str">
        <f t="shared" ref="N3731:N3736" si="3342">$H3731&amp;""</f>
        <v>13/2</v>
      </c>
      <c r="O3731">
        <v>71736.45</v>
      </c>
      <c r="P3731" t="str">
        <f t="shared" ref="P3731:P3736" si="3343">$J3731&amp;""</f>
        <v>o</v>
      </c>
      <c r="Q3731" t="str">
        <f t="shared" ref="Q3731:Q3736" si="3344">$K3731&amp;""</f>
        <v>11/2</v>
      </c>
      <c r="R3731">
        <v>34</v>
      </c>
      <c r="AA3731" s="10">
        <f t="shared" si="3310"/>
        <v>2353.6970000000001</v>
      </c>
      <c r="AB3731" s="3">
        <f t="shared" si="3311"/>
        <v>42473.36</v>
      </c>
      <c r="AC3731" s="3" cm="1">
        <f t="array" ref="AC3731">100000000/LvacE(AA3731)</f>
        <v>42473.355874662651</v>
      </c>
      <c r="AD3731" s="10">
        <f t="shared" si="3312"/>
        <v>1.4022689809831651E-2</v>
      </c>
      <c r="AE3731" s="10" t="b">
        <f t="shared" si="3313"/>
        <v>1</v>
      </c>
      <c r="AJ3731" t="s">
        <v>4699</v>
      </c>
      <c r="AK3731" t="s">
        <v>4875</v>
      </c>
      <c r="AL3731">
        <v>29263.08</v>
      </c>
      <c r="AM3731">
        <v>71736.45</v>
      </c>
      <c r="AN3731" s="10" cm="1">
        <f t="array" ref="AN3731">Lair(100000000/($AM3731-$AL3731))</f>
        <v>2353.6962212175645</v>
      </c>
      <c r="AO3731" s="10">
        <f t="shared" ref="AO3731:AO3736" si="3345">100000000/($AM3731-$AL3731)</f>
        <v>2354.4164261041687</v>
      </c>
      <c r="AP3731" s="12">
        <v>1550000000</v>
      </c>
      <c r="AQ3731" s="3">
        <v>0.53900000000000003</v>
      </c>
      <c r="AR3731" s="3">
        <f t="shared" ref="AR3731:AR3734" si="3346">LN(AU3731*100000000/($AM3731-$AL3731)/AP3731)</f>
        <v>-9.6721193898900228</v>
      </c>
      <c r="AS3731" s="13">
        <f t="shared" ref="AS3731:AS3734" si="3347">EXP(AR$4341*$AM3731+AR$4342)*$AP3731/(100000000/($AM3731-$AL3731))</f>
        <v>267.22738584535841</v>
      </c>
      <c r="AT3731" s="3">
        <f t="shared" ref="AT3731:AT3734" si="3348">LN(AS3731/$C3731)</f>
        <v>3.3908753510105534</v>
      </c>
      <c r="AU3731" s="13" cm="1">
        <f t="array" ref="AU3731">$C3731*EXP(poly_from_str(100000000/$E3731,AU$4343))</f>
        <v>41.48588315069648</v>
      </c>
      <c r="AV3731" s="13">
        <f t="shared" ref="AV3731:AV3734" si="3349">LN(AS3731/AU3731)</f>
        <v>1.8627467240228306</v>
      </c>
      <c r="AW3731" s="13"/>
      <c r="AX3731" s="13"/>
      <c r="AY3731" s="13"/>
    </row>
    <row r="3732" spans="1:51" x14ac:dyDescent="0.25">
      <c r="A3732" t="s">
        <v>4180</v>
      </c>
      <c r="B3732" s="2" t="str">
        <f t="shared" si="3309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3341"/>
        <v>e</v>
      </c>
      <c r="N3732" t="str">
        <f t="shared" si="3342"/>
        <v>11/2</v>
      </c>
      <c r="O3732">
        <v>64235.61</v>
      </c>
      <c r="P3732" t="str">
        <f t="shared" si="3343"/>
        <v>o</v>
      </c>
      <c r="Q3732" t="str">
        <f t="shared" si="3344"/>
        <v>9/2</v>
      </c>
      <c r="R3732">
        <v>34</v>
      </c>
      <c r="AA3732" s="10">
        <f t="shared" si="3310"/>
        <v>2353.3409999999999</v>
      </c>
      <c r="AB3732" s="3">
        <f t="shared" si="3311"/>
        <v>42479.78</v>
      </c>
      <c r="AC3732" s="3" cm="1">
        <f t="array" ref="AC3732">100000000/LvacE(AA3732)</f>
        <v>42479.780471478996</v>
      </c>
      <c r="AD3732" s="10">
        <f t="shared" si="3312"/>
        <v>1.4025419705745789E-2</v>
      </c>
      <c r="AE3732" s="10" t="b">
        <f t="shared" si="3313"/>
        <v>1</v>
      </c>
      <c r="AJ3732" t="s">
        <v>4965</v>
      </c>
      <c r="AK3732" t="s">
        <v>4842</v>
      </c>
      <c r="AL3732">
        <v>21755.84</v>
      </c>
      <c r="AM3732">
        <v>64235.61</v>
      </c>
      <c r="AN3732" s="10" cm="1">
        <f t="array" ref="AN3732">Lair(100000000/($AM3732-$AL3732))</f>
        <v>2353.341584216364</v>
      </c>
      <c r="AO3732" s="10">
        <f t="shared" si="3345"/>
        <v>2354.0617098444741</v>
      </c>
      <c r="AP3732" s="12">
        <v>120000000</v>
      </c>
      <c r="AQ3732" s="3">
        <v>0.35299999999999998</v>
      </c>
      <c r="AR3732" s="3">
        <f t="shared" si="3346"/>
        <v>-7.923480295773583</v>
      </c>
      <c r="AS3732" s="13">
        <f t="shared" si="3347"/>
        <v>36.330073557022338</v>
      </c>
      <c r="AT3732" s="3">
        <f t="shared" si="3348"/>
        <v>2.2063515098021238</v>
      </c>
      <c r="AU3732" s="13" cm="1">
        <f t="array" ref="AU3732">$C3732*EXP(poly_from_str(100000000/$E3732,AU$4343))</f>
        <v>18.460337332523657</v>
      </c>
      <c r="AV3732" s="13">
        <f t="shared" si="3349"/>
        <v>0.67702136831309712</v>
      </c>
      <c r="AW3732" s="13"/>
      <c r="AX3732" s="13"/>
      <c r="AY3732" s="13"/>
    </row>
    <row r="3733" spans="1:51" x14ac:dyDescent="0.25">
      <c r="A3733" t="s">
        <v>4181</v>
      </c>
      <c r="B3733" s="2" t="str">
        <f t="shared" si="3309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3341"/>
        <v>e</v>
      </c>
      <c r="N3733" t="str">
        <f t="shared" si="3342"/>
        <v>5/2</v>
      </c>
      <c r="O3733">
        <v>66943.039999999994</v>
      </c>
      <c r="P3733" t="str">
        <f t="shared" si="3343"/>
        <v>o</v>
      </c>
      <c r="Q3733" t="str">
        <f t="shared" si="3344"/>
        <v>5/2</v>
      </c>
      <c r="R3733">
        <v>34</v>
      </c>
      <c r="AA3733" s="10">
        <f t="shared" si="3310"/>
        <v>2353.232</v>
      </c>
      <c r="AB3733" s="3">
        <f t="shared" si="3311"/>
        <v>42481.75</v>
      </c>
      <c r="AC3733" s="3" cm="1">
        <f t="array" ref="AC3733">100000000/LvacE(AA3733)</f>
        <v>42481.747941719244</v>
      </c>
      <c r="AD3733" s="10">
        <f t="shared" si="3312"/>
        <v>1.4026255792399397E-2</v>
      </c>
      <c r="AE3733" s="10" t="b">
        <f t="shared" si="3313"/>
        <v>1</v>
      </c>
      <c r="AJ3733" t="s">
        <v>4717</v>
      </c>
      <c r="AK3733" t="s">
        <v>4847</v>
      </c>
      <c r="AL3733">
        <v>24461.24</v>
      </c>
      <c r="AM3733">
        <v>66943.039999999994</v>
      </c>
      <c r="AN3733" s="10" cm="1">
        <f t="array" ref="AN3733">Lair(100000000/($AM3733-$AL3733))</f>
        <v>2353.2291201121884</v>
      </c>
      <c r="AO3733" s="10">
        <f t="shared" si="3345"/>
        <v>2353.9492206074137</v>
      </c>
      <c r="AP3733" s="12">
        <v>153000000</v>
      </c>
      <c r="AQ3733" s="3">
        <v>0.219</v>
      </c>
      <c r="AR3733" s="3">
        <f t="shared" si="3346"/>
        <v>-8.1661047301208356</v>
      </c>
      <c r="AS3733" s="13">
        <f t="shared" si="3347"/>
        <v>37.805552626978972</v>
      </c>
      <c r="AT3733" s="3">
        <f t="shared" si="3348"/>
        <v>2.2461616256112764</v>
      </c>
      <c r="AU3733" s="13" cm="1">
        <f t="array" ref="AU3733">$C3733*EXP(poly_from_str(100000000/$E3733,AU$4343))</f>
        <v>18.467160252136583</v>
      </c>
      <c r="AV3733" s="13">
        <f t="shared" si="3349"/>
        <v>0.71646195354818787</v>
      </c>
      <c r="AW3733" s="13"/>
      <c r="AX3733" s="13"/>
      <c r="AY3733" s="13"/>
    </row>
    <row r="3734" spans="1:51" x14ac:dyDescent="0.25">
      <c r="A3734" t="s">
        <v>4182</v>
      </c>
      <c r="B3734" s="2" t="str">
        <f t="shared" si="3309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3341"/>
        <v>e</v>
      </c>
      <c r="N3734" t="str">
        <f t="shared" si="3342"/>
        <v>13/2</v>
      </c>
      <c r="O3734">
        <v>79136.23</v>
      </c>
      <c r="P3734" t="str">
        <f t="shared" si="3343"/>
        <v>o</v>
      </c>
      <c r="Q3734" t="str">
        <f t="shared" si="3344"/>
        <v>13/2</v>
      </c>
      <c r="R3734">
        <v>34</v>
      </c>
      <c r="AA3734" s="10">
        <f t="shared" si="3310"/>
        <v>2352.5500000000002</v>
      </c>
      <c r="AB3734" s="3">
        <f t="shared" si="3311"/>
        <v>42494.06</v>
      </c>
      <c r="AC3734" s="3" cm="1">
        <f t="array" ref="AC3734">100000000/LvacE(AA3734)</f>
        <v>42494.062306738349</v>
      </c>
      <c r="AD3734" s="10">
        <f t="shared" si="3312"/>
        <v>1.4031489725348737E-2</v>
      </c>
      <c r="AE3734" s="10" t="b">
        <f t="shared" si="3313"/>
        <v>1</v>
      </c>
      <c r="AJ3734" t="s">
        <v>4793</v>
      </c>
      <c r="AK3734" t="s">
        <v>4865</v>
      </c>
      <c r="AL3734">
        <v>36642.129999999997</v>
      </c>
      <c r="AM3734">
        <v>79136.23</v>
      </c>
      <c r="AN3734" s="10" cm="1">
        <f t="array" ref="AN3734">Lair(100000000/($AM3734-$AL3734))</f>
        <v>2352.5479171378524</v>
      </c>
      <c r="AO3734" s="10">
        <f t="shared" si="3345"/>
        <v>2353.2678654213173</v>
      </c>
      <c r="AP3734" s="12">
        <v>580000000</v>
      </c>
      <c r="AQ3734" s="3">
        <v>0.51200000000000001</v>
      </c>
      <c r="AR3734" s="3">
        <f t="shared" si="3346"/>
        <v>-9.2735227831830702</v>
      </c>
      <c r="AS3734" s="13">
        <f t="shared" si="3347"/>
        <v>57.413315890622748</v>
      </c>
      <c r="AT3734" s="3">
        <f t="shared" si="3348"/>
        <v>2.4408383481444473</v>
      </c>
      <c r="AU3734" s="13" cm="1">
        <f t="array" ref="AU3734">$C3734*EXP(poly_from_str(100000000/$E3734,AU$4343))</f>
        <v>23.137522633481606</v>
      </c>
      <c r="AV3734" s="13">
        <f t="shared" si="3349"/>
        <v>0.90882060446302537</v>
      </c>
      <c r="AW3734" s="13"/>
      <c r="AX3734" s="13"/>
      <c r="AY3734" s="13"/>
    </row>
    <row r="3735" spans="1:51" x14ac:dyDescent="0.25">
      <c r="A3735" t="s">
        <v>4183</v>
      </c>
      <c r="B3735" s="2" t="str">
        <f t="shared" si="3309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3341"/>
        <v>e</v>
      </c>
      <c r="N3735" t="str">
        <f t="shared" si="3342"/>
        <v>9/2</v>
      </c>
      <c r="O3735">
        <v>71385.600000000006</v>
      </c>
      <c r="P3735" t="str">
        <f t="shared" si="3343"/>
        <v>o</v>
      </c>
      <c r="Q3735" t="str">
        <f t="shared" si="3344"/>
        <v>7/2</v>
      </c>
      <c r="R3735">
        <v>34</v>
      </c>
      <c r="AA3735" s="10">
        <f t="shared" si="3310"/>
        <v>2352.1950000000002</v>
      </c>
      <c r="AB3735" s="3">
        <f t="shared" si="3311"/>
        <v>42500.47</v>
      </c>
      <c r="AC3735" s="3" cm="1">
        <f t="array" ref="AC3735">100000000/LvacE(AA3735)</f>
        <v>42500.475102251425</v>
      </c>
      <c r="AD3735" s="10">
        <f t="shared" si="3312"/>
        <v>1.4034215934956802E-2</v>
      </c>
      <c r="AE3735" s="10" t="b">
        <f t="shared" si="3313"/>
        <v>1</v>
      </c>
      <c r="AJ3735" t="s">
        <v>4742</v>
      </c>
      <c r="AK3735" t="s">
        <v>4874</v>
      </c>
      <c r="AL3735">
        <v>28885.14</v>
      </c>
      <c r="AM3735">
        <v>71385.600000000006</v>
      </c>
      <c r="AN3735" s="10" cm="1">
        <f t="array" ref="AN3735">Lair(100000000/($AM3735-$AL3735))</f>
        <v>2352.1958399914065</v>
      </c>
      <c r="AO3735" s="10">
        <f t="shared" si="3345"/>
        <v>2352.9157096182016</v>
      </c>
      <c r="AU3735" s="13" cm="1">
        <f t="array" ref="AU3735">$C3735*EXP(poly_from_str(100000000/$E3735,AU$4343))</f>
        <v>13.8993660244663</v>
      </c>
    </row>
    <row r="3736" spans="1:51" x14ac:dyDescent="0.25">
      <c r="A3736" t="s">
        <v>4184</v>
      </c>
      <c r="B3736" s="2" t="str">
        <f t="shared" si="3309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3341"/>
        <v>e</v>
      </c>
      <c r="N3736" t="str">
        <f t="shared" si="3342"/>
        <v>9/2</v>
      </c>
      <c r="O3736">
        <v>60166.2</v>
      </c>
      <c r="P3736" t="str">
        <f t="shared" si="3343"/>
        <v>o</v>
      </c>
      <c r="Q3736" t="str">
        <f t="shared" si="3344"/>
        <v>9/2</v>
      </c>
      <c r="R3736">
        <v>34</v>
      </c>
      <c r="AA3736" s="10">
        <f t="shared" si="3310"/>
        <v>2350.0549999999998</v>
      </c>
      <c r="AB3736" s="3">
        <f t="shared" si="3311"/>
        <v>42539.17</v>
      </c>
      <c r="AC3736" s="3" cm="1">
        <f t="array" ref="AC3736">100000000/LvacE(AA3736)</f>
        <v>42539.173552191867</v>
      </c>
      <c r="AD3736" s="10">
        <f t="shared" si="3312"/>
        <v>1.4050676165492271E-2</v>
      </c>
      <c r="AE3736" s="10" t="b">
        <f t="shared" si="3313"/>
        <v>1</v>
      </c>
      <c r="AJ3736" t="s">
        <v>4820</v>
      </c>
      <c r="AK3736" t="s">
        <v>4726</v>
      </c>
      <c r="AL3736">
        <v>17627</v>
      </c>
      <c r="AM3736">
        <v>60166.2</v>
      </c>
      <c r="AN3736" s="10" cm="1">
        <f t="array" ref="AN3736">Lair(100000000/($AM3736-$AL3736))</f>
        <v>2350.0535429218357</v>
      </c>
      <c r="AO3736" s="10">
        <f t="shared" si="3345"/>
        <v>2350.7729341407457</v>
      </c>
      <c r="AP3736" s="12">
        <v>1020000000</v>
      </c>
      <c r="AQ3736" s="3">
        <v>0.56499999999999995</v>
      </c>
      <c r="AR3736" s="3">
        <f>LN(AU3736*100000000/($AM3736-$AL3736)/AP3736)</f>
        <v>-9.2426988495439364</v>
      </c>
      <c r="AS3736" s="13">
        <f>EXP(AR$4341*$AM3736+AR$4342)*$AP3736/(100000000/($AM3736-$AL3736))</f>
        <v>419.68570541943842</v>
      </c>
      <c r="AT3736" s="3">
        <f>LN(AS3736/$C3736)</f>
        <v>3.8422815333797922</v>
      </c>
      <c r="AU3736" s="13" cm="1">
        <f t="array" ref="AU3736">$C3736*EXP(poly_from_str(100000000/$E3736,AU$4343))</f>
        <v>42.008423323399619</v>
      </c>
      <c r="AV3736" s="13">
        <f>LN(AS3736/AU3736)</f>
        <v>2.3016359572221345</v>
      </c>
      <c r="AW3736" s="13"/>
      <c r="AX3736" s="13"/>
      <c r="AY3736" s="13"/>
    </row>
    <row r="3737" spans="1:51" x14ac:dyDescent="0.25">
      <c r="A3737" t="s">
        <v>4185</v>
      </c>
      <c r="B3737" s="2" t="str">
        <f t="shared" si="3309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3310"/>
        <v>2349.6309999999999</v>
      </c>
      <c r="AB3737" s="3">
        <f t="shared" si="3311"/>
        <v>42546.85</v>
      </c>
      <c r="AC3737" s="3" cm="1">
        <f t="array" ref="AC3737">100000000/LvacE(AA3737)</f>
        <v>42546.849274095774</v>
      </c>
      <c r="AD3737" s="10">
        <f t="shared" si="3312"/>
        <v>1.4053942783802176E-2</v>
      </c>
      <c r="AE3737" s="10" t="b">
        <f t="shared" si="3313"/>
        <v>1</v>
      </c>
      <c r="AP3737"/>
      <c r="AQ3737"/>
      <c r="AU3737" s="13" cm="1">
        <f t="array" ref="AU3737">$C3737*EXP(poly_from_str(100000000/$E3737,AU$4343))</f>
        <v>14.023686451630805</v>
      </c>
    </row>
    <row r="3738" spans="1:51" x14ac:dyDescent="0.25">
      <c r="A3738" t="s">
        <v>4186</v>
      </c>
      <c r="B3738" s="2" t="str">
        <f t="shared" si="3309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3310"/>
        <v>2348.7860000000001</v>
      </c>
      <c r="AB3738" s="3">
        <f t="shared" si="3311"/>
        <v>42562.15</v>
      </c>
      <c r="AC3738" s="3" cm="1">
        <f t="array" ref="AC3738">100000000/LvacE(AA3738)</f>
        <v>42562.154671865363</v>
      </c>
      <c r="AD3738" s="10">
        <f t="shared" si="3312"/>
        <v>1.406045818390125E-2</v>
      </c>
      <c r="AE3738" s="10" t="b">
        <f t="shared" si="3313"/>
        <v>1</v>
      </c>
      <c r="AJ3738" t="s">
        <v>4849</v>
      </c>
      <c r="AK3738" t="s">
        <v>4846</v>
      </c>
      <c r="AL3738">
        <v>60419.73</v>
      </c>
      <c r="AM3738">
        <v>102981.94</v>
      </c>
      <c r="AN3738" s="10" cm="1">
        <f t="array" ref="AN3738">Lair(100000000/($AM3738-$AL3738))</f>
        <v>2348.7829506445146</v>
      </c>
      <c r="AO3738" s="10">
        <f>100000000/($AM3738-$AL3738)</f>
        <v>2349.5020582812781</v>
      </c>
      <c r="AP3738" s="12">
        <v>5310000000</v>
      </c>
      <c r="AQ3738" s="3">
        <v>0.60899999999999999</v>
      </c>
      <c r="AR3738" s="3">
        <f>LN(AU3738*100000000/($AM3738-$AL3738)/AP3738)</f>
        <v>-11.699482510880122</v>
      </c>
      <c r="AS3738" s="13">
        <f>EXP(AR$4341*$AM3738+AR$4342)*$AP3738/(100000000/($AM3738-$AL3738))</f>
        <v>87.939891174833335</v>
      </c>
      <c r="AT3738" s="3">
        <f>LN(AS3738/$C3738)</f>
        <v>3.0903591651386413</v>
      </c>
      <c r="AU3738" s="13" cm="1">
        <f t="array" ref="AU3738">$C3738*EXP(poly_from_str(100000000/$E3738,AU$4343))</f>
        <v>18.754176358371314</v>
      </c>
      <c r="AV3738" s="13">
        <f>LN(AS3738/AU3738)</f>
        <v>1.5452370595316485</v>
      </c>
      <c r="AW3738" s="13"/>
      <c r="AX3738" s="13"/>
      <c r="AY3738" s="13"/>
    </row>
    <row r="3739" spans="1:51" x14ac:dyDescent="0.25">
      <c r="A3739" t="s">
        <v>4187</v>
      </c>
      <c r="B3739" s="2" t="str">
        <f t="shared" si="3309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3310"/>
        <v>2348.6640000000002</v>
      </c>
      <c r="AB3739" s="3">
        <f t="shared" si="3311"/>
        <v>42564.36</v>
      </c>
      <c r="AC3739" s="3" cm="1">
        <f t="array" ref="AC3739">100000000/LvacE(AA3739)</f>
        <v>42564.365354931622</v>
      </c>
      <c r="AD3739" s="10">
        <f t="shared" si="3312"/>
        <v>1.4061399449842894E-2</v>
      </c>
      <c r="AE3739" s="10" t="b">
        <f t="shared" si="3313"/>
        <v>1</v>
      </c>
      <c r="AP3739"/>
      <c r="AQ3739"/>
      <c r="AU3739" s="13" cm="1">
        <f t="array" ref="AU3739">$C3739*EXP(poly_from_str(100000000/$E3739,AU$4343))</f>
        <v>9.3811533667719385</v>
      </c>
    </row>
    <row r="3740" spans="1:51" x14ac:dyDescent="0.25">
      <c r="A3740" t="s">
        <v>4188</v>
      </c>
      <c r="B3740" s="2" t="str">
        <f t="shared" si="3309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3310"/>
        <v>2347.3409999999999</v>
      </c>
      <c r="AB3740" s="3">
        <f t="shared" si="3311"/>
        <v>42588.35</v>
      </c>
      <c r="AC3740" s="3" cm="1">
        <f t="array" ref="AC3740">100000000/LvacE(AA3740)</f>
        <v>42588.353337117245</v>
      </c>
      <c r="AD3740" s="10">
        <f t="shared" si="3312"/>
        <v>1.4071616211091029E-2</v>
      </c>
      <c r="AE3740" s="10" t="b">
        <f t="shared" si="3313"/>
        <v>1</v>
      </c>
      <c r="AP3740"/>
      <c r="AQ3740"/>
      <c r="AU3740" s="13" cm="1">
        <f t="array" ref="AU3740">$C3740*EXP(poly_from_str(100000000/$E3740,AU$4343))</f>
        <v>9.4257078973786168</v>
      </c>
    </row>
    <row r="3741" spans="1:51" x14ac:dyDescent="0.25">
      <c r="A3741" t="s">
        <v>4189</v>
      </c>
      <c r="B3741" s="2" t="str">
        <f t="shared" si="3309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3350">$G3741&amp;""</f>
        <v>e</v>
      </c>
      <c r="N3741" t="str">
        <f t="shared" ref="N3741:N3744" si="3351">$H3741&amp;""</f>
        <v>3/2</v>
      </c>
      <c r="O3741">
        <v>71536.38</v>
      </c>
      <c r="P3741" t="str">
        <f t="shared" ref="P3741:P3744" si="3352">$J3741&amp;""</f>
        <v>o</v>
      </c>
      <c r="Q3741" t="str">
        <f t="shared" ref="Q3741:Q3744" si="3353">$K3741&amp;""</f>
        <v>5/2</v>
      </c>
      <c r="R3741">
        <v>34</v>
      </c>
      <c r="AA3741" s="10">
        <f t="shared" si="3310"/>
        <v>2346.7049999999999</v>
      </c>
      <c r="AB3741" s="3">
        <f t="shared" si="3311"/>
        <v>42599.89</v>
      </c>
      <c r="AC3741" s="3" cm="1">
        <f t="array" ref="AC3741">100000000/LvacE(AA3741)</f>
        <v>42599.894599634063</v>
      </c>
      <c r="AD3741" s="10">
        <f t="shared" si="3312"/>
        <v>1.4076533820747403E-2</v>
      </c>
      <c r="AE3741" s="10" t="b">
        <f t="shared" si="3313"/>
        <v>1</v>
      </c>
      <c r="AJ3741" t="s">
        <v>4801</v>
      </c>
      <c r="AK3741" t="s">
        <v>4860</v>
      </c>
      <c r="AL3741">
        <v>28936.46</v>
      </c>
      <c r="AM3741">
        <v>71536.38</v>
      </c>
      <c r="AN3741" s="10" cm="1">
        <f t="array" ref="AN3741">Lair(100000000/($AM3741-$AL3741))</f>
        <v>2346.7036048711875</v>
      </c>
      <c r="AO3741" s="10">
        <f t="shared" ref="AO3741:AO3744" si="3354">100000000/($AM3741-$AL3741)</f>
        <v>2347.4222486802787</v>
      </c>
      <c r="AP3741" s="12">
        <v>753000000</v>
      </c>
      <c r="AQ3741" s="3">
        <v>0.82199999999999995</v>
      </c>
      <c r="AR3741" s="3">
        <f t="shared" ref="AR3741:AR3744" si="3355">LN(AU3741*100000000/($AM3741-$AL3741)/AP3741)</f>
        <v>-9.5164701982351065</v>
      </c>
      <c r="AS3741" s="13">
        <f t="shared" ref="AS3741:AS3744" si="3356">EXP(AR$4341*$AM3741+AR$4342)*$AP3741/(100000000/($AM3741-$AL3741))</f>
        <v>132.17735714993205</v>
      </c>
      <c r="AT3741" s="3">
        <f t="shared" ref="AT3741:AT3744" si="3357">LN(AS3741/$C3741)</f>
        <v>3.2747067230818838</v>
      </c>
      <c r="AU3741" s="13" cm="1">
        <f t="array" ref="AU3741">$C3741*EXP(poly_from_str(100000000/$E3741,AU$4343))</f>
        <v>23.618551834380796</v>
      </c>
      <c r="AV3741" s="13">
        <f t="shared" ref="AV3741:AV3744" si="3358">LN(AS3741/AU3741)</f>
        <v>1.7221121376178625</v>
      </c>
      <c r="AW3741" s="13"/>
      <c r="AX3741" s="13"/>
      <c r="AY3741" s="13"/>
    </row>
    <row r="3742" spans="1:51" x14ac:dyDescent="0.25">
      <c r="A3742" t="s">
        <v>4190</v>
      </c>
      <c r="B3742" s="2" t="str">
        <f t="shared" si="3309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3350"/>
        <v>o</v>
      </c>
      <c r="N3742" t="str">
        <f t="shared" si="3351"/>
        <v>9/2</v>
      </c>
      <c r="O3742">
        <v>100788.95</v>
      </c>
      <c r="P3742" t="str">
        <f t="shared" si="3352"/>
        <v>e</v>
      </c>
      <c r="Q3742" t="str">
        <f t="shared" si="3353"/>
        <v>7/2</v>
      </c>
      <c r="R3742">
        <v>34</v>
      </c>
      <c r="AA3742" s="10">
        <f t="shared" si="3310"/>
        <v>2345.886</v>
      </c>
      <c r="AB3742" s="3">
        <f t="shared" si="3311"/>
        <v>42614.77</v>
      </c>
      <c r="AC3742" s="3" cm="1">
        <f t="array" ref="AC3742">100000000/LvacE(AA3742)</f>
        <v>42614.765913531941</v>
      </c>
      <c r="AD3742" s="10">
        <f t="shared" si="3312"/>
        <v>1.4082872295058658E-2</v>
      </c>
      <c r="AE3742" s="10" t="b">
        <f t="shared" si="3313"/>
        <v>1</v>
      </c>
      <c r="AJ3742" t="s">
        <v>4698</v>
      </c>
      <c r="AK3742" t="s">
        <v>4873</v>
      </c>
      <c r="AL3742">
        <v>58174.15</v>
      </c>
      <c r="AM3742">
        <v>100788.95</v>
      </c>
      <c r="AN3742" s="10" cm="1">
        <f t="array" ref="AN3742">Lair(100000000/($AM3742-$AL3742))</f>
        <v>2345.8841276701792</v>
      </c>
      <c r="AO3742" s="10">
        <f t="shared" si="3354"/>
        <v>2346.6025887719761</v>
      </c>
      <c r="AP3742" s="12">
        <v>1350000000</v>
      </c>
      <c r="AQ3742" s="3">
        <v>0.68899999999999995</v>
      </c>
      <c r="AR3742" s="3">
        <f t="shared" si="3355"/>
        <v>-11.013916967220583</v>
      </c>
      <c r="AS3742" s="13">
        <f t="shared" si="3356"/>
        <v>26.389809129749359</v>
      </c>
      <c r="AT3742" s="3">
        <f t="shared" si="3357"/>
        <v>2.5798307372557461</v>
      </c>
      <c r="AU3742" s="13" cm="1">
        <f t="array" ref="AU3742">$C3742*EXP(poly_from_str(100000000/$E3742,AU$4343))</f>
        <v>9.4756903453891752</v>
      </c>
      <c r="AV3742" s="13">
        <f t="shared" si="3358"/>
        <v>1.0242483098296575</v>
      </c>
      <c r="AW3742" s="13"/>
      <c r="AX3742" s="13"/>
      <c r="AY3742" s="13"/>
    </row>
    <row r="3743" spans="1:51" x14ac:dyDescent="0.25">
      <c r="A3743" t="s">
        <v>4191</v>
      </c>
      <c r="B3743" s="2" t="str">
        <f t="shared" si="3309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3350"/>
        <v>e</v>
      </c>
      <c r="N3743" t="str">
        <f t="shared" si="3351"/>
        <v>3/2</v>
      </c>
      <c r="O3743">
        <v>66867.09</v>
      </c>
      <c r="P3743" t="str">
        <f t="shared" si="3352"/>
        <v>o</v>
      </c>
      <c r="Q3743" t="str">
        <f t="shared" si="3353"/>
        <v>3/2</v>
      </c>
      <c r="R3743">
        <v>34</v>
      </c>
      <c r="AA3743" s="10">
        <f t="shared" si="3310"/>
        <v>2345.7930000000001</v>
      </c>
      <c r="AB3743" s="3">
        <f t="shared" si="3311"/>
        <v>42616.45</v>
      </c>
      <c r="AC3743" s="3" cm="1">
        <f t="array" ref="AC3743">100000000/LvacE(AA3743)</f>
        <v>42616.455253943655</v>
      </c>
      <c r="AD3743" s="10">
        <f t="shared" si="3312"/>
        <v>1.4083592468291887E-2</v>
      </c>
      <c r="AE3743" s="10" t="b">
        <f t="shared" si="3313"/>
        <v>1</v>
      </c>
      <c r="AJ3743" t="s">
        <v>4710</v>
      </c>
      <c r="AK3743" t="s">
        <v>4867</v>
      </c>
      <c r="AL3743">
        <v>24250.62</v>
      </c>
      <c r="AM3743">
        <v>66867.09</v>
      </c>
      <c r="AN3743" s="10" cm="1">
        <f t="array" ref="AN3743">Lair(100000000/($AM3743-$AL3743))</f>
        <v>2345.7921924881653</v>
      </c>
      <c r="AO3743" s="10">
        <f t="shared" si="3354"/>
        <v>2346.5106330956082</v>
      </c>
      <c r="AP3743" s="12">
        <v>37600000</v>
      </c>
      <c r="AQ3743" s="3">
        <v>5.1999999999999998E-2</v>
      </c>
      <c r="AR3743" s="3">
        <f t="shared" si="3355"/>
        <v>-7.027296400146934</v>
      </c>
      <c r="AS3743" s="13">
        <f t="shared" si="3356"/>
        <v>9.3735038192408577</v>
      </c>
      <c r="AT3743" s="3">
        <f t="shared" si="3357"/>
        <v>1.1392746778378</v>
      </c>
      <c r="AU3743" s="13" cm="1">
        <f t="array" ref="AU3743">$C3743*EXP(poly_from_str(100000000/$E3743,AU$4343))</f>
        <v>14.218352241253838</v>
      </c>
      <c r="AV3743" s="13">
        <f t="shared" si="3358"/>
        <v>-0.41664657501253949</v>
      </c>
      <c r="AW3743" s="13"/>
      <c r="AX3743" s="13"/>
      <c r="AY3743" s="13"/>
    </row>
    <row r="3744" spans="1:51" x14ac:dyDescent="0.25">
      <c r="A3744" t="s">
        <v>4192</v>
      </c>
      <c r="B3744" s="2" t="str">
        <f t="shared" si="3309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3350"/>
        <v>o</v>
      </c>
      <c r="N3744" t="str">
        <f t="shared" si="3351"/>
        <v>7/2</v>
      </c>
      <c r="O3744">
        <v>100788.95</v>
      </c>
      <c r="P3744" t="str">
        <f t="shared" si="3352"/>
        <v>e</v>
      </c>
      <c r="Q3744" t="str">
        <f t="shared" si="3353"/>
        <v>7/2</v>
      </c>
      <c r="R3744">
        <v>34</v>
      </c>
      <c r="AA3744" s="10">
        <f t="shared" si="3310"/>
        <v>2345.0010000000002</v>
      </c>
      <c r="AB3744" s="3">
        <f t="shared" si="3311"/>
        <v>42630.85</v>
      </c>
      <c r="AC3744" s="3" cm="1">
        <f t="array" ref="AC3744">100000000/LvacE(AA3744)</f>
        <v>42630.847323435868</v>
      </c>
      <c r="AD3744" s="10">
        <f t="shared" si="3312"/>
        <v>1.4089729028566696E-2</v>
      </c>
      <c r="AE3744" s="10" t="b">
        <f t="shared" si="3313"/>
        <v>1</v>
      </c>
      <c r="AJ3744" t="s">
        <v>4902</v>
      </c>
      <c r="AK3744" t="s">
        <v>4873</v>
      </c>
      <c r="AL3744">
        <v>58158.080000000002</v>
      </c>
      <c r="AM3744">
        <v>100788.95</v>
      </c>
      <c r="AN3744" s="10" cm="1">
        <f t="array" ref="AN3744">Lair(100000000/($AM3744-$AL3744))</f>
        <v>2344.9997567850173</v>
      </c>
      <c r="AO3744" s="10">
        <f t="shared" si="3354"/>
        <v>2345.7180207675801</v>
      </c>
      <c r="AP3744" s="12">
        <v>3200000000</v>
      </c>
      <c r="AQ3744" s="3">
        <v>0.64800000000000002</v>
      </c>
      <c r="AR3744" s="3">
        <f t="shared" si="3355"/>
        <v>-11.180937554793363</v>
      </c>
      <c r="AS3744" s="13">
        <f t="shared" si="3356"/>
        <v>62.577210551307438</v>
      </c>
      <c r="AT3744" s="3">
        <f t="shared" si="3357"/>
        <v>2.7501068020031876</v>
      </c>
      <c r="AU3744" s="13" cm="1">
        <f t="array" ref="AU3744">$C3744*EXP(poly_from_str(100000000/$E3744,AU$4343))</f>
        <v>19.013177011724547</v>
      </c>
      <c r="AV3744" s="13">
        <f t="shared" si="3358"/>
        <v>1.1912688974024372</v>
      </c>
      <c r="AW3744" s="13"/>
      <c r="AX3744" s="13"/>
      <c r="AY3744" s="13"/>
    </row>
    <row r="3745" spans="1:51" x14ac:dyDescent="0.25">
      <c r="A3745" t="s">
        <v>4193</v>
      </c>
      <c r="B3745" s="2" t="str">
        <f t="shared" si="3309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3310"/>
        <v>2344.7570000000001</v>
      </c>
      <c r="AB3745" s="3">
        <f t="shared" si="3311"/>
        <v>42635.28</v>
      </c>
      <c r="AC3745" s="3" cm="1">
        <f t="array" ref="AC3745">100000000/LvacE(AA3745)</f>
        <v>42635.283202568207</v>
      </c>
      <c r="AD3745" s="10">
        <f t="shared" si="3312"/>
        <v>1.4091620838016093E-2</v>
      </c>
      <c r="AE3745" s="10" t="b">
        <f t="shared" si="3313"/>
        <v>1</v>
      </c>
      <c r="AP3745"/>
      <c r="AQ3745"/>
      <c r="AU3745" s="13" cm="1">
        <f t="array" ref="AU3745">$C3745*EXP(poly_from_str(100000000/$E3745,AU$4343))</f>
        <v>14.272747631212329</v>
      </c>
    </row>
    <row r="3746" spans="1:51" x14ac:dyDescent="0.25">
      <c r="A3746" t="s">
        <v>4194</v>
      </c>
      <c r="B3746" s="2" t="str">
        <f t="shared" si="3309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3310"/>
        <v>2344.4720000000002</v>
      </c>
      <c r="AB3746" s="3">
        <f t="shared" si="3311"/>
        <v>42640.47</v>
      </c>
      <c r="AC3746" s="3" cm="1">
        <f t="array" ref="AC3746">100000000/LvacE(AA3746)</f>
        <v>42640.465623715754</v>
      </c>
      <c r="AD3746" s="10">
        <f t="shared" si="3312"/>
        <v>1.4093831281353702E-2</v>
      </c>
      <c r="AE3746" s="10" t="b">
        <f t="shared" si="3313"/>
        <v>1</v>
      </c>
      <c r="AP3746"/>
      <c r="AQ3746"/>
      <c r="AU3746" s="13" cm="1">
        <f t="array" ref="AU3746">$C3746*EXP(poly_from_str(100000000/$E3746,AU$4343))</f>
        <v>14.287872841788719</v>
      </c>
    </row>
    <row r="3747" spans="1:51" x14ac:dyDescent="0.25">
      <c r="A3747" t="s">
        <v>4195</v>
      </c>
      <c r="B3747" s="2" t="str">
        <f t="shared" si="3309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3310"/>
        <v>2343.172</v>
      </c>
      <c r="AB3747" s="3">
        <f t="shared" si="3311"/>
        <v>42664.12</v>
      </c>
      <c r="AC3747" s="3" cm="1">
        <f t="array" ref="AC3747">100000000/LvacE(AA3747)</f>
        <v>42664.120725261113</v>
      </c>
      <c r="AD3747" s="10">
        <f t="shared" si="3312"/>
        <v>1.4103924237158245E-2</v>
      </c>
      <c r="AE3747" s="10" t="b">
        <f t="shared" si="3313"/>
        <v>1</v>
      </c>
      <c r="AP3747"/>
      <c r="AQ3747"/>
      <c r="AU3747" s="13" cm="1">
        <f t="array" ref="AU3747">$C3747*EXP(poly_from_str(100000000/$E3747,AU$4343))</f>
        <v>23.929216434507708</v>
      </c>
    </row>
    <row r="3748" spans="1:51" x14ac:dyDescent="0.25">
      <c r="A3748" t="s">
        <v>4196</v>
      </c>
      <c r="B3748" s="2" t="str">
        <f t="shared" si="3309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3310"/>
        <v>2342.3820000000001</v>
      </c>
      <c r="AB3748" s="3">
        <f t="shared" si="3311"/>
        <v>42678.51</v>
      </c>
      <c r="AC3748" s="3" cm="1">
        <f t="array" ref="AC3748">100000000/LvacE(AA3748)</f>
        <v>42678.508572473307</v>
      </c>
      <c r="AD3748" s="10">
        <f t="shared" si="3312"/>
        <v>1.4110065858701379E-2</v>
      </c>
      <c r="AE3748" s="10" t="b">
        <f t="shared" si="3313"/>
        <v>1</v>
      </c>
      <c r="AP3748"/>
      <c r="AQ3748"/>
      <c r="AU3748" s="13" cm="1">
        <f t="array" ref="AU3748">$C3748*EXP(poly_from_str(100000000/$E3748,AU$4343))</f>
        <v>4.8001695046630877</v>
      </c>
    </row>
    <row r="3749" spans="1:51" x14ac:dyDescent="0.25">
      <c r="A3749" t="s">
        <v>4197</v>
      </c>
      <c r="B3749" s="2" t="str">
        <f t="shared" si="3309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3310"/>
        <v>2341.6790000000001</v>
      </c>
      <c r="AB3749" s="3">
        <f t="shared" si="3311"/>
        <v>42691.32</v>
      </c>
      <c r="AC3749" s="3" cm="1">
        <f t="array" ref="AC3749">100000000/LvacE(AA3749)</f>
        <v>42691.320096963915</v>
      </c>
      <c r="AD3749" s="10">
        <f t="shared" si="3312"/>
        <v>1.4115536351686955E-2</v>
      </c>
      <c r="AE3749" s="10" t="b">
        <f t="shared" si="3313"/>
        <v>1</v>
      </c>
      <c r="AJ3749" t="s">
        <v>4736</v>
      </c>
      <c r="AK3749" t="s">
        <v>4879</v>
      </c>
      <c r="AL3749">
        <v>26446.97</v>
      </c>
      <c r="AM3749">
        <v>69138.28</v>
      </c>
      <c r="AN3749" s="10" cm="1">
        <f t="array" ref="AN3749">Lair(100000000/($AM3749-$AL3749))</f>
        <v>2341.6795582225609</v>
      </c>
      <c r="AO3749" s="10">
        <f>100000000/($AM3749-$AL3749)</f>
        <v>2342.3970826849772</v>
      </c>
      <c r="AP3749" s="12">
        <v>43700000</v>
      </c>
      <c r="AQ3749" s="3">
        <v>0.08</v>
      </c>
      <c r="AR3749" s="3">
        <f>LN(AU3749*100000000/($AM3749-$AL3749)/AP3749)</f>
        <v>-7.5694502835059891</v>
      </c>
      <c r="AS3749" s="13">
        <f>EXP(AR$4341*$AM3749+AR$4342)*$AP3749/(100000000/($AM3749-$AL3749))</f>
        <v>9.2030979033360367</v>
      </c>
      <c r="AT3749" s="3">
        <f>LN(AS3749/$C3749)</f>
        <v>1.5263929754381722</v>
      </c>
      <c r="AU3749" s="13" cm="1">
        <f t="array" ref="AU3749">$C3749*EXP(poly_from_str(100000000/$E3749,AU$4343))</f>
        <v>9.6261013368155144</v>
      </c>
      <c r="AV3749" s="13">
        <f>LN(AS3749/AU3749)</f>
        <v>-4.4938142233944045E-2</v>
      </c>
      <c r="AW3749" s="13"/>
      <c r="AX3749" s="13"/>
      <c r="AY3749" s="13"/>
    </row>
    <row r="3750" spans="1:51" x14ac:dyDescent="0.25">
      <c r="A3750" t="s">
        <v>4198</v>
      </c>
      <c r="B3750" s="2" t="str">
        <f t="shared" si="3309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3310"/>
        <v>2341.2779999999998</v>
      </c>
      <c r="AB3750" s="3">
        <f t="shared" si="3311"/>
        <v>42698.63</v>
      </c>
      <c r="AC3750" s="3" cm="1">
        <f t="array" ref="AC3750">100000000/LvacE(AA3750)</f>
        <v>42698.631396236364</v>
      </c>
      <c r="AD3750" s="10">
        <f t="shared" si="3312"/>
        <v>1.4118658996547264E-2</v>
      </c>
      <c r="AE3750" s="10" t="b">
        <f t="shared" si="3313"/>
        <v>1</v>
      </c>
      <c r="AP3750"/>
      <c r="AQ3750"/>
      <c r="AU3750" s="13" cm="1">
        <f t="array" ref="AU3750">$C3750*EXP(poly_from_str(100000000/$E3750,AU$4343))</f>
        <v>19.281823010535359</v>
      </c>
    </row>
    <row r="3751" spans="1:51" x14ac:dyDescent="0.25">
      <c r="A3751" t="s">
        <v>4199</v>
      </c>
      <c r="B3751" s="2" t="str">
        <f t="shared" si="3309"/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3310"/>
        <v>2340.6190000000001</v>
      </c>
      <c r="AB3751" s="3">
        <f t="shared" si="3311"/>
        <v>42710.65</v>
      </c>
      <c r="AC3751" s="3" cm="1">
        <f t="array" ref="AC3751">100000000/LvacE(AA3751)</f>
        <v>42710.652163930397</v>
      </c>
      <c r="AD3751" s="10">
        <f t="shared" si="3312"/>
        <v>1.4123794210832773E-2</v>
      </c>
      <c r="AE3751" s="10" t="b">
        <f t="shared" si="3313"/>
        <v>1</v>
      </c>
      <c r="AJ3751" t="s">
        <v>4700</v>
      </c>
      <c r="AK3751" t="s">
        <v>4716</v>
      </c>
      <c r="AL3751">
        <v>29267.86</v>
      </c>
      <c r="AM3751">
        <v>71978.52</v>
      </c>
      <c r="AN3751" s="10" cm="1">
        <f t="array" ref="AN3751">Lair(100000000/($AM3751-$AL3751))</f>
        <v>2340.6185749032461</v>
      </c>
      <c r="AO3751" s="10">
        <f>100000000/($AM3751-$AL3751)</f>
        <v>2341.3358632247778</v>
      </c>
      <c r="AP3751" s="12">
        <v>42700000</v>
      </c>
      <c r="AQ3751" s="3">
        <v>7.0999999999999994E-2</v>
      </c>
      <c r="AR3751" s="3">
        <f>LN(AU3751*100000000/($AM3751-$AL3751)/AP3751)</f>
        <v>-7.5426761513720928</v>
      </c>
      <c r="AS3751" s="13">
        <f>EXP(AR$4341*$AM3751+AR$4342)*$AP3751/(100000000/($AM3751-$AL3751))</f>
        <v>7.2695421820975525</v>
      </c>
      <c r="AT3751" s="3">
        <f>LN(AS3751/$C3751)</f>
        <v>1.290546135425886</v>
      </c>
      <c r="AU3751" s="13" cm="1">
        <f t="array" ref="AU3751">$C3751*EXP(poly_from_str(100000000/$E3751,AU$4343))</f>
        <v>9.6654377086280245</v>
      </c>
      <c r="AV3751" s="13">
        <f>LN(AS3751/AU3751)</f>
        <v>-0.28486308366016877</v>
      </c>
      <c r="AW3751" s="13"/>
      <c r="AX3751" s="13"/>
      <c r="AY3751" s="13"/>
    </row>
    <row r="3752" spans="1:51" x14ac:dyDescent="0.25">
      <c r="A3752" t="s">
        <v>4200</v>
      </c>
      <c r="B3752" s="2" t="str">
        <f t="shared" si="3309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3310"/>
        <v>2339.8449999999998</v>
      </c>
      <c r="AB3752" s="3">
        <f t="shared" si="3311"/>
        <v>42724.78</v>
      </c>
      <c r="AC3752" s="3" cm="1">
        <f t="array" ref="AC3752">100000000/LvacE(AA3752)</f>
        <v>42724.77928280468</v>
      </c>
      <c r="AD3752" s="10">
        <f t="shared" si="3312"/>
        <v>1.4129831096248831E-2</v>
      </c>
      <c r="AE3752" s="10" t="b">
        <f t="shared" si="3313"/>
        <v>1</v>
      </c>
      <c r="AP3752"/>
      <c r="AQ3752"/>
      <c r="AU3752" s="13" cm="1">
        <f t="array" ref="AU3752">$C3752*EXP(poly_from_str(100000000/$E3752,AU$4343))</f>
        <v>14.541821261024339</v>
      </c>
    </row>
    <row r="3753" spans="1:51" x14ac:dyDescent="0.25">
      <c r="A3753" t="s">
        <v>4201</v>
      </c>
      <c r="B3753" s="2" t="str">
        <f t="shared" si="3309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3359">$G3753&amp;""</f>
        <v>e</v>
      </c>
      <c r="N3753" t="str">
        <f t="shared" ref="N3753:N3755" si="3360">$H3753&amp;""</f>
        <v>7/2</v>
      </c>
      <c r="O3753">
        <v>79366.649999999994</v>
      </c>
      <c r="P3753" t="str">
        <f t="shared" ref="P3753:P3755" si="3361">$J3753&amp;""</f>
        <v>o</v>
      </c>
      <c r="Q3753" t="str">
        <f t="shared" ref="Q3753:Q3755" si="3362">$K3753&amp;""</f>
        <v>5/2</v>
      </c>
      <c r="R3753">
        <v>34</v>
      </c>
      <c r="AA3753" s="10">
        <f t="shared" si="3310"/>
        <v>2339.7640000000001</v>
      </c>
      <c r="AB3753" s="3">
        <f t="shared" si="3311"/>
        <v>42726.26</v>
      </c>
      <c r="AC3753" s="3" cm="1">
        <f t="array" ref="AC3753">100000000/LvacE(AA3753)</f>
        <v>42726.258242374402</v>
      </c>
      <c r="AD3753" s="10">
        <f t="shared" si="3312"/>
        <v>1.4130463209617382E-2</v>
      </c>
      <c r="AE3753" s="10" t="b">
        <f t="shared" si="3313"/>
        <v>1</v>
      </c>
      <c r="AJ3753" t="s">
        <v>4805</v>
      </c>
      <c r="AK3753" t="s">
        <v>4859</v>
      </c>
      <c r="AL3753">
        <v>36640.379999999997</v>
      </c>
      <c r="AM3753">
        <v>79366.649999999994</v>
      </c>
      <c r="AN3753" s="10" cm="1">
        <f t="array" ref="AN3753">Lair(100000000/($AM3753-$AL3753))</f>
        <v>2339.7633604689868</v>
      </c>
      <c r="AO3753" s="10">
        <f t="shared" ref="AO3753:AO3755" si="3363">100000000/($AM3753-$AL3753)</f>
        <v>2340.4804585094839</v>
      </c>
      <c r="AP3753" s="12">
        <v>882000000</v>
      </c>
      <c r="AQ3753" s="3">
        <v>0.70699999999999996</v>
      </c>
      <c r="AR3753" s="3">
        <f t="shared" ref="AR3753:AR3755" si="3364">LN(AU3753*100000000/($AM3753-$AL3753)/AP3753)</f>
        <v>-9.3149482546051967</v>
      </c>
      <c r="AS3753" s="13">
        <f t="shared" ref="AS3753:AS3755" si="3365">EXP(AR$4341*$AM3753+AR$4342)*$AP3753/(100000000/($AM3753-$AL3753))</f>
        <v>86.279898870638107</v>
      </c>
      <c r="AT3753" s="3">
        <f t="shared" ref="AT3753:AT3755" si="3366">LN(AS3753/$C3753)</f>
        <v>2.5116865003583038</v>
      </c>
      <c r="AU3753" s="13" cm="1">
        <f t="array" ref="AU3753">$C3753*EXP(poly_from_str(100000000/$E3753,AU$4343))</f>
        <v>33.941649121358893</v>
      </c>
      <c r="AV3753" s="13">
        <f t="shared" ref="AV3753:AV3755" si="3367">LN(AS3753/AU3753)</f>
        <v>0.93295380147272988</v>
      </c>
      <c r="AW3753" s="13"/>
      <c r="AX3753" s="13"/>
      <c r="AY3753" s="13"/>
    </row>
    <row r="3754" spans="1:51" x14ac:dyDescent="0.25">
      <c r="A3754" t="s">
        <v>4202</v>
      </c>
      <c r="B3754" s="2">
        <f t="shared" si="3309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3359"/>
        <v>e</v>
      </c>
      <c r="N3754" t="str">
        <f t="shared" si="3360"/>
        <v>7/2</v>
      </c>
      <c r="O3754">
        <v>61717.98</v>
      </c>
      <c r="P3754" t="str">
        <f t="shared" si="3361"/>
        <v>o</v>
      </c>
      <c r="Q3754" t="str">
        <f t="shared" si="3362"/>
        <v>5/2</v>
      </c>
      <c r="R3754">
        <v>35</v>
      </c>
      <c r="AA3754" s="10">
        <f t="shared" si="3310"/>
        <v>2339.6759999999999</v>
      </c>
      <c r="AB3754" s="3">
        <f t="shared" si="3311"/>
        <v>42727.86</v>
      </c>
      <c r="AC3754" s="3" cm="1">
        <f t="array" ref="AC3754">100000000/LvacE(AA3754)</f>
        <v>42727.865129305515</v>
      </c>
      <c r="AD3754" s="10">
        <f t="shared" si="3312"/>
        <v>1.4131150024470379E-2</v>
      </c>
      <c r="AE3754" s="10" t="b">
        <f t="shared" si="3313"/>
        <v>1</v>
      </c>
      <c r="AJ3754" t="s">
        <v>4968</v>
      </c>
      <c r="AK3754" t="s">
        <v>4880</v>
      </c>
      <c r="AL3754">
        <v>18990.080000000002</v>
      </c>
      <c r="AM3754">
        <v>61717.98</v>
      </c>
      <c r="AN3754" s="10" cm="1">
        <f t="array" ref="AN3754">Lair(100000000/($AM3754-$AL3754))</f>
        <v>2339.6740947981198</v>
      </c>
      <c r="AO3754" s="10">
        <f t="shared" si="3363"/>
        <v>2340.3911729806518</v>
      </c>
      <c r="AP3754" s="12">
        <v>344000000</v>
      </c>
      <c r="AQ3754" s="3">
        <v>0.42</v>
      </c>
      <c r="AR3754" s="3">
        <f t="shared" si="3364"/>
        <v>-8.1217793947170982</v>
      </c>
      <c r="AS3754" s="13">
        <f t="shared" si="3365"/>
        <v>126.54018170188689</v>
      </c>
      <c r="AT3754" s="3">
        <f t="shared" si="3366"/>
        <v>2.643335322305993</v>
      </c>
      <c r="AU3754" s="13" cm="1">
        <f t="array" ref="AU3754">$C3754*EXP(poly_from_str(100000000/$E3754,AU$4343))</f>
        <v>43.654198284884998</v>
      </c>
      <c r="AV3754" s="13">
        <f t="shared" si="3367"/>
        <v>1.0642604413428307</v>
      </c>
      <c r="AW3754" s="13"/>
      <c r="AX3754" s="13"/>
      <c r="AY3754" s="13"/>
    </row>
    <row r="3755" spans="1:51" x14ac:dyDescent="0.25">
      <c r="A3755" t="s">
        <v>4202</v>
      </c>
      <c r="B3755" s="2">
        <f t="shared" si="3309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3359"/>
        <v>e</v>
      </c>
      <c r="N3755" t="str">
        <f t="shared" si="3360"/>
        <v>5/2</v>
      </c>
      <c r="O3755">
        <v>63576.27</v>
      </c>
      <c r="P3755" t="str">
        <f t="shared" si="3361"/>
        <v>o</v>
      </c>
      <c r="Q3755" t="str">
        <f t="shared" si="3362"/>
        <v>5/2</v>
      </c>
      <c r="R3755">
        <v>35</v>
      </c>
      <c r="AA3755" s="10">
        <f t="shared" si="3310"/>
        <v>2339.6759999999999</v>
      </c>
      <c r="AB3755" s="3">
        <f t="shared" si="3311"/>
        <v>42727.86</v>
      </c>
      <c r="AC3755" s="3" cm="1">
        <f t="array" ref="AC3755">100000000/LvacE(AA3755)</f>
        <v>42727.865129305515</v>
      </c>
      <c r="AD3755" s="10">
        <f t="shared" si="3312"/>
        <v>1.4131150024470379E-2</v>
      </c>
      <c r="AE3755" s="10" t="b">
        <f t="shared" si="3313"/>
        <v>1</v>
      </c>
      <c r="AJ3755" t="s">
        <v>4800</v>
      </c>
      <c r="AK3755" t="s">
        <v>4843</v>
      </c>
      <c r="AL3755">
        <v>20848.39</v>
      </c>
      <c r="AM3755">
        <v>63576.27</v>
      </c>
      <c r="AN3755" s="10" cm="1">
        <f t="array" ref="AN3755">Lair(100000000/($AM3755-$AL3755))</f>
        <v>2339.6751900411582</v>
      </c>
      <c r="AO3755" s="10">
        <f t="shared" si="3363"/>
        <v>2340.3922684673335</v>
      </c>
      <c r="AP3755" s="12">
        <v>168000000</v>
      </c>
      <c r="AQ3755" s="3">
        <v>0.26400000000000001</v>
      </c>
      <c r="AR3755" s="3">
        <f t="shared" si="3364"/>
        <v>-7.4051012486686139</v>
      </c>
      <c r="AS3755" s="13">
        <f t="shared" si="3365"/>
        <v>53.754270239549825</v>
      </c>
      <c r="AT3755" s="3">
        <f t="shared" si="3366"/>
        <v>1.7871985328330673</v>
      </c>
      <c r="AU3755" s="13" cm="1">
        <f t="array" ref="AU3755">$C3755*EXP(poly_from_str(100000000/$E3755,AU$4343))</f>
        <v>43.654198284884998</v>
      </c>
      <c r="AV3755" s="13">
        <f t="shared" si="3367"/>
        <v>0.20812365186990495</v>
      </c>
      <c r="AW3755" s="13"/>
      <c r="AX3755" s="13"/>
      <c r="AY3755" s="13"/>
    </row>
    <row r="3756" spans="1:51" x14ac:dyDescent="0.25">
      <c r="A3756" t="s">
        <v>4203</v>
      </c>
      <c r="B3756" s="2" t="str">
        <f t="shared" si="3309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3310"/>
        <v>2339.37</v>
      </c>
      <c r="AB3756" s="3">
        <f t="shared" si="3311"/>
        <v>42733.45</v>
      </c>
      <c r="AC3756" s="3" cm="1">
        <f t="array" ref="AC3756">100000000/LvacE(AA3756)</f>
        <v>42733.45365431258</v>
      </c>
      <c r="AD3756" s="10">
        <f t="shared" si="3312"/>
        <v>1.4133538870360948E-2</v>
      </c>
      <c r="AE3756" s="10" t="b">
        <f t="shared" si="3313"/>
        <v>1</v>
      </c>
      <c r="AP3756"/>
      <c r="AQ3756"/>
      <c r="AU3756" s="13" cm="1">
        <f t="array" ref="AU3756">$C3756*EXP(poly_from_str(100000000/$E3756,AU$4343))</f>
        <v>4.8562795472460492</v>
      </c>
    </row>
    <row r="3757" spans="1:51" x14ac:dyDescent="0.25">
      <c r="A3757" t="s">
        <v>4204</v>
      </c>
      <c r="B3757" s="2" t="str">
        <f t="shared" si="3309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3310"/>
        <v>2339.201</v>
      </c>
      <c r="AB3757" s="3">
        <f t="shared" si="3311"/>
        <v>42736.54</v>
      </c>
      <c r="AC3757" s="3" cm="1">
        <f t="array" ref="AC3757">100000000/LvacE(AA3757)</f>
        <v>42736.540753906978</v>
      </c>
      <c r="AD3757" s="10">
        <f t="shared" si="3312"/>
        <v>1.4134858602126748E-2</v>
      </c>
      <c r="AE3757" s="10" t="b">
        <f t="shared" si="3313"/>
        <v>1</v>
      </c>
      <c r="AJ3757" t="s">
        <v>4790</v>
      </c>
      <c r="AK3757" t="s">
        <v>4882</v>
      </c>
      <c r="AL3757">
        <v>22080.94</v>
      </c>
      <c r="AM3757">
        <v>64817.53</v>
      </c>
      <c r="AN3757" s="10" cm="1">
        <f t="array" ref="AN3757">Lair(100000000/($AM3757-$AL3757))</f>
        <v>2339.198308677529</v>
      </c>
      <c r="AO3757" s="10">
        <f>100000000/($AM3757-$AL3757)</f>
        <v>2339.9152810273354</v>
      </c>
      <c r="AP3757" s="12">
        <v>67300000</v>
      </c>
      <c r="AQ3757" s="3">
        <v>0.114</v>
      </c>
      <c r="AR3757" s="3">
        <f>LN(AU3757*100000000/($AM3757-$AL3757)/AP3757)</f>
        <v>-7.5872523097336071</v>
      </c>
      <c r="AS3757" s="13">
        <f>EXP(AR$4341*$AM3757+AR$4342)*$AP3757/(100000000/($AM3757-$AL3757))</f>
        <v>19.622378078268831</v>
      </c>
      <c r="AT3757" s="3">
        <f>LN(AS3757/$C3757)</f>
        <v>1.8780583649676188</v>
      </c>
      <c r="AU3757" s="13" cm="1">
        <f t="array" ref="AU3757">$C3757*EXP(poly_from_str(100000000/$E3757,AU$4343))</f>
        <v>14.578509348388607</v>
      </c>
      <c r="AV3757" s="13">
        <f>LN(AS3757/AU3757)</f>
        <v>0.29712217176154759</v>
      </c>
      <c r="AW3757" s="13"/>
      <c r="AX3757" s="13"/>
      <c r="AY3757" s="13"/>
    </row>
    <row r="3758" spans="1:51" x14ac:dyDescent="0.25">
      <c r="A3758" t="s">
        <v>4205</v>
      </c>
      <c r="B3758" s="2" t="str">
        <f t="shared" si="3309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3310"/>
        <v>2338.9270000000001</v>
      </c>
      <c r="AB3758" s="3">
        <f t="shared" si="3311"/>
        <v>42741.55</v>
      </c>
      <c r="AC3758" s="3" cm="1">
        <f t="array" ref="AC3758">100000000/LvacE(AA3758)</f>
        <v>42741.546821780241</v>
      </c>
      <c r="AD3758" s="10">
        <f t="shared" si="3312"/>
        <v>1.4136998893462736E-2</v>
      </c>
      <c r="AE3758" s="10" t="b">
        <f t="shared" si="3313"/>
        <v>1</v>
      </c>
      <c r="AP3758"/>
      <c r="AQ3758"/>
      <c r="AU3758" s="13" cm="1">
        <f t="array" ref="AU3758">$C3758*EXP(poly_from_str(100000000/$E3758,AU$4343))</f>
        <v>9.7294905160266936</v>
      </c>
    </row>
    <row r="3759" spans="1:51" x14ac:dyDescent="0.25">
      <c r="A3759" t="s">
        <v>4206</v>
      </c>
      <c r="B3759" s="2" t="str">
        <f t="shared" si="3309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3310"/>
        <v>2338.605</v>
      </c>
      <c r="AB3759" s="3">
        <f t="shared" si="3311"/>
        <v>42747.43</v>
      </c>
      <c r="AC3759" s="3" cm="1">
        <f t="array" ref="AC3759">100000000/LvacE(AA3759)</f>
        <v>42747.431364097189</v>
      </c>
      <c r="AD3759" s="10">
        <f t="shared" si="3312"/>
        <v>1.4139515087861609E-2</v>
      </c>
      <c r="AE3759" s="10" t="b">
        <f t="shared" si="3313"/>
        <v>1</v>
      </c>
      <c r="AP3759"/>
      <c r="AQ3759"/>
      <c r="AU3759" s="13" cm="1">
        <f t="array" ref="AU3759">$C3759*EXP(poly_from_str(100000000/$E3759,AU$4343))</f>
        <v>14.612767140147191</v>
      </c>
    </row>
    <row r="3760" spans="1:51" x14ac:dyDescent="0.25">
      <c r="A3760" t="s">
        <v>4207</v>
      </c>
      <c r="B3760" s="2" t="str">
        <f t="shared" si="3309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3310"/>
        <v>2338.415</v>
      </c>
      <c r="AB3760" s="3">
        <f t="shared" si="3311"/>
        <v>42750.9</v>
      </c>
      <c r="AC3760" s="3" cm="1">
        <f t="array" ref="AC3760">100000000/LvacE(AA3760)</f>
        <v>42750.904369685872</v>
      </c>
      <c r="AD3760" s="10">
        <f t="shared" si="3312"/>
        <v>1.4141000286451693E-2</v>
      </c>
      <c r="AE3760" s="10" t="b">
        <f t="shared" si="3313"/>
        <v>1</v>
      </c>
      <c r="AP3760"/>
      <c r="AQ3760"/>
      <c r="AU3760" s="13" cm="1">
        <f t="array" ref="AU3760">$C3760*EXP(poly_from_str(100000000/$E3760,AU$4343))</f>
        <v>4.8745802663871762</v>
      </c>
    </row>
    <row r="3761" spans="1:51" x14ac:dyDescent="0.25">
      <c r="A3761" t="s">
        <v>4208</v>
      </c>
      <c r="B3761" s="2" t="str">
        <f t="shared" si="3309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3310"/>
        <v>2338.1849999999999</v>
      </c>
      <c r="AB3761" s="3">
        <f t="shared" si="3311"/>
        <v>42755.11</v>
      </c>
      <c r="AC3761" s="3" cm="1">
        <f t="array" ref="AC3761">100000000/LvacE(AA3761)</f>
        <v>42755.109289394117</v>
      </c>
      <c r="AD3761" s="10">
        <f t="shared" si="3312"/>
        <v>1.414279864283496E-2</v>
      </c>
      <c r="AE3761" s="10" t="b">
        <f t="shared" si="3313"/>
        <v>1</v>
      </c>
      <c r="AP3761"/>
      <c r="AQ3761"/>
      <c r="AU3761" s="13" cm="1">
        <f t="array" ref="AU3761">$C3761*EXP(poly_from_str(100000000/$E3761,AU$4343))</f>
        <v>14.637092291848955</v>
      </c>
    </row>
    <row r="3762" spans="1:51" x14ac:dyDescent="0.25">
      <c r="A3762" t="s">
        <v>4209</v>
      </c>
      <c r="B3762" s="2" t="str">
        <f t="shared" si="3309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3368">$G3762&amp;""</f>
        <v>e</v>
      </c>
      <c r="N3762" t="str">
        <f t="shared" ref="N3762:N3764" si="3369">$H3762&amp;""</f>
        <v>7/2</v>
      </c>
      <c r="O3762">
        <v>65295.9</v>
      </c>
      <c r="P3762" t="str">
        <f t="shared" ref="P3762:P3764" si="3370">$J3762&amp;""</f>
        <v>o</v>
      </c>
      <c r="Q3762" t="str">
        <f t="shared" ref="Q3762:Q3764" si="3371">$K3762&amp;""</f>
        <v>7/2</v>
      </c>
      <c r="R3762">
        <v>35</v>
      </c>
      <c r="AA3762" s="10">
        <f t="shared" si="3310"/>
        <v>2337.4720000000002</v>
      </c>
      <c r="AB3762" s="3">
        <f t="shared" si="3311"/>
        <v>42768.15</v>
      </c>
      <c r="AC3762" s="3" cm="1">
        <f t="array" ref="AC3762">100000000/LvacE(AA3762)</f>
        <v>42768.149798351711</v>
      </c>
      <c r="AD3762" s="10">
        <f t="shared" si="3312"/>
        <v>1.414837692138167E-2</v>
      </c>
      <c r="AE3762" s="10" t="b">
        <f t="shared" si="3313"/>
        <v>1</v>
      </c>
      <c r="AJ3762" t="s">
        <v>4799</v>
      </c>
      <c r="AK3762" t="s">
        <v>4825</v>
      </c>
      <c r="AL3762">
        <v>22527.7</v>
      </c>
      <c r="AM3762">
        <v>65295.9</v>
      </c>
      <c r="AN3762" s="10" cm="1">
        <f t="array" ref="AN3762">Lair(100000000/($AM3762-$AL3762))</f>
        <v>2337.4692604738575</v>
      </c>
      <c r="AO3762" s="10">
        <f t="shared" ref="AO3762:AO3764" si="3372">100000000/($AM3762-$AL3762)</f>
        <v>2338.1858483639717</v>
      </c>
      <c r="AP3762" s="12">
        <v>667000000</v>
      </c>
      <c r="AQ3762" s="3">
        <v>0.5</v>
      </c>
      <c r="AR3762" s="3">
        <f t="shared" ref="AR3762:AR3763" si="3373">LN(AU3762*100000000/($AM3762-$AL3762)/AP3762)</f>
        <v>-8.7761595285601643</v>
      </c>
      <c r="AS3762" s="13">
        <f t="shared" ref="AS3762:AS3763" si="3374">EXP(AR$4341*$AM3762+AR$4342)*$AP3762/(100000000/($AM3762-$AL3762))</f>
        <v>187.75533734780382</v>
      </c>
      <c r="AT3762" s="3">
        <f t="shared" ref="AT3762:AT3763" si="3375">LN(AS3762/$C3762)</f>
        <v>3.0379151408549774</v>
      </c>
      <c r="AU3762" s="13" cm="1">
        <f t="array" ref="AU3762">$C3762*EXP(poly_from_str(100000000/$E3762,AU$4343))</f>
        <v>44.036130563434568</v>
      </c>
      <c r="AV3762" s="13">
        <f t="shared" ref="AV3762:AV3763" si="3376">LN(AS3762/AU3762)</f>
        <v>1.4501292720624974</v>
      </c>
      <c r="AW3762" s="13"/>
      <c r="AX3762" s="13"/>
      <c r="AY3762" s="13"/>
    </row>
    <row r="3763" spans="1:51" x14ac:dyDescent="0.25">
      <c r="A3763" t="s">
        <v>4210</v>
      </c>
      <c r="B3763" s="2" t="str">
        <f t="shared" si="3309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3368"/>
        <v>e</v>
      </c>
      <c r="N3763" t="str">
        <f t="shared" si="3369"/>
        <v>7/2</v>
      </c>
      <c r="O3763">
        <v>67240.350000000006</v>
      </c>
      <c r="P3763" t="str">
        <f t="shared" si="3370"/>
        <v>o</v>
      </c>
      <c r="Q3763" t="str">
        <f t="shared" si="3371"/>
        <v>7/2</v>
      </c>
      <c r="R3763">
        <v>35</v>
      </c>
      <c r="S3763" t="s">
        <v>2205</v>
      </c>
      <c r="AA3763" s="10">
        <f t="shared" si="3310"/>
        <v>2337.4059999999999</v>
      </c>
      <c r="AB3763" s="3">
        <f t="shared" si="3311"/>
        <v>42769.36</v>
      </c>
      <c r="AC3763" s="3" cm="1">
        <f t="array" ref="AC3763">100000000/LvacE(AA3763)</f>
        <v>42769.357316419999</v>
      </c>
      <c r="AD3763" s="10">
        <f t="shared" si="3312"/>
        <v>1.4148893541904999E-2</v>
      </c>
      <c r="AE3763" s="10" t="b">
        <f t="shared" si="3313"/>
        <v>1</v>
      </c>
      <c r="AJ3763" t="s">
        <v>4747</v>
      </c>
      <c r="AK3763" t="s">
        <v>4852</v>
      </c>
      <c r="AL3763">
        <v>24470.9</v>
      </c>
      <c r="AM3763">
        <v>67240.350000000006</v>
      </c>
      <c r="AN3763" s="10" cm="1">
        <f t="array" ref="AN3763">Lair(100000000/($AM3763-$AL3763))</f>
        <v>2337.4009387447586</v>
      </c>
      <c r="AO3763" s="10">
        <f t="shared" si="3372"/>
        <v>2338.1175114480075</v>
      </c>
      <c r="AP3763" s="12">
        <v>265000000</v>
      </c>
      <c r="AQ3763" s="3">
        <v>0.46400000000000002</v>
      </c>
      <c r="AR3763" s="3">
        <f t="shared" si="3373"/>
        <v>-7.85286410253621</v>
      </c>
      <c r="AS3763" s="13">
        <f t="shared" si="3374"/>
        <v>64.468971942449954</v>
      </c>
      <c r="AT3763" s="3">
        <f t="shared" si="3375"/>
        <v>1.9689594755655402</v>
      </c>
      <c r="AU3763" s="13" cm="1">
        <f t="array" ref="AU3763">$C3763*EXP(poly_from_str(100000000/$E3763,AU$4343))</f>
        <v>44.047776708876285</v>
      </c>
      <c r="AV3763" s="13">
        <f t="shared" si="3376"/>
        <v>0.38090917378251243</v>
      </c>
      <c r="AW3763" s="13"/>
      <c r="AX3763" s="13"/>
      <c r="AY3763" s="13"/>
    </row>
    <row r="3764" spans="1:51" x14ac:dyDescent="0.25">
      <c r="A3764" t="s">
        <v>4211</v>
      </c>
      <c r="B3764" s="2" t="str">
        <f t="shared" si="3309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3368"/>
        <v>o</v>
      </c>
      <c r="N3764" t="str">
        <f t="shared" si="3369"/>
        <v>13/2</v>
      </c>
      <c r="O3764">
        <v>105450.18</v>
      </c>
      <c r="P3764" t="str">
        <f t="shared" si="3370"/>
        <v>e</v>
      </c>
      <c r="Q3764" t="str">
        <f t="shared" si="3371"/>
        <v>11/2</v>
      </c>
      <c r="R3764">
        <v>35</v>
      </c>
      <c r="AA3764" s="10">
        <f t="shared" si="3310"/>
        <v>2337.2950000000001</v>
      </c>
      <c r="AB3764" s="3">
        <f t="shared" si="3311"/>
        <v>42771.39</v>
      </c>
      <c r="AC3764" s="3" cm="1">
        <f t="array" ref="AC3764">100000000/LvacE(AA3764)</f>
        <v>42771.388296026882</v>
      </c>
      <c r="AD3764" s="10">
        <f t="shared" si="3312"/>
        <v>1.414976250238564E-2</v>
      </c>
      <c r="AE3764" s="10" t="b">
        <f t="shared" si="3313"/>
        <v>1</v>
      </c>
      <c r="AJ3764" t="s">
        <v>4888</v>
      </c>
      <c r="AK3764" t="s">
        <v>4883</v>
      </c>
      <c r="AL3764">
        <v>62678.7</v>
      </c>
      <c r="AM3764">
        <v>105450.18</v>
      </c>
      <c r="AN3764" s="10" cm="1">
        <f t="array" ref="AN3764">Lair(100000000/($AM3764-$AL3764))</f>
        <v>2337.2899927646654</v>
      </c>
      <c r="AO3764" s="10">
        <f t="shared" si="3372"/>
        <v>2338.0065408070986</v>
      </c>
      <c r="AU3764" s="13" cm="1">
        <f t="array" ref="AU3764">$C3764*EXP(poly_from_str(100000000/$E3764,AU$4343))</f>
        <v>9.7927419041811952</v>
      </c>
    </row>
    <row r="3765" spans="1:51" x14ac:dyDescent="0.25">
      <c r="A3765" t="s">
        <v>4212</v>
      </c>
      <c r="B3765" s="2" t="str">
        <f t="shared" si="3309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3310"/>
        <v>2337.0590000000002</v>
      </c>
      <c r="AB3765" s="3">
        <f t="shared" si="3311"/>
        <v>42775.71</v>
      </c>
      <c r="AC3765" s="3" cm="1">
        <f t="array" ref="AC3765">100000000/LvacE(AA3765)</f>
        <v>42775.70705586137</v>
      </c>
      <c r="AD3765" s="10">
        <f t="shared" si="3312"/>
        <v>1.4151610433425381E-2</v>
      </c>
      <c r="AE3765" s="10" t="b">
        <f t="shared" si="3313"/>
        <v>1</v>
      </c>
      <c r="AP3765"/>
      <c r="AQ3765"/>
      <c r="AU3765" s="13" cm="1">
        <f t="array" ref="AU3765">$C3765*EXP(poly_from_str(100000000/$E3765,AU$4343))</f>
        <v>9.8020144556609488</v>
      </c>
    </row>
    <row r="3766" spans="1:51" x14ac:dyDescent="0.25">
      <c r="A3766" t="s">
        <v>4213</v>
      </c>
      <c r="B3766" s="2" t="str">
        <f t="shared" si="3309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3377">$G3766&amp;""</f>
        <v>o</v>
      </c>
      <c r="N3766" t="str">
        <f t="shared" ref="N3766:N3767" si="3378">$H3766&amp;""</f>
        <v>11/2</v>
      </c>
      <c r="O3766">
        <v>105019.06</v>
      </c>
      <c r="P3766" t="str">
        <f t="shared" ref="P3766:P3767" si="3379">$J3766&amp;""</f>
        <v>e</v>
      </c>
      <c r="Q3766" t="str">
        <f t="shared" ref="Q3766:Q3767" si="3380">$K3766&amp;""</f>
        <v>13/2</v>
      </c>
      <c r="R3766">
        <v>35</v>
      </c>
      <c r="AA3766" s="10">
        <f t="shared" si="3310"/>
        <v>2336.9209999999998</v>
      </c>
      <c r="AB3766" s="3">
        <f t="shared" si="3311"/>
        <v>42778.23</v>
      </c>
      <c r="AC3766" s="3" cm="1">
        <f t="array" ref="AC3766">100000000/LvacE(AA3766)</f>
        <v>42778.232836464769</v>
      </c>
      <c r="AD3766" s="10">
        <f t="shared" si="3312"/>
        <v>1.4152691262662446E-2</v>
      </c>
      <c r="AE3766" s="10" t="b">
        <f t="shared" si="3313"/>
        <v>1</v>
      </c>
      <c r="AJ3766" t="s">
        <v>4892</v>
      </c>
      <c r="AK3766" t="s">
        <v>4855</v>
      </c>
      <c r="AL3766">
        <v>62240.83</v>
      </c>
      <c r="AM3766">
        <v>105019.06</v>
      </c>
      <c r="AN3766" s="10" cm="1">
        <f t="array" ref="AN3766">Lair(100000000/($AM3766-$AL3766))</f>
        <v>2336.9211594273511</v>
      </c>
      <c r="AO3766" s="10">
        <f t="shared" ref="AO3766:AO3767" si="3381">100000000/($AM3766-$AL3766)</f>
        <v>2337.6376254931542</v>
      </c>
      <c r="AU3766" s="13" cm="1">
        <f t="array" ref="AU3766">$C3766*EXP(poly_from_str(100000000/$E3766,AU$4343))</f>
        <v>9.807437060763359</v>
      </c>
    </row>
    <row r="3767" spans="1:51" x14ac:dyDescent="0.25">
      <c r="A3767" t="s">
        <v>4214</v>
      </c>
      <c r="B3767" s="2" t="str">
        <f t="shared" si="3309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3377"/>
        <v>e</v>
      </c>
      <c r="N3767" t="str">
        <f t="shared" si="3378"/>
        <v>9/2</v>
      </c>
      <c r="O3767">
        <v>60419.73</v>
      </c>
      <c r="P3767" t="str">
        <f t="shared" si="3379"/>
        <v>o</v>
      </c>
      <c r="Q3767" t="str">
        <f t="shared" si="3380"/>
        <v>11/2</v>
      </c>
      <c r="R3767">
        <v>35</v>
      </c>
      <c r="AA3767" s="10">
        <f t="shared" si="3310"/>
        <v>2336.1309999999999</v>
      </c>
      <c r="AB3767" s="3">
        <f t="shared" si="3311"/>
        <v>42792.7</v>
      </c>
      <c r="AC3767" s="3" cm="1">
        <f t="array" ref="AC3767">100000000/LvacE(AA3767)</f>
        <v>42792.697758015769</v>
      </c>
      <c r="AD3767" s="10">
        <f t="shared" si="3312"/>
        <v>1.4158882305404914E-2</v>
      </c>
      <c r="AE3767" s="10" t="b">
        <f t="shared" si="3313"/>
        <v>1</v>
      </c>
      <c r="AJ3767" t="s">
        <v>4820</v>
      </c>
      <c r="AK3767" t="s">
        <v>4849</v>
      </c>
      <c r="AL3767">
        <v>17627</v>
      </c>
      <c r="AM3767">
        <v>60419.73</v>
      </c>
      <c r="AN3767" s="10" cm="1">
        <f t="array" ref="AN3767">Lair(100000000/($AM3767-$AL3767))</f>
        <v>2336.129244185895</v>
      </c>
      <c r="AO3767" s="10">
        <f t="shared" si="3381"/>
        <v>2336.8455342764996</v>
      </c>
      <c r="AP3767" s="12">
        <v>331000000</v>
      </c>
      <c r="AQ3767" s="3">
        <v>0.5</v>
      </c>
      <c r="AR3767" s="3">
        <f>LN(AU3767*100000000/($AM3767-$AL3767)/AP3767)</f>
        <v>-7.965303156566347</v>
      </c>
      <c r="AS3767" s="13">
        <f>EXP(AR$4341*$AM3767+AR$4342)*$AP3767/(100000000/($AM3767-$AL3767))</f>
        <v>134.42174381791054</v>
      </c>
      <c r="AT3767" s="3">
        <f>LN(AS3767/$C3767)</f>
        <v>2.598397106368779</v>
      </c>
      <c r="AU3767" s="13" cm="1">
        <f t="array" ref="AU3767">$C3767*EXP(poly_from_str(100000000/$E3767,AU$4343))</f>
        <v>49.193846284216747</v>
      </c>
      <c r="AV3767" s="13">
        <f>LN(AS3767/AU3767)</f>
        <v>1.0052136592112075</v>
      </c>
      <c r="AW3767" s="13"/>
      <c r="AX3767" s="13"/>
      <c r="AY3767" s="13"/>
    </row>
    <row r="3768" spans="1:51" x14ac:dyDescent="0.25">
      <c r="A3768" t="s">
        <v>4215</v>
      </c>
      <c r="B3768" s="2" t="str">
        <f t="shared" si="3309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3310"/>
        <v>2335.9769999999999</v>
      </c>
      <c r="AB3768" s="3">
        <f t="shared" si="3311"/>
        <v>42795.519999999997</v>
      </c>
      <c r="AC3768" s="3" cm="1">
        <f t="array" ref="AC3768">100000000/LvacE(AA3768)</f>
        <v>42795.518641515097</v>
      </c>
      <c r="AD3768" s="10">
        <f t="shared" si="3312"/>
        <v>1.4160089898469699E-2</v>
      </c>
      <c r="AE3768" s="10" t="b">
        <f t="shared" si="3313"/>
        <v>1</v>
      </c>
      <c r="AP3768"/>
      <c r="AQ3768"/>
      <c r="AU3768" s="13" cm="1">
        <f t="array" ref="AU3768">$C3768*EXP(poly_from_str(100000000/$E3768,AU$4343))</f>
        <v>9.8449143790007074</v>
      </c>
    </row>
    <row r="3769" spans="1:51" x14ac:dyDescent="0.25">
      <c r="A3769" t="s">
        <v>4216</v>
      </c>
      <c r="B3769" s="2" t="str">
        <f t="shared" si="3309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3310"/>
        <v>2335.873</v>
      </c>
      <c r="AB3769" s="3">
        <f t="shared" si="3311"/>
        <v>42797.42</v>
      </c>
      <c r="AC3769" s="3" cm="1">
        <f t="array" ref="AC3769">100000000/LvacE(AA3769)</f>
        <v>42797.423864122618</v>
      </c>
      <c r="AD3769" s="10">
        <f t="shared" si="3312"/>
        <v>1.4160905550970156E-2</v>
      </c>
      <c r="AE3769" s="10" t="b">
        <f t="shared" si="3313"/>
        <v>1</v>
      </c>
      <c r="AJ3769" t="s">
        <v>4770</v>
      </c>
      <c r="AK3769" t="s">
        <v>4886</v>
      </c>
      <c r="AL3769">
        <v>35024.49</v>
      </c>
      <c r="AM3769">
        <v>77822</v>
      </c>
      <c r="AN3769" s="10" cm="1">
        <f t="array" ref="AN3769">Lair(100000000/($AM3769-$AL3769))</f>
        <v>2335.8683028252335</v>
      </c>
      <c r="AO3769" s="10">
        <f>100000000/($AM3769-$AL3769)</f>
        <v>2336.5845349414017</v>
      </c>
      <c r="AP3769" s="12">
        <v>302000000</v>
      </c>
      <c r="AQ3769" s="3">
        <v>0.35799999999999998</v>
      </c>
      <c r="AR3769" s="3">
        <f>LN(AU3769*100000000/($AM3769-$AL3769)/AP3769)</f>
        <v>-8.3835035327595193</v>
      </c>
      <c r="AS3769" s="13">
        <f>EXP(AR$4341*$AM3769+AR$4342)*$AP3769/(100000000/($AM3769-$AL3769))</f>
        <v>33.228852782289522</v>
      </c>
      <c r="AT3769" s="3">
        <f>LN(AS3769/$C3769)</f>
        <v>1.7116590889881635</v>
      </c>
      <c r="AU3769" s="13" cm="1">
        <f t="array" ref="AU3769">$C3769*EXP(poly_from_str(100000000/$E3769,AU$4343))</f>
        <v>29.547185705812744</v>
      </c>
      <c r="AV3769" s="13">
        <f>LN(AS3769/AU3769)</f>
        <v>0.11743005728154536</v>
      </c>
      <c r="AW3769" s="13"/>
      <c r="AX3769" s="13"/>
      <c r="AY3769" s="13"/>
    </row>
    <row r="3770" spans="1:51" x14ac:dyDescent="0.25">
      <c r="A3770" t="s">
        <v>4217</v>
      </c>
      <c r="B3770" s="2" t="str">
        <f t="shared" si="3309"/>
        <v/>
      </c>
      <c r="C3770">
        <v>1</v>
      </c>
      <c r="D3770" t="s">
        <v>1156</v>
      </c>
      <c r="E3770">
        <v>42819.4</v>
      </c>
      <c r="R3770">
        <v>35</v>
      </c>
      <c r="S3770" t="s">
        <v>22</v>
      </c>
      <c r="AA3770" s="10">
        <f t="shared" si="3310"/>
        <v>2334.674</v>
      </c>
      <c r="AB3770" s="3">
        <f t="shared" si="3311"/>
        <v>42819.4</v>
      </c>
      <c r="AC3770" s="3" cm="1">
        <f t="array" ref="AC3770">100000000/LvacE(AA3770)</f>
        <v>42819.401139163034</v>
      </c>
      <c r="AD3770" s="10">
        <f t="shared" si="3312"/>
        <v>1.4170316956278059E-2</v>
      </c>
      <c r="AE3770" s="10" t="b">
        <f t="shared" si="3313"/>
        <v>1</v>
      </c>
      <c r="AP3770"/>
      <c r="AQ3770"/>
      <c r="AU3770" s="13" cm="1">
        <f t="array" ref="AU3770">$C3770*EXP(poly_from_str(100000000/$E3770,AU$4343))</f>
        <v>4.9487329914263363</v>
      </c>
    </row>
    <row r="3771" spans="1:51" x14ac:dyDescent="0.25">
      <c r="A3771" t="s">
        <v>4218</v>
      </c>
      <c r="B3771" s="2" t="str">
        <f t="shared" si="3309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3382">$G3771&amp;""</f>
        <v>e</v>
      </c>
      <c r="N3771" t="str">
        <f t="shared" ref="N3771:N3772" si="3383">$H3771&amp;""</f>
        <v>3/2</v>
      </c>
      <c r="O3771">
        <v>83025.91</v>
      </c>
      <c r="P3771" t="str">
        <f t="shared" ref="P3771:P3772" si="3384">$J3771&amp;""</f>
        <v>o</v>
      </c>
      <c r="Q3771" t="str">
        <f t="shared" ref="Q3771:Q3772" si="3385">$K3771&amp;""</f>
        <v>3/2</v>
      </c>
      <c r="R3771">
        <v>35</v>
      </c>
      <c r="AA3771" s="10">
        <f t="shared" si="3310"/>
        <v>2334.6329999999998</v>
      </c>
      <c r="AB3771" s="3">
        <f t="shared" si="3311"/>
        <v>42820.15</v>
      </c>
      <c r="AC3771" s="3" cm="1">
        <f t="array" ref="AC3771">100000000/LvacE(AA3771)</f>
        <v>42820.153054742594</v>
      </c>
      <c r="AD3771" s="10">
        <f t="shared" si="3312"/>
        <v>1.41706390372154E-2</v>
      </c>
      <c r="AE3771" s="10" t="b">
        <f t="shared" si="3313"/>
        <v>1</v>
      </c>
      <c r="AJ3771" t="s">
        <v>4779</v>
      </c>
      <c r="AK3771" t="s">
        <v>4884</v>
      </c>
      <c r="AL3771">
        <v>40205.74</v>
      </c>
      <c r="AM3771">
        <v>83025.91</v>
      </c>
      <c r="AN3771" s="10" cm="1">
        <f t="array" ref="AN3771">Lair(100000000/($AM3771-$AL3771))</f>
        <v>2334.6320805549767</v>
      </c>
      <c r="AO3771" s="10">
        <f t="shared" ref="AO3771:AO3772" si="3386">100000000/($AM3771-$AL3771)</f>
        <v>2335.3480380857895</v>
      </c>
      <c r="AP3771" s="12">
        <v>143000000</v>
      </c>
      <c r="AQ3771" s="3">
        <v>0.35299999999999998</v>
      </c>
      <c r="AR3771" s="3">
        <f t="shared" ref="AR3771:AR3772" si="3387">LN(AU3771*100000000/($AM3771-$AL3771)/AP3771)</f>
        <v>-8.7299919532416546</v>
      </c>
      <c r="AS3771" s="13">
        <f t="shared" ref="AS3771:AS3772" si="3388">EXP(AR$4341*$AM3771+AR$4342)*$AP3771/(100000000/($AM3771-$AL3771))</f>
        <v>10.652865498001006</v>
      </c>
      <c r="AT3771" s="3">
        <f t="shared" ref="AT3771:AT3772" si="3389">LN(AS3771/$C3771)</f>
        <v>1.6726817362502759</v>
      </c>
      <c r="AU3771" s="13" cm="1">
        <f t="array" ref="AU3771">$C3771*EXP(poly_from_str(100000000/$E3771,AU$4343))</f>
        <v>9.8991314728152613</v>
      </c>
      <c r="AV3771" s="13">
        <f t="shared" ref="AV3771:AV3772" si="3390">LN(AS3771/AU3771)</f>
        <v>7.3381893536840617E-2</v>
      </c>
      <c r="AW3771" s="13"/>
      <c r="AX3771" s="13"/>
      <c r="AY3771" s="13"/>
    </row>
    <row r="3772" spans="1:51" x14ac:dyDescent="0.25">
      <c r="A3772" t="s">
        <v>4219</v>
      </c>
      <c r="B3772" s="2" t="str">
        <f t="shared" si="3309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3382"/>
        <v>e</v>
      </c>
      <c r="N3772" t="str">
        <f t="shared" si="3383"/>
        <v>9/2</v>
      </c>
      <c r="O3772">
        <v>67870.759999999995</v>
      </c>
      <c r="P3772" t="str">
        <f t="shared" si="3384"/>
        <v>o</v>
      </c>
      <c r="Q3772" t="str">
        <f t="shared" si="3385"/>
        <v>9/2</v>
      </c>
      <c r="R3772">
        <v>35</v>
      </c>
      <c r="AA3772" s="10">
        <f t="shared" si="3310"/>
        <v>2333.7260000000001</v>
      </c>
      <c r="AB3772" s="3">
        <f t="shared" si="3311"/>
        <v>42836.79</v>
      </c>
      <c r="AC3772" s="3" cm="1">
        <f t="array" ref="AC3772">100000000/LvacE(AA3772)</f>
        <v>42836.79365028668</v>
      </c>
      <c r="AD3772" s="10">
        <f t="shared" si="3312"/>
        <v>1.4177768437744338E-2</v>
      </c>
      <c r="AE3772" s="10" t="b">
        <f t="shared" si="3313"/>
        <v>1</v>
      </c>
      <c r="AJ3772" t="s">
        <v>4746</v>
      </c>
      <c r="AK3772" t="s">
        <v>4755</v>
      </c>
      <c r="AL3772">
        <v>25033.91</v>
      </c>
      <c r="AM3772">
        <v>67870.759999999995</v>
      </c>
      <c r="AN3772" s="10" cm="1">
        <f t="array" ref="AN3772">Lair(100000000/($AM3772-$AL3772))</f>
        <v>2333.722934383286</v>
      </c>
      <c r="AO3772" s="10">
        <f t="shared" si="3386"/>
        <v>2334.438690053074</v>
      </c>
      <c r="AP3772" s="12">
        <v>111000000</v>
      </c>
      <c r="AQ3772" s="3">
        <v>0.17499999999999999</v>
      </c>
      <c r="AR3772" s="3">
        <f t="shared" si="3387"/>
        <v>-7.5570264889663514</v>
      </c>
      <c r="AS3772" s="13">
        <f t="shared" si="3388"/>
        <v>25.796758670757189</v>
      </c>
      <c r="AT3772" s="3">
        <f t="shared" si="3389"/>
        <v>1.6408109386846075</v>
      </c>
      <c r="AU3772" s="13" cm="1">
        <f t="array" ref="AU3772">$C3772*EXP(poly_from_str(100000000/$E3772,AU$4343))</f>
        <v>24.840801394526704</v>
      </c>
      <c r="AV3772" s="13">
        <f t="shared" si="3390"/>
        <v>3.7761332314316262E-2</v>
      </c>
      <c r="AW3772" s="13"/>
      <c r="AX3772" s="13"/>
      <c r="AY3772" s="13"/>
    </row>
    <row r="3773" spans="1:51" x14ac:dyDescent="0.25">
      <c r="A3773" t="s">
        <v>4220</v>
      </c>
      <c r="B3773" s="2" t="str">
        <f t="shared" si="3309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3310"/>
        <v>2333.5610000000001</v>
      </c>
      <c r="AB3773" s="3">
        <f t="shared" si="3311"/>
        <v>42839.82</v>
      </c>
      <c r="AC3773" s="3" cm="1">
        <f t="array" ref="AC3773">100000000/LvacE(AA3773)</f>
        <v>42839.822271425706</v>
      </c>
      <c r="AD3773" s="10">
        <f t="shared" si="3312"/>
        <v>1.4179066300693599E-2</v>
      </c>
      <c r="AE3773" s="10" t="b">
        <f t="shared" si="3313"/>
        <v>1</v>
      </c>
      <c r="AP3773"/>
      <c r="AQ3773"/>
      <c r="AU3773" s="13" cm="1">
        <f t="array" ref="AU3773">$C3773*EXP(poly_from_str(100000000/$E3773,AU$4343))</f>
        <v>24.857853796352771</v>
      </c>
    </row>
    <row r="3774" spans="1:51" x14ac:dyDescent="0.25">
      <c r="A3774" t="s">
        <v>4221</v>
      </c>
      <c r="B3774" s="2" t="str">
        <f t="shared" si="3309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3310"/>
        <v>2333.4630000000002</v>
      </c>
      <c r="AB3774" s="3">
        <f t="shared" si="3311"/>
        <v>42841.62</v>
      </c>
      <c r="AC3774" s="3" cm="1">
        <f t="array" ref="AC3774">100000000/LvacE(AA3774)</f>
        <v>42841.621291535128</v>
      </c>
      <c r="AD3774" s="10">
        <f t="shared" si="3312"/>
        <v>1.4179837282942802E-2</v>
      </c>
      <c r="AE3774" s="10" t="b">
        <f t="shared" si="3313"/>
        <v>1</v>
      </c>
      <c r="AP3774"/>
      <c r="AQ3774"/>
      <c r="AU3774" s="13" cm="1">
        <f t="array" ref="AU3774">$C3774*EXP(poly_from_str(100000000/$E3774,AU$4343))</f>
        <v>14.920801174101271</v>
      </c>
    </row>
    <row r="3775" spans="1:51" x14ac:dyDescent="0.25">
      <c r="A3775" t="s">
        <v>4222</v>
      </c>
      <c r="B3775" s="2" t="str">
        <f t="shared" si="3309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3310"/>
        <v>2332.5859999999998</v>
      </c>
      <c r="AB3775" s="3">
        <f t="shared" si="3311"/>
        <v>42857.73</v>
      </c>
      <c r="AC3775" s="3" cm="1">
        <f t="array" ref="AC3775">100000000/LvacE(AA3775)</f>
        <v>42857.727414001885</v>
      </c>
      <c r="AD3775" s="10">
        <f t="shared" si="3312"/>
        <v>1.4186741113511332E-2</v>
      </c>
      <c r="AE3775" s="10" t="b">
        <f t="shared" si="3313"/>
        <v>1</v>
      </c>
      <c r="AJ3775" t="s">
        <v>4962</v>
      </c>
      <c r="AK3775" t="s">
        <v>4821</v>
      </c>
      <c r="AL3775">
        <v>19700.900000000001</v>
      </c>
      <c r="AM3775">
        <v>62558.67</v>
      </c>
      <c r="AN3775" s="10" cm="1">
        <f t="array" ref="AN3775">Lair(100000000/($AM3775-$AL3775))</f>
        <v>2332.5836865796655</v>
      </c>
      <c r="AO3775" s="10">
        <f>100000000/($AM3775-$AL3775)</f>
        <v>2333.2991893885287</v>
      </c>
      <c r="AP3775" s="12">
        <v>58900000</v>
      </c>
      <c r="AQ3775" s="3">
        <v>0.05</v>
      </c>
      <c r="AR3775" s="3">
        <f>LN(AU3775*100000000/($AM3775-$AL3775)/AP3775)</f>
        <v>-6.919061467545351</v>
      </c>
      <c r="AS3775" s="13">
        <f>EXP(AR$4341*$AM3775+AR$4342)*$AP3775/(100000000/($AM3775-$AL3775))</f>
        <v>20.403432133508957</v>
      </c>
      <c r="AT3775" s="3">
        <f>LN(AS3775/$C3775)</f>
        <v>1.4062652161036737</v>
      </c>
      <c r="AU3775" s="13" cm="1">
        <f t="array" ref="AU3775">$C3775*EXP(poly_from_str(100000000/$E3775,AU$4343))</f>
        <v>24.959429207073445</v>
      </c>
      <c r="AV3775" s="13">
        <f>LN(AS3775/AU3775)</f>
        <v>-0.2015485463956167</v>
      </c>
      <c r="AW3775" s="13"/>
      <c r="AX3775" s="13"/>
      <c r="AY3775" s="13"/>
    </row>
    <row r="3776" spans="1:51" x14ac:dyDescent="0.25">
      <c r="A3776" t="s">
        <v>4223</v>
      </c>
      <c r="B3776" s="2" t="str">
        <f t="shared" si="3309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3310"/>
        <v>2332.4760000000001</v>
      </c>
      <c r="AB3776" s="3">
        <f t="shared" si="3311"/>
        <v>42859.75</v>
      </c>
      <c r="AC3776" s="3" cm="1">
        <f t="array" ref="AC3776">100000000/LvacE(AA3776)</f>
        <v>42859.74842088118</v>
      </c>
      <c r="AD3776" s="10">
        <f t="shared" si="3312"/>
        <v>1.418760759400765E-2</v>
      </c>
      <c r="AE3776" s="10" t="b">
        <f t="shared" si="3313"/>
        <v>1</v>
      </c>
      <c r="AP3776"/>
      <c r="AQ3776"/>
      <c r="AU3776" s="13" cm="1">
        <f t="array" ref="AU3776">$C3776*EXP(poly_from_str(100000000/$E3776,AU$4343))</f>
        <v>24.970969776823559</v>
      </c>
    </row>
    <row r="3777" spans="1:51" x14ac:dyDescent="0.25">
      <c r="A3777" t="s">
        <v>4224</v>
      </c>
      <c r="B3777" s="2" t="str">
        <f t="shared" si="3309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3310"/>
        <v>2332.3710000000001</v>
      </c>
      <c r="AB3777" s="3">
        <f t="shared" si="3311"/>
        <v>42861.68</v>
      </c>
      <c r="AC3777" s="3" cm="1">
        <f t="array" ref="AC3777">100000000/LvacE(AA3777)</f>
        <v>42861.6777416103</v>
      </c>
      <c r="AD3777" s="10">
        <f t="shared" si="3312"/>
        <v>1.4188434803384688E-2</v>
      </c>
      <c r="AE3777" s="10" t="b">
        <f t="shared" si="3313"/>
        <v>1</v>
      </c>
      <c r="AP3777"/>
      <c r="AQ3777"/>
      <c r="AU3777" s="13" cm="1">
        <f t="array" ref="AU3777">$C3777*EXP(poly_from_str(100000000/$E3777,AU$4343))</f>
        <v>24.982012208073051</v>
      </c>
    </row>
    <row r="3778" spans="1:51" x14ac:dyDescent="0.25">
      <c r="A3778" t="s">
        <v>4225</v>
      </c>
      <c r="B3778" s="2" t="str">
        <f t="shared" ref="B3778:B3841" si="3391">IF(OR(A3778=A3777,A3778=A3779),IF(B3777="",1,B3777+1),"")</f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3392">$G3778&amp;""</f>
        <v>e</v>
      </c>
      <c r="N3778" t="str">
        <f t="shared" ref="N3778:N3785" si="3393">$H3778&amp;""</f>
        <v>9/2</v>
      </c>
      <c r="O3778">
        <v>78694.570000000007</v>
      </c>
      <c r="P3778" t="str">
        <f t="shared" ref="P3778:P3785" si="3394">$J3778&amp;""</f>
        <v>o</v>
      </c>
      <c r="Q3778" t="str">
        <f t="shared" ref="Q3778:Q3785" si="3395">$K3778&amp;""</f>
        <v>11/2</v>
      </c>
      <c r="R3778">
        <v>35</v>
      </c>
      <c r="AA3778" s="10">
        <f t="shared" si="3310"/>
        <v>2332.1289999999999</v>
      </c>
      <c r="AB3778" s="3">
        <f t="shared" si="3311"/>
        <v>42866.12</v>
      </c>
      <c r="AC3778" s="3" cm="1">
        <f t="array" ref="AC3778">100000000/LvacE(AA3778)</f>
        <v>42866.125028030787</v>
      </c>
      <c r="AD3778" s="10">
        <f t="shared" si="3312"/>
        <v>1.4190341749541039E-2</v>
      </c>
      <c r="AE3778" s="10" t="b">
        <f t="shared" si="3313"/>
        <v>1</v>
      </c>
      <c r="AJ3778" t="s">
        <v>4773</v>
      </c>
      <c r="AK3778" t="s">
        <v>4885</v>
      </c>
      <c r="AL3778">
        <v>35828.46</v>
      </c>
      <c r="AM3778">
        <v>78694.570000000007</v>
      </c>
      <c r="AN3778" s="10" cm="1">
        <f t="array" ref="AN3778">Lair(100000000/($AM3778-$AL3778))</f>
        <v>2332.1298222510845</v>
      </c>
      <c r="AO3778" s="10">
        <f t="shared" ref="AO3778:AO3785" si="3396">100000000/($AM3778-$AL3778)</f>
        <v>2332.8452243508914</v>
      </c>
      <c r="AP3778" s="12">
        <v>41200000</v>
      </c>
      <c r="AQ3778" s="3">
        <v>0.17299999999999999</v>
      </c>
      <c r="AR3778" s="3">
        <f>LN(AU3778*100000000/($AM3778-$AL3778)/AP3778)</f>
        <v>-8.1693680116855223</v>
      </c>
      <c r="AS3778" s="13">
        <f t="shared" ref="AS3778:AS3785" si="3397">EXP(AR$4341*$AM3778+AR$4342)*$AP3778/(100000000/($AM3778-$AL3778))</f>
        <v>4.2526735666072621</v>
      </c>
      <c r="AT3778" s="3">
        <f t="shared" ref="AT3778:AT3785" si="3398">LN(AS3778/$C3778)</f>
        <v>1.4475478596477342</v>
      </c>
      <c r="AU3778" s="13" cm="1">
        <f t="array" ref="AU3778">$C3778*EXP(poly_from_str(100000000/$E3778,AU$4343))</f>
        <v>5.0014950348577987</v>
      </c>
      <c r="AV3778" s="13">
        <f>LN(AS3778/AU3778)</f>
        <v>-0.16218901506425021</v>
      </c>
      <c r="AW3778" s="13"/>
      <c r="AX3778" s="13"/>
      <c r="AY3778" s="13"/>
    </row>
    <row r="3779" spans="1:51" x14ac:dyDescent="0.25">
      <c r="A3779" t="s">
        <v>4226</v>
      </c>
      <c r="B3779" s="2" t="str">
        <f t="shared" si="3391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3392"/>
        <v>e</v>
      </c>
      <c r="N3779" t="str">
        <f t="shared" si="3393"/>
        <v>9/2</v>
      </c>
      <c r="O3779">
        <v>71592.34</v>
      </c>
      <c r="P3779" t="str">
        <f t="shared" si="3394"/>
        <v>o</v>
      </c>
      <c r="Q3779" t="str">
        <f t="shared" si="3395"/>
        <v>9/2</v>
      </c>
      <c r="R3779">
        <v>35</v>
      </c>
      <c r="AA3779" s="10">
        <f t="shared" ref="AA3779:AA3842" si="3399">ROUND($A3779,3)+0</f>
        <v>2331.83</v>
      </c>
      <c r="AB3779" s="3">
        <f t="shared" ref="AB3779:AB3842" si="3400">ROUND($E3779,2)+0</f>
        <v>42871.62</v>
      </c>
      <c r="AC3779" s="3" cm="1">
        <f t="array" ref="AC3779">100000000/LvacE(AA3779)</f>
        <v>42871.621090401437</v>
      </c>
      <c r="AD3779" s="10">
        <f t="shared" ref="AD3779:AD3842" si="3401">0.0005/$AA3779*AC3779+0.005</f>
        <v>1.4192698672373508E-2</v>
      </c>
      <c r="AE3779" s="10" t="b">
        <f t="shared" ref="AE3779:AE3842" si="3402">ABS(AB3779-AC3779)&lt;AD3779</f>
        <v>1</v>
      </c>
      <c r="AJ3779" t="s">
        <v>4708</v>
      </c>
      <c r="AK3779" t="s">
        <v>4881</v>
      </c>
      <c r="AL3779">
        <v>28720.71</v>
      </c>
      <c r="AM3779">
        <v>71592.34</v>
      </c>
      <c r="AN3779" s="10" cm="1">
        <f t="array" ref="AN3779">Lair(100000000/($AM3779-$AL3779))</f>
        <v>2331.8295199468976</v>
      </c>
      <c r="AO3779" s="10">
        <f t="shared" si="3396"/>
        <v>2332.544855420706</v>
      </c>
      <c r="AP3779" s="12">
        <v>37200000</v>
      </c>
      <c r="AQ3779" s="3">
        <v>3.5000000000000003E-2</v>
      </c>
      <c r="AR3779" s="3"/>
      <c r="AS3779" s="13">
        <f t="shared" si="3397"/>
        <v>6.5439861233723171</v>
      </c>
      <c r="AT3779" s="3"/>
      <c r="AU3779" s="13" cm="1">
        <f t="array" ref="AU3779">$C3779*EXP(poly_from_str(100000000/$E3779,AU$4343))</f>
        <v>20.031306230957657</v>
      </c>
      <c r="AV3779" s="13"/>
      <c r="AW3779" s="13"/>
      <c r="AX3779" s="13"/>
      <c r="AY3779" s="13"/>
    </row>
    <row r="3780" spans="1:51" x14ac:dyDescent="0.25">
      <c r="A3780" t="s">
        <v>4227</v>
      </c>
      <c r="B3780" s="2" t="str">
        <f t="shared" si="3391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3392"/>
        <v>e</v>
      </c>
      <c r="N3780" t="str">
        <f t="shared" si="3393"/>
        <v>9/2</v>
      </c>
      <c r="O3780">
        <v>67679.210000000006</v>
      </c>
      <c r="P3780" t="str">
        <f t="shared" si="3394"/>
        <v>o</v>
      </c>
      <c r="Q3780" t="str">
        <f t="shared" si="3395"/>
        <v>7/2</v>
      </c>
      <c r="R3780">
        <v>35</v>
      </c>
      <c r="AA3780" s="10">
        <f t="shared" si="3399"/>
        <v>2330.7660000000001</v>
      </c>
      <c r="AB3780" s="3">
        <f t="shared" si="3400"/>
        <v>42891.19</v>
      </c>
      <c r="AC3780" s="3" cm="1">
        <f t="array" ref="AC3780">100000000/LvacE(AA3780)</f>
        <v>42891.190419766732</v>
      </c>
      <c r="AD3780" s="10">
        <f t="shared" si="3401"/>
        <v>1.4201093207075858E-2</v>
      </c>
      <c r="AE3780" s="10" t="b">
        <f t="shared" si="3402"/>
        <v>1</v>
      </c>
      <c r="AJ3780" t="s">
        <v>4705</v>
      </c>
      <c r="AK3780" t="s">
        <v>4861</v>
      </c>
      <c r="AL3780">
        <v>24788.02</v>
      </c>
      <c r="AM3780">
        <v>67679.210000000006</v>
      </c>
      <c r="AN3780" s="10" cm="1">
        <f t="array" ref="AN3780">Lair(100000000/($AM3780-$AL3780))</f>
        <v>2330.7660274294285</v>
      </c>
      <c r="AO3780" s="10">
        <f t="shared" si="3396"/>
        <v>2331.481127009999</v>
      </c>
      <c r="AP3780" s="12">
        <v>39300000</v>
      </c>
      <c r="AQ3780" s="3">
        <v>5.8999999999999997E-2</v>
      </c>
      <c r="AR3780" s="3">
        <f>LN(AU3780*100000000/($AM3780-$AL3780)/AP3780)</f>
        <v>-6.5075059605320851</v>
      </c>
      <c r="AS3780" s="13">
        <f t="shared" si="3397"/>
        <v>9.2774442577879057</v>
      </c>
      <c r="AT3780" s="3">
        <f t="shared" si="3398"/>
        <v>0.61814819317795433</v>
      </c>
      <c r="AU3780" s="13" cm="1">
        <f t="array" ref="AU3780">$C3780*EXP(poly_from_str(100000000/$E3780,AU$4343))</f>
        <v>25.152821946318408</v>
      </c>
      <c r="AV3780" s="13">
        <f>LN(AS3780/AU3780)</f>
        <v>-0.99738398926421179</v>
      </c>
      <c r="AW3780" s="13"/>
      <c r="AX3780" s="13"/>
      <c r="AY3780" s="13"/>
    </row>
    <row r="3781" spans="1:51" x14ac:dyDescent="0.25">
      <c r="A3781" t="s">
        <v>4228</v>
      </c>
      <c r="B3781" s="2" t="str">
        <f t="shared" si="3391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3392"/>
        <v>o</v>
      </c>
      <c r="N3781" t="str">
        <f t="shared" si="3393"/>
        <v>5/2</v>
      </c>
      <c r="O3781">
        <v>107299.07</v>
      </c>
      <c r="P3781" t="str">
        <f t="shared" si="3394"/>
        <v>e</v>
      </c>
      <c r="Q3781" t="str">
        <f t="shared" si="3395"/>
        <v>7/2</v>
      </c>
      <c r="R3781">
        <v>35</v>
      </c>
      <c r="AA3781" s="10">
        <f t="shared" si="3399"/>
        <v>2330.393</v>
      </c>
      <c r="AB3781" s="3">
        <f t="shared" si="3400"/>
        <v>42898.05</v>
      </c>
      <c r="AC3781" s="3" cm="1">
        <f t="array" ref="AC3781">100000000/LvacE(AA3781)</f>
        <v>42898.054949931851</v>
      </c>
      <c r="AD3781" s="10">
        <f t="shared" si="3401"/>
        <v>1.4204038750101775E-2</v>
      </c>
      <c r="AE3781" s="10" t="b">
        <f t="shared" si="3402"/>
        <v>1</v>
      </c>
      <c r="AJ3781" t="s">
        <v>4837</v>
      </c>
      <c r="AK3781" t="s">
        <v>4891</v>
      </c>
      <c r="AL3781">
        <v>64401.03</v>
      </c>
      <c r="AM3781">
        <v>107299.07</v>
      </c>
      <c r="AN3781" s="10" cm="1">
        <f t="array" ref="AN3781">Lair(100000000/($AM3781-$AL3781))</f>
        <v>2330.3938168353902</v>
      </c>
      <c r="AO3781" s="10">
        <f t="shared" si="3396"/>
        <v>2331.1088338767922</v>
      </c>
      <c r="AP3781" s="15">
        <v>44800000</v>
      </c>
      <c r="AQ3781" s="3">
        <v>5.6000000000000001E-2</v>
      </c>
      <c r="AR3781" s="14"/>
      <c r="AS3781" s="13">
        <f t="shared" si="3397"/>
        <v>0.54085032598111782</v>
      </c>
      <c r="AT3781" s="14"/>
      <c r="AU3781" s="13" cm="1">
        <f t="array" ref="AU3781">$C3781*EXP(poly_from_str(100000000/$E3781,AU$4343))</f>
        <v>30.23167640314324</v>
      </c>
      <c r="AV3781" s="13"/>
      <c r="AW3781" s="13"/>
      <c r="AX3781" s="13"/>
      <c r="AY3781" s="13"/>
    </row>
    <row r="3782" spans="1:51" x14ac:dyDescent="0.25">
      <c r="A3782" t="s">
        <v>4229</v>
      </c>
      <c r="B3782" s="2" t="str">
        <f t="shared" si="3391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3392"/>
        <v>o</v>
      </c>
      <c r="N3782" t="str">
        <f t="shared" si="3393"/>
        <v>7/2</v>
      </c>
      <c r="O3782">
        <v>101071.43</v>
      </c>
      <c r="P3782" t="str">
        <f t="shared" si="3394"/>
        <v>e</v>
      </c>
      <c r="Q3782" t="str">
        <f t="shared" si="3395"/>
        <v>5/2</v>
      </c>
      <c r="R3782">
        <v>35</v>
      </c>
      <c r="AA3782" s="10">
        <f t="shared" si="3399"/>
        <v>2329.5680000000002</v>
      </c>
      <c r="AB3782" s="3">
        <f t="shared" si="3400"/>
        <v>42913.25</v>
      </c>
      <c r="AC3782" s="3" cm="1">
        <f t="array" ref="AC3782">100000000/LvacE(AA3782)</f>
        <v>42913.24569856553</v>
      </c>
      <c r="AD3782" s="10">
        <f t="shared" si="3401"/>
        <v>1.4210558717016531E-2</v>
      </c>
      <c r="AE3782" s="10" t="b">
        <f t="shared" si="3402"/>
        <v>1</v>
      </c>
      <c r="AJ3782" t="s">
        <v>4902</v>
      </c>
      <c r="AK3782" t="s">
        <v>4889</v>
      </c>
      <c r="AL3782">
        <v>58158.080000000002</v>
      </c>
      <c r="AM3782">
        <v>101071.43</v>
      </c>
      <c r="AN3782" s="10" cm="1">
        <f t="array" ref="AN3782">Lair(100000000/($AM3782-$AL3782))</f>
        <v>2329.562342120827</v>
      </c>
      <c r="AO3782" s="10">
        <f t="shared" si="3396"/>
        <v>2330.2771748185592</v>
      </c>
      <c r="AP3782" s="12">
        <v>2610000000</v>
      </c>
      <c r="AQ3782" s="3">
        <v>0.77500000000000002</v>
      </c>
      <c r="AR3782" s="3">
        <f t="shared" ref="AR3782:AR3785" si="3403">LN(AU3782*100000000/($AM3782-$AL3782)/AP3782)</f>
        <v>-10.362270792658604</v>
      </c>
      <c r="AS3782" s="13">
        <f t="shared" si="3397"/>
        <v>50.300031005842939</v>
      </c>
      <c r="AT3782" s="3">
        <f t="shared" si="3398"/>
        <v>1.9720955444685391</v>
      </c>
      <c r="AU3782" s="13" cm="1">
        <f t="array" ref="AU3782">$C3782*EXP(poly_from_str(100000000/$E3782,AU$4343))</f>
        <v>35.396139728925135</v>
      </c>
      <c r="AV3782" s="13">
        <f t="shared" ref="AV3782:AV3785" si="3404">LN(AS3782/AU3782)</f>
        <v>0.35140292653570693</v>
      </c>
      <c r="AW3782" s="13"/>
      <c r="AX3782" s="13"/>
      <c r="AY3782" s="13"/>
    </row>
    <row r="3783" spans="1:51" x14ac:dyDescent="0.25">
      <c r="A3783" t="s">
        <v>4230</v>
      </c>
      <c r="B3783" s="2" t="str">
        <f t="shared" si="3391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3392"/>
        <v>o</v>
      </c>
      <c r="N3783" t="str">
        <f t="shared" si="3393"/>
        <v>11/2</v>
      </c>
      <c r="O3783">
        <v>103335.06</v>
      </c>
      <c r="P3783" t="str">
        <f t="shared" si="3394"/>
        <v>e</v>
      </c>
      <c r="Q3783" t="str">
        <f t="shared" si="3395"/>
        <v>9/2</v>
      </c>
      <c r="R3783">
        <v>35</v>
      </c>
      <c r="AA3783" s="10">
        <f t="shared" si="3399"/>
        <v>2329.4560000000001</v>
      </c>
      <c r="AB3783" s="3">
        <f t="shared" si="3400"/>
        <v>42915.31</v>
      </c>
      <c r="AC3783" s="3" cm="1">
        <f t="array" ref="AC3783">100000000/LvacE(AA3783)</f>
        <v>42915.308787150439</v>
      </c>
      <c r="AD3783" s="10">
        <f t="shared" si="3401"/>
        <v>1.4211444385974759E-2</v>
      </c>
      <c r="AE3783" s="10" t="b">
        <f t="shared" si="3402"/>
        <v>1</v>
      </c>
      <c r="AJ3783" t="s">
        <v>4849</v>
      </c>
      <c r="AK3783" t="s">
        <v>4890</v>
      </c>
      <c r="AL3783">
        <v>60419.73</v>
      </c>
      <c r="AM3783">
        <v>103335.06</v>
      </c>
      <c r="AN3783" s="10" cm="1">
        <f t="array" ref="AN3783">Lair(100000000/($AM3783-$AL3783))</f>
        <v>2329.4548531126293</v>
      </c>
      <c r="AO3783" s="10">
        <f t="shared" si="3396"/>
        <v>2330.1696619832592</v>
      </c>
      <c r="AP3783" s="12">
        <v>986000000</v>
      </c>
      <c r="AQ3783" s="3">
        <v>0.48599999999999999</v>
      </c>
      <c r="AR3783" s="3">
        <f t="shared" si="3403"/>
        <v>-10.641145937465707</v>
      </c>
      <c r="AS3783" s="13">
        <f t="shared" si="3397"/>
        <v>16.034210392103276</v>
      </c>
      <c r="AT3783" s="3">
        <f t="shared" si="3398"/>
        <v>2.0815774085977328</v>
      </c>
      <c r="AU3783" s="13" cm="1">
        <f t="array" ref="AU3783">$C3783*EXP(poly_from_str(100000000/$E3783,AU$4343))</f>
        <v>10.118087005267165</v>
      </c>
      <c r="AV3783" s="13">
        <f t="shared" si="3404"/>
        <v>0.46039997426707124</v>
      </c>
      <c r="AW3783" s="13"/>
      <c r="AX3783" s="13"/>
      <c r="AY3783" s="13"/>
    </row>
    <row r="3784" spans="1:51" x14ac:dyDescent="0.25">
      <c r="A3784" t="s">
        <v>4231</v>
      </c>
      <c r="B3784" s="2" t="str">
        <f t="shared" si="3391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3392"/>
        <v>e</v>
      </c>
      <c r="N3784" t="str">
        <f t="shared" si="3393"/>
        <v>9/2</v>
      </c>
      <c r="O3784">
        <v>63232.14</v>
      </c>
      <c r="P3784" t="str">
        <f t="shared" si="3394"/>
        <v>o</v>
      </c>
      <c r="Q3784" t="str">
        <f t="shared" si="3395"/>
        <v>7/2</v>
      </c>
      <c r="R3784">
        <v>35</v>
      </c>
      <c r="AA3784" s="10">
        <f t="shared" si="3399"/>
        <v>2329.3910000000001</v>
      </c>
      <c r="AB3784" s="3">
        <f t="shared" si="3400"/>
        <v>42916.51</v>
      </c>
      <c r="AC3784" s="3" cm="1">
        <f t="array" ref="AC3784">100000000/LvacE(AA3784)</f>
        <v>42916.506206310602</v>
      </c>
      <c r="AD3784" s="10">
        <f t="shared" si="3401"/>
        <v>1.4211958448862944E-2</v>
      </c>
      <c r="AE3784" s="10" t="b">
        <f t="shared" si="3402"/>
        <v>1</v>
      </c>
      <c r="AJ3784" t="s">
        <v>4964</v>
      </c>
      <c r="AK3784" t="s">
        <v>4819</v>
      </c>
      <c r="AL3784">
        <v>20315.650000000001</v>
      </c>
      <c r="AM3784">
        <v>63232.14</v>
      </c>
      <c r="AN3784" s="10" cm="1">
        <f t="array" ref="AN3784">Lair(100000000/($AM3784-$AL3784))</f>
        <v>2329.3918843613383</v>
      </c>
      <c r="AO3784" s="10">
        <f t="shared" si="3396"/>
        <v>2330.1066792740971</v>
      </c>
      <c r="AP3784" s="12">
        <v>147000000</v>
      </c>
      <c r="AQ3784" s="3">
        <v>0.45900000000000002</v>
      </c>
      <c r="AR3784" s="3">
        <f t="shared" si="3403"/>
        <v>-7.2335891541896116</v>
      </c>
      <c r="AS3784" s="13">
        <f t="shared" si="3397"/>
        <v>48.478580383574439</v>
      </c>
      <c r="AT3784" s="3">
        <f t="shared" si="3398"/>
        <v>1.6838974814790695</v>
      </c>
      <c r="AU3784" s="13" cm="1">
        <f t="array" ref="AU3784">$C3784*EXP(poly_from_str(100000000/$E3784,AU$4343))</f>
        <v>45.544262712067102</v>
      </c>
      <c r="AV3784" s="13">
        <f t="shared" si="3404"/>
        <v>6.2437398869709393E-2</v>
      </c>
      <c r="AW3784" s="13"/>
      <c r="AX3784" s="13"/>
      <c r="AY3784" s="13"/>
    </row>
    <row r="3785" spans="1:51" x14ac:dyDescent="0.25">
      <c r="A3785" t="s">
        <v>4232</v>
      </c>
      <c r="B3785" s="2" t="str">
        <f t="shared" si="3391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3392"/>
        <v>e</v>
      </c>
      <c r="N3785" t="str">
        <f t="shared" si="3393"/>
        <v>5/2</v>
      </c>
      <c r="O3785">
        <v>63768.66</v>
      </c>
      <c r="P3785" t="str">
        <f t="shared" si="3394"/>
        <v>o</v>
      </c>
      <c r="Q3785" t="str">
        <f t="shared" si="3395"/>
        <v>7/2</v>
      </c>
      <c r="R3785">
        <v>35</v>
      </c>
      <c r="AA3785" s="10">
        <f t="shared" si="3399"/>
        <v>2329.19</v>
      </c>
      <c r="AB3785" s="3">
        <f t="shared" si="3400"/>
        <v>42920.21</v>
      </c>
      <c r="AC3785" s="3" cm="1">
        <f t="array" ref="AC3785">100000000/LvacE(AA3785)</f>
        <v>42920.209417584578</v>
      </c>
      <c r="AD3785" s="10">
        <f t="shared" si="3401"/>
        <v>1.4213548361787696E-2</v>
      </c>
      <c r="AE3785" s="10" t="b">
        <f t="shared" si="3402"/>
        <v>1</v>
      </c>
      <c r="AJ3785" t="s">
        <v>4800</v>
      </c>
      <c r="AK3785" t="s">
        <v>4850</v>
      </c>
      <c r="AL3785">
        <v>20848.39</v>
      </c>
      <c r="AM3785">
        <v>63768.66</v>
      </c>
      <c r="AN3785" s="10" cm="1">
        <f t="array" ref="AN3785">Lair(100000000/($AM3785-$AL3785))</f>
        <v>2329.186716700352</v>
      </c>
      <c r="AO3785" s="10">
        <f t="shared" si="3396"/>
        <v>2329.9014661370952</v>
      </c>
      <c r="AP3785" s="12">
        <v>162000000</v>
      </c>
      <c r="AQ3785" s="3">
        <v>0.23100000000000001</v>
      </c>
      <c r="AR3785" s="3">
        <f t="shared" si="3403"/>
        <v>-7.3299684068392015</v>
      </c>
      <c r="AS3785" s="13">
        <f t="shared" si="3397"/>
        <v>51.321501340446808</v>
      </c>
      <c r="AT3785" s="3">
        <f t="shared" si="3398"/>
        <v>1.7408852164737019</v>
      </c>
      <c r="AU3785" s="13" cm="1">
        <f t="array" ref="AU3785">$C3785*EXP(poly_from_str(100000000/$E3785,AU$4343))</f>
        <v>45.584020610715385</v>
      </c>
      <c r="AV3785" s="13">
        <f t="shared" si="3404"/>
        <v>0.11855256390645007</v>
      </c>
      <c r="AW3785" s="13"/>
      <c r="AX3785" s="13"/>
      <c r="AY3785" s="13"/>
    </row>
    <row r="3786" spans="1:51" x14ac:dyDescent="0.25">
      <c r="A3786" t="s">
        <v>4233</v>
      </c>
      <c r="B3786" s="2" t="str">
        <f t="shared" si="3391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3399"/>
        <v>2329.0990000000002</v>
      </c>
      <c r="AB3786" s="3">
        <f t="shared" si="3400"/>
        <v>42921.89</v>
      </c>
      <c r="AC3786" s="3" cm="1">
        <f t="array" ref="AC3786">100000000/LvacE(AA3786)</f>
        <v>42921.886205979157</v>
      </c>
      <c r="AD3786" s="10">
        <f t="shared" si="3401"/>
        <v>1.4214268308470175E-2</v>
      </c>
      <c r="AE3786" s="10" t="b">
        <f t="shared" si="3402"/>
        <v>1</v>
      </c>
      <c r="AP3786"/>
      <c r="AQ3786"/>
      <c r="AU3786" s="13" cm="1">
        <f t="array" ref="AU3786">$C3786*EXP(poly_from_str(100000000/$E3786,AU$4343))</f>
        <v>25.334504815025248</v>
      </c>
    </row>
    <row r="3787" spans="1:51" x14ac:dyDescent="0.25">
      <c r="A3787" t="s">
        <v>4234</v>
      </c>
      <c r="B3787" s="2" t="str">
        <f t="shared" si="3391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3399"/>
        <v>2329.0479999999998</v>
      </c>
      <c r="AB3787" s="3">
        <f t="shared" si="3400"/>
        <v>42922.83</v>
      </c>
      <c r="AC3787" s="3" cm="1">
        <f t="array" ref="AC3787">100000000/LvacE(AA3787)</f>
        <v>42922.826001814887</v>
      </c>
      <c r="AD3787" s="10">
        <f t="shared" si="3401"/>
        <v>1.4214671831970595E-2</v>
      </c>
      <c r="AE3787" s="10" t="b">
        <f t="shared" si="3402"/>
        <v>1</v>
      </c>
      <c r="AP3787"/>
      <c r="AQ3787"/>
      <c r="AU3787" s="13" cm="1">
        <f t="array" ref="AU3787">$C3787*EXP(poly_from_str(100000000/$E3787,AU$4343))</f>
        <v>5.0680265712687369</v>
      </c>
    </row>
    <row r="3788" spans="1:51" x14ac:dyDescent="0.25">
      <c r="A3788" t="s">
        <v>4235</v>
      </c>
      <c r="B3788" s="2" t="str">
        <f t="shared" si="3391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3405">$G3788&amp;""</f>
        <v>e</v>
      </c>
      <c r="N3788" t="str">
        <f t="shared" ref="N3788:N3789" si="3406">$H3788&amp;""</f>
        <v>7/2</v>
      </c>
      <c r="O3788">
        <v>67395.320000000007</v>
      </c>
      <c r="P3788" t="str">
        <f t="shared" ref="P3788:P3789" si="3407">$J3788&amp;""</f>
        <v>o</v>
      </c>
      <c r="Q3788" t="str">
        <f t="shared" ref="Q3788:Q3789" si="3408">$K3788&amp;""</f>
        <v>5/2</v>
      </c>
      <c r="R3788">
        <v>35</v>
      </c>
      <c r="AA3788" s="10">
        <f t="shared" si="3399"/>
        <v>2328.9650000000001</v>
      </c>
      <c r="AB3788" s="3">
        <f t="shared" si="3400"/>
        <v>42924.36</v>
      </c>
      <c r="AC3788" s="3" cm="1">
        <f t="array" ref="AC3788">100000000/LvacE(AA3788)</f>
        <v>42924.355561453674</v>
      </c>
      <c r="AD3788" s="10">
        <f t="shared" si="3401"/>
        <v>1.4215328603361079E-2</v>
      </c>
      <c r="AE3788" s="10" t="b">
        <f t="shared" si="3402"/>
        <v>1</v>
      </c>
      <c r="AJ3788" t="s">
        <v>4747</v>
      </c>
      <c r="AK3788" t="s">
        <v>4894</v>
      </c>
      <c r="AL3788">
        <v>24470.9</v>
      </c>
      <c r="AM3788">
        <v>67395.320000000007</v>
      </c>
      <c r="AN3788" s="10" cm="1">
        <f t="array" ref="AN3788">Lair(100000000/($AM3788-$AL3788))</f>
        <v>2328.9615081002125</v>
      </c>
      <c r="AO3788" s="10">
        <f t="shared" ref="AO3788:AO3789" si="3409">100000000/($AM3788-$AL3788)</f>
        <v>2329.6762076226069</v>
      </c>
      <c r="AP3788" s="12">
        <v>80500000</v>
      </c>
      <c r="AQ3788" s="3">
        <v>0.19600000000000001</v>
      </c>
      <c r="AR3788" s="3">
        <f t="shared" ref="AR3788:AR3789" si="3410">LN(AU3788*100000000/($AM3788-$AL3788)/AP3788)</f>
        <v>-7.0352104307134384</v>
      </c>
      <c r="AS3788" s="13">
        <f t="shared" ref="AS3788:AS3789" si="3411">EXP(AR$4341*$AM3788+AR$4342)*$AP3788/(100000000/($AM3788-$AL3788))</f>
        <v>19.427668222231507</v>
      </c>
      <c r="AT3788" s="3">
        <f t="shared" ref="AT3788:AT3789" si="3412">LN(AS3788/$C3788)</f>
        <v>1.1749387778104434</v>
      </c>
      <c r="AU3788" s="13" cm="1">
        <f t="array" ref="AU3788">$C3788*EXP(poly_from_str(100000000/$E3788,AU$4343))</f>
        <v>30.419162081287745</v>
      </c>
      <c r="AV3788" s="13">
        <f t="shared" ref="AV3788:AV3789" si="3413">LN(AS3788/AU3788)</f>
        <v>-0.44837449441944988</v>
      </c>
      <c r="AW3788" s="13"/>
      <c r="AX3788" s="13"/>
      <c r="AY3788" s="13"/>
    </row>
    <row r="3789" spans="1:51" x14ac:dyDescent="0.25">
      <c r="A3789" t="s">
        <v>4236</v>
      </c>
      <c r="B3789" s="2" t="str">
        <f t="shared" si="3391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3405"/>
        <v>e</v>
      </c>
      <c r="N3789" t="str">
        <f t="shared" si="3406"/>
        <v>5/2</v>
      </c>
      <c r="O3789">
        <v>83025.91</v>
      </c>
      <c r="P3789" t="str">
        <f t="shared" si="3407"/>
        <v>o</v>
      </c>
      <c r="Q3789" t="str">
        <f t="shared" si="3408"/>
        <v>3/2</v>
      </c>
      <c r="R3789">
        <v>35</v>
      </c>
      <c r="AA3789" s="10">
        <f t="shared" si="3399"/>
        <v>2328.808</v>
      </c>
      <c r="AB3789" s="3">
        <f t="shared" si="3400"/>
        <v>42927.25</v>
      </c>
      <c r="AC3789" s="3" cm="1">
        <f t="array" ref="AC3789">100000000/LvacE(AA3789)</f>
        <v>42927.249122985209</v>
      </c>
      <c r="AD3789" s="10">
        <f t="shared" si="3401"/>
        <v>1.4216571122004307E-2</v>
      </c>
      <c r="AE3789" s="10" t="b">
        <f t="shared" si="3402"/>
        <v>1</v>
      </c>
      <c r="AJ3789" t="s">
        <v>4737</v>
      </c>
      <c r="AK3789" t="s">
        <v>4884</v>
      </c>
      <c r="AL3789">
        <v>40098.660000000003</v>
      </c>
      <c r="AM3789">
        <v>83025.91</v>
      </c>
      <c r="AN3789" s="10" cm="1">
        <f t="array" ref="AN3789">Lair(100000000/($AM3789-$AL3789))</f>
        <v>2328.8079570843361</v>
      </c>
      <c r="AO3789" s="10">
        <f t="shared" si="3409"/>
        <v>2329.5226225765687</v>
      </c>
      <c r="AP3789" s="12">
        <v>292000000</v>
      </c>
      <c r="AQ3789" s="3">
        <v>0.36699999999999999</v>
      </c>
      <c r="AR3789" s="3">
        <f t="shared" si="3410"/>
        <v>-8.3230888825623364</v>
      </c>
      <c r="AS3789" s="13">
        <f t="shared" si="3411"/>
        <v>21.807101158614433</v>
      </c>
      <c r="AT3789" s="3">
        <f t="shared" si="3412"/>
        <v>1.2904761887456808</v>
      </c>
      <c r="AU3789" s="13" cm="1">
        <f t="array" ref="AU3789">$C3789*EXP(poly_from_str(100000000/$E3789,AU$4343))</f>
        <v>30.439978756623255</v>
      </c>
      <c r="AV3789" s="13">
        <f t="shared" si="3413"/>
        <v>-0.33352117714247742</v>
      </c>
      <c r="AW3789" s="13"/>
      <c r="AX3789" s="13"/>
      <c r="AY3789" s="13"/>
    </row>
    <row r="3790" spans="1:51" x14ac:dyDescent="0.25">
      <c r="A3790" t="s">
        <v>4237</v>
      </c>
      <c r="B3790" s="2" t="str">
        <f t="shared" si="3391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3399"/>
        <v>2328.6849999999999</v>
      </c>
      <c r="AB3790" s="3">
        <f t="shared" si="3400"/>
        <v>42929.52</v>
      </c>
      <c r="AC3790" s="3" cm="1">
        <f t="array" ref="AC3790">100000000/LvacE(AA3790)</f>
        <v>42929.516325883531</v>
      </c>
      <c r="AD3790" s="10">
        <f t="shared" si="3401"/>
        <v>1.4217544735737879E-2</v>
      </c>
      <c r="AE3790" s="10" t="b">
        <f t="shared" si="3402"/>
        <v>1</v>
      </c>
      <c r="AP3790"/>
      <c r="AQ3790"/>
      <c r="AU3790" s="13" cm="1">
        <f t="array" ref="AU3790">$C3790*EXP(poly_from_str(100000000/$E3790,AU$4343))</f>
        <v>35.532420810554541</v>
      </c>
    </row>
    <row r="3791" spans="1:51" x14ac:dyDescent="0.25">
      <c r="A3791" t="s">
        <v>4238</v>
      </c>
      <c r="B3791" s="2" t="str">
        <f t="shared" si="3391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3414">$G3791&amp;""</f>
        <v>e</v>
      </c>
      <c r="N3791" t="str">
        <f t="shared" ref="N3791:N3796" si="3415">$H3791&amp;""</f>
        <v>11/2</v>
      </c>
      <c r="O3791">
        <v>62240.83</v>
      </c>
      <c r="P3791" t="str">
        <f t="shared" ref="P3791:P3796" si="3416">$J3791&amp;""</f>
        <v>o</v>
      </c>
      <c r="Q3791" t="str">
        <f t="shared" ref="Q3791:Q3796" si="3417">$K3791&amp;""</f>
        <v>11/2</v>
      </c>
      <c r="R3791">
        <v>35</v>
      </c>
      <c r="AA3791" s="10">
        <f t="shared" si="3399"/>
        <v>2328.556</v>
      </c>
      <c r="AB3791" s="3">
        <f t="shared" si="3400"/>
        <v>42931.89</v>
      </c>
      <c r="AC3791" s="3" cm="1">
        <f t="array" ref="AC3791">100000000/LvacE(AA3791)</f>
        <v>42931.894381328762</v>
      </c>
      <c r="AD3791" s="10">
        <f t="shared" si="3401"/>
        <v>1.4218566008575434E-2</v>
      </c>
      <c r="AE3791" s="10" t="b">
        <f t="shared" si="3402"/>
        <v>1</v>
      </c>
      <c r="AJ3791" t="s">
        <v>4813</v>
      </c>
      <c r="AK3791" t="s">
        <v>4892</v>
      </c>
      <c r="AL3791">
        <v>19308.93</v>
      </c>
      <c r="AM3791">
        <v>62240.83</v>
      </c>
      <c r="AN3791" s="10" cm="1">
        <f t="array" ref="AN3791">Lair(100000000/($AM3791-$AL3791))</f>
        <v>2328.5556998994371</v>
      </c>
      <c r="AO3791" s="10">
        <f t="shared" ref="AO3791:AO3796" si="3418">100000000/($AM3791-$AL3791)</f>
        <v>2329.2703094901458</v>
      </c>
      <c r="AP3791" s="12">
        <v>752000000</v>
      </c>
      <c r="AQ3791" s="3">
        <v>0.45200000000000001</v>
      </c>
      <c r="AR3791" s="3">
        <f t="shared" ref="AR3791:AR3796" si="3419">LN(AU3791*100000000/($AM3791-$AL3791)/AP3791)</f>
        <v>-8.757253689722635</v>
      </c>
      <c r="AS3791" s="13">
        <f t="shared" ref="AS3791:AS3796" si="3420">EXP(AR$4341*$AM3791+AR$4342)*$AP3791/(100000000/($AM3791-$AL3791))</f>
        <v>267.24862489830275</v>
      </c>
      <c r="AT3791" s="3">
        <f t="shared" ref="AT3791:AT3796" si="3421">LN(AS3791/$C3791)</f>
        <v>3.2855943115220163</v>
      </c>
      <c r="AU3791" s="13" cm="1">
        <f t="array" ref="AU3791">$C3791*EXP(poly_from_str(100000000/$E3791,AU$4343))</f>
        <v>50.789155966592354</v>
      </c>
      <c r="AV3791" s="13">
        <f t="shared" ref="AV3791:AV3796" si="3422">LN(AS3791/AU3791)</f>
        <v>1.6604965379431298</v>
      </c>
      <c r="AW3791" s="13"/>
      <c r="AX3791" s="13"/>
      <c r="AY3791" s="13"/>
    </row>
    <row r="3792" spans="1:51" x14ac:dyDescent="0.25">
      <c r="A3792" t="s">
        <v>4239</v>
      </c>
      <c r="B3792" s="2" t="str">
        <f t="shared" si="3391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3414"/>
        <v>e</v>
      </c>
      <c r="N3792" t="str">
        <f t="shared" si="3415"/>
        <v>5/2</v>
      </c>
      <c r="O3792">
        <v>67395.320000000007</v>
      </c>
      <c r="P3792" t="str">
        <f t="shared" si="3416"/>
        <v>o</v>
      </c>
      <c r="Q3792" t="str">
        <f t="shared" si="3417"/>
        <v>5/2</v>
      </c>
      <c r="R3792">
        <v>35</v>
      </c>
      <c r="AA3792" s="10">
        <f t="shared" si="3399"/>
        <v>2328.44</v>
      </c>
      <c r="AB3792" s="3">
        <f t="shared" si="3400"/>
        <v>42934.03</v>
      </c>
      <c r="AC3792" s="3" cm="1">
        <f t="array" ref="AC3792">100000000/LvacE(AA3792)</f>
        <v>42934.033012740394</v>
      </c>
      <c r="AD3792" s="10">
        <f t="shared" si="3401"/>
        <v>1.421948450738271E-2</v>
      </c>
      <c r="AE3792" s="10" t="b">
        <f t="shared" si="3402"/>
        <v>1</v>
      </c>
      <c r="AJ3792" t="s">
        <v>4717</v>
      </c>
      <c r="AK3792" t="s">
        <v>4894</v>
      </c>
      <c r="AL3792">
        <v>24461.24</v>
      </c>
      <c r="AM3792">
        <v>67395.320000000007</v>
      </c>
      <c r="AN3792" s="10" cm="1">
        <f t="array" ref="AN3792">Lair(100000000/($AM3792-$AL3792))</f>
        <v>2328.4374562028556</v>
      </c>
      <c r="AO3792" s="10">
        <f t="shared" si="3418"/>
        <v>2329.1520395918578</v>
      </c>
      <c r="AP3792" s="12">
        <v>54200000</v>
      </c>
      <c r="AQ3792" s="3">
        <v>7.0999999999999994E-2</v>
      </c>
      <c r="AR3792" s="3">
        <f t="shared" si="3419"/>
        <v>-6.4834156187393921</v>
      </c>
      <c r="AS3792" s="13">
        <f t="shared" si="3420"/>
        <v>13.083435866532541</v>
      </c>
      <c r="AT3792" s="3">
        <f t="shared" si="3421"/>
        <v>0.62543684340670935</v>
      </c>
      <c r="AU3792" s="13" cm="1">
        <f t="array" ref="AU3792">$C3792*EXP(poly_from_str(100000000/$E3792,AU$4343))</f>
        <v>35.570487771025029</v>
      </c>
      <c r="AV3792" s="13">
        <f t="shared" si="3422"/>
        <v>-1.000169306393496</v>
      </c>
      <c r="AW3792" s="13"/>
      <c r="AX3792" s="13"/>
      <c r="AY3792" s="13"/>
    </row>
    <row r="3793" spans="1:51" x14ac:dyDescent="0.25">
      <c r="A3793" t="s">
        <v>4240</v>
      </c>
      <c r="B3793" s="2" t="str">
        <f t="shared" si="3391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3414"/>
        <v>e</v>
      </c>
      <c r="N3793" t="str">
        <f t="shared" si="3415"/>
        <v>7/2</v>
      </c>
      <c r="O3793">
        <v>64235.61</v>
      </c>
      <c r="P3793" t="str">
        <f t="shared" si="3416"/>
        <v>o</v>
      </c>
      <c r="Q3793" t="str">
        <f t="shared" si="3417"/>
        <v>9/2</v>
      </c>
      <c r="R3793">
        <v>35</v>
      </c>
      <c r="AA3793" s="10">
        <f t="shared" si="3399"/>
        <v>2328.076</v>
      </c>
      <c r="AB3793" s="3">
        <f t="shared" si="3400"/>
        <v>42940.74</v>
      </c>
      <c r="AC3793" s="3" cm="1">
        <f t="array" ref="AC3793">100000000/LvacE(AA3793)</f>
        <v>42940.745274014531</v>
      </c>
      <c r="AD3793" s="10">
        <f t="shared" si="3401"/>
        <v>1.422236758465242E-2</v>
      </c>
      <c r="AE3793" s="10" t="b">
        <f t="shared" si="3402"/>
        <v>1</v>
      </c>
      <c r="AJ3793" t="s">
        <v>4791</v>
      </c>
      <c r="AK3793" t="s">
        <v>4842</v>
      </c>
      <c r="AL3793">
        <v>21294.89</v>
      </c>
      <c r="AM3793">
        <v>64235.61</v>
      </c>
      <c r="AN3793" s="10" cm="1">
        <f t="array" ref="AN3793">Lair(100000000/($AM3793-$AL3793))</f>
        <v>2328.0773750592261</v>
      </c>
      <c r="AO3793" s="10">
        <f t="shared" si="3418"/>
        <v>2328.791878664354</v>
      </c>
      <c r="AP3793" s="12">
        <v>45800000</v>
      </c>
      <c r="AQ3793" s="3">
        <v>0.114</v>
      </c>
      <c r="AR3793" s="3">
        <f t="shared" si="3419"/>
        <v>-6.6500481341297544</v>
      </c>
      <c r="AS3793" s="13">
        <f t="shared" si="3420"/>
        <v>14.016438460309207</v>
      </c>
      <c r="AT3793" s="3">
        <f t="shared" si="3421"/>
        <v>1.0307929041123329</v>
      </c>
      <c r="AU3793" s="13" cm="1">
        <f t="array" ref="AU3793">$C3793*EXP(poly_from_str(100000000/$E3793,AU$4343))</f>
        <v>25.44811338204342</v>
      </c>
      <c r="AV3793" s="13">
        <f t="shared" si="3422"/>
        <v>-0.59641079333073166</v>
      </c>
      <c r="AW3793" s="13"/>
      <c r="AX3793" s="13"/>
      <c r="AY3793" s="13"/>
    </row>
    <row r="3794" spans="1:51" x14ac:dyDescent="0.25">
      <c r="A3794" t="s">
        <v>4241</v>
      </c>
      <c r="B3794" s="2" t="str">
        <f t="shared" si="3391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3414"/>
        <v>e</v>
      </c>
      <c r="N3794" t="str">
        <f t="shared" si="3415"/>
        <v>7/2</v>
      </c>
      <c r="O3794">
        <v>68374.539999999994</v>
      </c>
      <c r="P3794" t="str">
        <f t="shared" si="3416"/>
        <v>o</v>
      </c>
      <c r="Q3794" t="str">
        <f t="shared" si="3417"/>
        <v>9/2</v>
      </c>
      <c r="R3794">
        <v>35</v>
      </c>
      <c r="AA3794" s="10">
        <f t="shared" si="3399"/>
        <v>2326.777</v>
      </c>
      <c r="AB3794" s="3">
        <f t="shared" si="3400"/>
        <v>42964.72</v>
      </c>
      <c r="AC3794" s="3" cm="1">
        <f t="array" ref="AC3794">100000000/LvacE(AA3794)</f>
        <v>42964.716312804914</v>
      </c>
      <c r="AD3794" s="10">
        <f t="shared" si="3401"/>
        <v>1.4232667400615726E-2</v>
      </c>
      <c r="AE3794" s="10" t="b">
        <f t="shared" si="3402"/>
        <v>1</v>
      </c>
      <c r="AJ3794" t="s">
        <v>4720</v>
      </c>
      <c r="AK3794" t="s">
        <v>4739</v>
      </c>
      <c r="AL3794">
        <v>25409.74</v>
      </c>
      <c r="AM3794">
        <v>68374.539999999994</v>
      </c>
      <c r="AN3794" s="10" cm="1">
        <f t="array" ref="AN3794">Lair(100000000/($AM3794-$AL3794))</f>
        <v>2326.7724722153457</v>
      </c>
      <c r="AO3794" s="10">
        <f t="shared" si="3418"/>
        <v>2327.4866867761521</v>
      </c>
      <c r="AP3794" s="12">
        <v>38800000</v>
      </c>
      <c r="AQ3794" s="3">
        <v>8.5000000000000006E-2</v>
      </c>
      <c r="AR3794" s="3">
        <f t="shared" si="3419"/>
        <v>-8.0884297029264047</v>
      </c>
      <c r="AS3794" s="13">
        <f t="shared" si="3420"/>
        <v>8.7086283806947318</v>
      </c>
      <c r="AT3794" s="3">
        <f t="shared" si="3421"/>
        <v>2.1643143020796316</v>
      </c>
      <c r="AU3794" s="13" cm="1">
        <f t="array" ref="AU3794">$C3794*EXP(poly_from_str(100000000/$E3794,AU$4343))</f>
        <v>5.1189882520316878</v>
      </c>
      <c r="AV3794" s="13">
        <f t="shared" si="3422"/>
        <v>0.53135748958011686</v>
      </c>
      <c r="AW3794" s="13"/>
      <c r="AX3794" s="13"/>
      <c r="AY3794" s="13"/>
    </row>
    <row r="3795" spans="1:51" x14ac:dyDescent="0.25">
      <c r="A3795" t="s">
        <v>4242</v>
      </c>
      <c r="B3795" s="2" t="str">
        <f t="shared" si="3391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3414"/>
        <v>e</v>
      </c>
      <c r="N3795" t="str">
        <f t="shared" si="3415"/>
        <v>3/2</v>
      </c>
      <c r="O3795">
        <v>80164.039999999994</v>
      </c>
      <c r="P3795" t="str">
        <f t="shared" si="3416"/>
        <v>o</v>
      </c>
      <c r="Q3795" t="str">
        <f t="shared" si="3417"/>
        <v>3/2</v>
      </c>
      <c r="R3795">
        <v>35</v>
      </c>
      <c r="AA3795" s="10">
        <f t="shared" si="3399"/>
        <v>2326.6869999999999</v>
      </c>
      <c r="AB3795" s="3">
        <f t="shared" si="3400"/>
        <v>42966.38</v>
      </c>
      <c r="AC3795" s="3" cm="1">
        <f t="array" ref="AC3795">100000000/LvacE(AA3795)</f>
        <v>42966.378115112013</v>
      </c>
      <c r="AD3795" s="10">
        <f t="shared" si="3401"/>
        <v>1.4233381652777537E-2</v>
      </c>
      <c r="AE3795" s="10" t="b">
        <f t="shared" si="3402"/>
        <v>1</v>
      </c>
      <c r="AJ3795" t="s">
        <v>4787</v>
      </c>
      <c r="AK3795" t="s">
        <v>4893</v>
      </c>
      <c r="AL3795">
        <v>37197.64</v>
      </c>
      <c r="AM3795">
        <v>80164.039999999994</v>
      </c>
      <c r="AN3795" s="10" cm="1">
        <f t="array" ref="AN3795">Lair(100000000/($AM3795-$AL3795))</f>
        <v>2326.6858195239251</v>
      </c>
      <c r="AO3795" s="10">
        <f t="shared" si="3418"/>
        <v>2327.4000148953605</v>
      </c>
      <c r="AP3795" s="12">
        <v>44800000</v>
      </c>
      <c r="AQ3795" s="3">
        <v>0.111</v>
      </c>
      <c r="AR3795" s="3">
        <f t="shared" si="3419"/>
        <v>-8.2318540355324163</v>
      </c>
      <c r="AS3795" s="13">
        <f t="shared" si="3420"/>
        <v>4.1511095431977809</v>
      </c>
      <c r="AT3795" s="3">
        <f t="shared" si="3421"/>
        <v>1.4233756583150372</v>
      </c>
      <c r="AU3795" s="13" cm="1">
        <f t="array" ref="AU3795">$C3795*EXP(poly_from_str(100000000/$E3795,AU$4343))</f>
        <v>5.1210403500461048</v>
      </c>
      <c r="AV3795" s="13">
        <f t="shared" si="3422"/>
        <v>-0.20998195346378259</v>
      </c>
      <c r="AW3795" s="13"/>
      <c r="AX3795" s="13"/>
      <c r="AY3795" s="13"/>
    </row>
    <row r="3796" spans="1:51" x14ac:dyDescent="0.25">
      <c r="A3796" t="s">
        <v>4243</v>
      </c>
      <c r="B3796" s="2" t="str">
        <f t="shared" si="3391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3414"/>
        <v>e</v>
      </c>
      <c r="N3796" t="str">
        <f t="shared" si="3415"/>
        <v>13/2</v>
      </c>
      <c r="O3796">
        <v>66148.399999999994</v>
      </c>
      <c r="P3796" t="str">
        <f t="shared" si="3416"/>
        <v>o</v>
      </c>
      <c r="Q3796" t="str">
        <f t="shared" si="3417"/>
        <v>13/2</v>
      </c>
      <c r="R3796">
        <v>35</v>
      </c>
      <c r="AA3796" s="10">
        <f t="shared" si="3399"/>
        <v>2326.3139999999999</v>
      </c>
      <c r="AB3796" s="3">
        <f t="shared" si="3400"/>
        <v>42973.27</v>
      </c>
      <c r="AC3796" s="3" cm="1">
        <f t="array" ref="AC3796">100000000/LvacE(AA3796)</f>
        <v>42973.266732958407</v>
      </c>
      <c r="AD3796" s="10">
        <f t="shared" si="3401"/>
        <v>1.423634271490401E-2</v>
      </c>
      <c r="AE3796" s="10" t="b">
        <f t="shared" si="3402"/>
        <v>1</v>
      </c>
      <c r="AJ3796" t="s">
        <v>4969</v>
      </c>
      <c r="AK3796" t="s">
        <v>4694</v>
      </c>
      <c r="AL3796">
        <v>23175.09</v>
      </c>
      <c r="AM3796">
        <v>66148.399999999994</v>
      </c>
      <c r="AN3796" s="10" cm="1">
        <f t="array" ref="AN3796">Lair(100000000/($AM3796-$AL3796))</f>
        <v>2326.3116623150327</v>
      </c>
      <c r="AO3796" s="10">
        <f t="shared" si="3418"/>
        <v>2327.0257748355898</v>
      </c>
      <c r="AP3796" s="12">
        <v>131000000</v>
      </c>
      <c r="AQ3796" s="3">
        <v>0.219</v>
      </c>
      <c r="AR3796" s="3">
        <f t="shared" si="3419"/>
        <v>-7.2238953982104137</v>
      </c>
      <c r="AS3796" s="13">
        <f t="shared" si="3420"/>
        <v>34.756062672987618</v>
      </c>
      <c r="AT3796" s="3">
        <f t="shared" si="3421"/>
        <v>1.4689124805233611</v>
      </c>
      <c r="AU3796" s="13" cm="1">
        <f t="array" ref="AU3796">$C3796*EXP(poly_from_str(100000000/$E3796,AU$4343))</f>
        <v>41.036677635767646</v>
      </c>
      <c r="AV3796" s="13">
        <f t="shared" si="3422"/>
        <v>-0.16611222108818069</v>
      </c>
      <c r="AW3796" s="13"/>
      <c r="AX3796" s="13"/>
      <c r="AY3796" s="13"/>
    </row>
    <row r="3797" spans="1:51" x14ac:dyDescent="0.25">
      <c r="A3797" t="s">
        <v>4244</v>
      </c>
      <c r="B3797" s="2" t="str">
        <f t="shared" si="3391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3399"/>
        <v>2326.1970000000001</v>
      </c>
      <c r="AB3797" s="3">
        <f t="shared" si="3400"/>
        <v>42975.43</v>
      </c>
      <c r="AC3797" s="3" cm="1">
        <f t="array" ref="AC3797">100000000/LvacE(AA3797)</f>
        <v>42975.427960922127</v>
      </c>
      <c r="AD3797" s="10">
        <f t="shared" si="3401"/>
        <v>1.4237271813376539E-2</v>
      </c>
      <c r="AE3797" s="10" t="b">
        <f t="shared" si="3402"/>
        <v>1</v>
      </c>
      <c r="AP3797"/>
      <c r="AQ3797"/>
      <c r="AU3797" s="13" cm="1">
        <f t="array" ref="AU3797">$C3797*EXP(poly_from_str(100000000/$E3797,AU$4343))</f>
        <v>5.1322722951921103</v>
      </c>
    </row>
    <row r="3798" spans="1:51" x14ac:dyDescent="0.25">
      <c r="A3798" t="s">
        <v>4245</v>
      </c>
      <c r="B3798" s="2" t="str">
        <f t="shared" si="3391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3423">$G3798&amp;""</f>
        <v>e</v>
      </c>
      <c r="N3798" t="str">
        <f t="shared" ref="N3798:N3801" si="3424">$H3798&amp;""</f>
        <v>13/2</v>
      </c>
      <c r="O3798">
        <v>64215.45</v>
      </c>
      <c r="P3798" t="str">
        <f t="shared" ref="P3798:P3801" si="3425">$J3798&amp;""</f>
        <v>o</v>
      </c>
      <c r="Q3798" t="str">
        <f t="shared" ref="Q3798:Q3801" si="3426">$K3798&amp;""</f>
        <v>13/2</v>
      </c>
      <c r="R3798">
        <v>35</v>
      </c>
      <c r="AA3798" s="10">
        <f t="shared" si="3399"/>
        <v>2326.1289999999999</v>
      </c>
      <c r="AB3798" s="3">
        <f t="shared" si="3400"/>
        <v>42976.68</v>
      </c>
      <c r="AC3798" s="3" cm="1">
        <f t="array" ref="AC3798">100000000/LvacE(AA3798)</f>
        <v>42976.684159107193</v>
      </c>
      <c r="AD3798" s="10">
        <f t="shared" si="3401"/>
        <v>1.4237811866647809E-2</v>
      </c>
      <c r="AE3798" s="10" t="b">
        <f t="shared" si="3402"/>
        <v>1</v>
      </c>
      <c r="AJ3798" t="s">
        <v>4696</v>
      </c>
      <c r="AK3798" t="s">
        <v>4823</v>
      </c>
      <c r="AL3798">
        <v>21238.78</v>
      </c>
      <c r="AM3798">
        <v>64215.45</v>
      </c>
      <c r="AN3798" s="10" cm="1">
        <f t="array" ref="AN3798">Lair(100000000/($AM3798-$AL3798))</f>
        <v>2326.1297711677184</v>
      </c>
      <c r="AO3798" s="10">
        <f t="shared" ref="AO3798:AO3801" si="3427">100000000/($AM3798-$AL3798)</f>
        <v>2326.8438434155091</v>
      </c>
      <c r="AP3798" s="12">
        <v>191000000</v>
      </c>
      <c r="AQ3798" s="3">
        <v>0.24</v>
      </c>
      <c r="AR3798" s="3">
        <f t="shared" ref="AR3798:AR3800" si="3428">LN(AU3798*100000000/($AM3798-$AL3798)/AP3798)</f>
        <v>-7.7337538964557817</v>
      </c>
      <c r="AS3798" s="13">
        <f t="shared" ref="AS3798:AS3801" si="3429">EXP(AR$4341*$AM3798+AR$4342)*$AP3798/(100000000/($AM3798-$AL3798))</f>
        <v>58.590346444798726</v>
      </c>
      <c r="AT3798" s="3">
        <f t="shared" ref="AT3798:AT3800" si="3430">LN(AS3798/$C3798)</f>
        <v>2.1246597975202346</v>
      </c>
      <c r="AU3798" s="13" cm="1">
        <f t="array" ref="AU3798">$C3798*EXP(poly_from_str(100000000/$E3798,AU$4343))</f>
        <v>35.936807000273674</v>
      </c>
      <c r="AV3798" s="13">
        <f t="shared" ref="AV3798:AV3800" si="3431">LN(AS3798/AU3798)</f>
        <v>0.48880791167455279</v>
      </c>
      <c r="AW3798" s="13"/>
      <c r="AX3798" s="13"/>
      <c r="AY3798" s="13"/>
    </row>
    <row r="3799" spans="1:51" x14ac:dyDescent="0.25">
      <c r="A3799" t="s">
        <v>4246</v>
      </c>
      <c r="B3799" s="2" t="str">
        <f t="shared" si="3391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3423"/>
        <v>e</v>
      </c>
      <c r="N3799" t="str">
        <f t="shared" si="3424"/>
        <v>11/2</v>
      </c>
      <c r="O3799">
        <v>62678.7</v>
      </c>
      <c r="P3799" t="str">
        <f t="shared" si="3425"/>
        <v>o</v>
      </c>
      <c r="Q3799" t="str">
        <f t="shared" si="3426"/>
        <v>13/2</v>
      </c>
      <c r="R3799">
        <v>35</v>
      </c>
      <c r="AA3799" s="10">
        <f t="shared" si="3399"/>
        <v>2326.0729999999999</v>
      </c>
      <c r="AB3799" s="3">
        <f t="shared" si="3400"/>
        <v>42977.72</v>
      </c>
      <c r="AC3799" s="3" cm="1">
        <f t="array" ref="AC3799">100000000/LvacE(AA3799)</f>
        <v>42977.718730398541</v>
      </c>
      <c r="AD3799" s="10">
        <f t="shared" si="3401"/>
        <v>1.4238256651962027E-2</v>
      </c>
      <c r="AE3799" s="10" t="b">
        <f t="shared" si="3402"/>
        <v>1</v>
      </c>
      <c r="AJ3799" t="s">
        <v>4962</v>
      </c>
      <c r="AK3799" t="s">
        <v>4888</v>
      </c>
      <c r="AL3799">
        <v>19700.900000000001</v>
      </c>
      <c r="AM3799">
        <v>62678.7</v>
      </c>
      <c r="AN3799" s="10" cm="1">
        <f t="array" ref="AN3799">Lair(100000000/($AM3799-$AL3799))</f>
        <v>2326.0686058327578</v>
      </c>
      <c r="AO3799" s="10">
        <f t="shared" si="3427"/>
        <v>2326.7826645384362</v>
      </c>
      <c r="AP3799" s="12">
        <v>113000000</v>
      </c>
      <c r="AQ3799" s="3">
        <v>0.161</v>
      </c>
      <c r="AR3799" s="3">
        <f t="shared" si="3428"/>
        <v>-7.3627927028393154</v>
      </c>
      <c r="AS3799" s="13">
        <f t="shared" si="3429"/>
        <v>38.901730616172991</v>
      </c>
      <c r="AT3799" s="3">
        <f t="shared" si="3430"/>
        <v>1.8692792692543809</v>
      </c>
      <c r="AU3799" s="13" cm="1">
        <f t="array" ref="AU3799">$C3799*EXP(poly_from_str(100000000/$E3799,AU$4343))</f>
        <v>30.81075792190024</v>
      </c>
      <c r="AV3799" s="13">
        <f t="shared" si="3431"/>
        <v>0.23317482630949701</v>
      </c>
      <c r="AW3799" s="13"/>
      <c r="AX3799" s="13"/>
      <c r="AY3799" s="13"/>
    </row>
    <row r="3800" spans="1:51" x14ac:dyDescent="0.25">
      <c r="A3800" t="s">
        <v>4247</v>
      </c>
      <c r="B3800" s="2" t="str">
        <f t="shared" si="3391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3423"/>
        <v>e</v>
      </c>
      <c r="N3800" t="str">
        <f t="shared" si="3424"/>
        <v>5/2</v>
      </c>
      <c r="O3800">
        <v>64401.03</v>
      </c>
      <c r="P3800" t="str">
        <f t="shared" si="3425"/>
        <v>o</v>
      </c>
      <c r="Q3800" t="str">
        <f t="shared" si="3426"/>
        <v>5/2</v>
      </c>
      <c r="R3800">
        <v>35</v>
      </c>
      <c r="AA3800" s="10">
        <f t="shared" si="3399"/>
        <v>2325.83</v>
      </c>
      <c r="AB3800" s="3">
        <f t="shared" si="3400"/>
        <v>42982.21</v>
      </c>
      <c r="AC3800" s="3" cm="1">
        <f t="array" ref="AC3800">100000000/LvacE(AA3800)</f>
        <v>42982.208607848639</v>
      </c>
      <c r="AD3800" s="10">
        <f t="shared" si="3401"/>
        <v>1.4240187074689173E-2</v>
      </c>
      <c r="AE3800" s="10" t="b">
        <f t="shared" si="3402"/>
        <v>1</v>
      </c>
      <c r="AJ3800" t="s">
        <v>4792</v>
      </c>
      <c r="AK3800" t="s">
        <v>4837</v>
      </c>
      <c r="AL3800">
        <v>21418.84</v>
      </c>
      <c r="AM3800">
        <v>64401.03</v>
      </c>
      <c r="AN3800" s="10" cm="1">
        <f t="array" ref="AN3800">Lair(100000000/($AM3800-$AL3800))</f>
        <v>2325.8310117270703</v>
      </c>
      <c r="AO3800" s="10">
        <f t="shared" si="3427"/>
        <v>2326.5450178318042</v>
      </c>
      <c r="AP3800" s="12">
        <v>274000000</v>
      </c>
      <c r="AQ3800" s="3">
        <v>0.49299999999999999</v>
      </c>
      <c r="AR3800" s="3">
        <f t="shared" si="3428"/>
        <v>-7.8420781632983756</v>
      </c>
      <c r="AS3800" s="13">
        <f t="shared" si="3429"/>
        <v>82.899238866157305</v>
      </c>
      <c r="AT3800" s="3">
        <f t="shared" si="3430"/>
        <v>2.2204013034137531</v>
      </c>
      <c r="AU3800" s="13" cm="1">
        <f t="array" ref="AU3800">$C3800*EXP(poly_from_str(100000000/$E3800,AU$4343))</f>
        <v>46.266625976421906</v>
      </c>
      <c r="AV3800" s="13">
        <f t="shared" si="3431"/>
        <v>0.58320500081791393</v>
      </c>
      <c r="AW3800" s="13"/>
      <c r="AX3800" s="13"/>
      <c r="AY3800" s="13"/>
    </row>
    <row r="3801" spans="1:51" x14ac:dyDescent="0.25">
      <c r="A3801" t="s">
        <v>4248</v>
      </c>
      <c r="B3801" s="2" t="str">
        <f t="shared" si="3391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3423"/>
        <v>e</v>
      </c>
      <c r="N3801" t="str">
        <f t="shared" si="3424"/>
        <v>7/2</v>
      </c>
      <c r="O3801">
        <v>69431</v>
      </c>
      <c r="P3801" t="str">
        <f t="shared" si="3425"/>
        <v>o</v>
      </c>
      <c r="Q3801" t="str">
        <f t="shared" si="3426"/>
        <v>7/2</v>
      </c>
      <c r="R3801">
        <v>35</v>
      </c>
      <c r="AA3801" s="10">
        <f t="shared" si="3399"/>
        <v>2325.7359999999999</v>
      </c>
      <c r="AB3801" s="3">
        <f t="shared" si="3400"/>
        <v>42983.95</v>
      </c>
      <c r="AC3801" s="3" cm="1">
        <f t="array" ref="AC3801">100000000/LvacE(AA3801)</f>
        <v>42983.945684492362</v>
      </c>
      <c r="AD3801" s="10">
        <f t="shared" si="3401"/>
        <v>1.4240933984874544E-2</v>
      </c>
      <c r="AE3801" s="10" t="b">
        <f t="shared" si="3402"/>
        <v>1</v>
      </c>
      <c r="AJ3801" t="s">
        <v>4736</v>
      </c>
      <c r="AK3801" t="s">
        <v>4864</v>
      </c>
      <c r="AL3801">
        <v>26446.97</v>
      </c>
      <c r="AM3801">
        <v>69431</v>
      </c>
      <c r="AN3801" s="10" cm="1">
        <f t="array" ref="AN3801">Lair(100000000/($AM3801-$AL3801))</f>
        <v>2325.7314422971185</v>
      </c>
      <c r="AO3801" s="10">
        <f t="shared" si="3427"/>
        <v>2326.4454263595107</v>
      </c>
      <c r="AP3801" s="12">
        <v>15200000</v>
      </c>
      <c r="AQ3801" s="3">
        <v>0.03</v>
      </c>
      <c r="AR3801" s="3"/>
      <c r="AS3801" s="13">
        <f t="shared" si="3429"/>
        <v>3.1529958328422869</v>
      </c>
      <c r="AT3801" s="3"/>
      <c r="AU3801" s="13" cm="1">
        <f t="array" ref="AU3801">$C3801*EXP(poly_from_str(100000000/$E3801,AU$4343))</f>
        <v>5.1429152134563667</v>
      </c>
      <c r="AV3801" s="13"/>
      <c r="AW3801" s="13"/>
      <c r="AX3801" s="13"/>
      <c r="AY3801" s="13"/>
    </row>
    <row r="3802" spans="1:51" x14ac:dyDescent="0.25">
      <c r="A3802" t="s">
        <v>4249</v>
      </c>
      <c r="B3802" s="2" t="str">
        <f t="shared" si="3391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3399"/>
        <v>2325.3649999999998</v>
      </c>
      <c r="AB3802" s="3">
        <f t="shared" si="3400"/>
        <v>42990.8</v>
      </c>
      <c r="AC3802" s="3" cm="1">
        <f t="array" ref="AC3802">100000000/LvacE(AA3802)</f>
        <v>42990.802964096234</v>
      </c>
      <c r="AD3802" s="10">
        <f t="shared" si="3401"/>
        <v>1.4243882780573425E-2</v>
      </c>
      <c r="AE3802" s="10" t="b">
        <f t="shared" si="3402"/>
        <v>1</v>
      </c>
      <c r="AP3802"/>
      <c r="AQ3802"/>
      <c r="AU3802" s="13" cm="1">
        <f t="array" ref="AU3802">$C3802*EXP(poly_from_str(100000000/$E3802,AU$4343))</f>
        <v>20.606082703374884</v>
      </c>
    </row>
    <row r="3803" spans="1:51" x14ac:dyDescent="0.25">
      <c r="A3803" t="s">
        <v>4250</v>
      </c>
      <c r="B3803" s="2" t="str">
        <f t="shared" si="3391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3432">$G3803&amp;""</f>
        <v>o</v>
      </c>
      <c r="N3803" t="str">
        <f t="shared" ref="N3803:N3804" si="3433">$H3803&amp;""</f>
        <v>9/2</v>
      </c>
      <c r="O3803">
        <v>107854.46</v>
      </c>
      <c r="P3803" t="str">
        <f t="shared" ref="P3803:P3804" si="3434">$J3803&amp;""</f>
        <v>e</v>
      </c>
      <c r="Q3803" t="str">
        <f t="shared" ref="Q3803:Q3804" si="3435">$K3803&amp;""</f>
        <v>9/2</v>
      </c>
      <c r="R3803">
        <v>35</v>
      </c>
      <c r="AA3803" s="10">
        <f t="shared" si="3399"/>
        <v>2325.0160000000001</v>
      </c>
      <c r="AB3803" s="3">
        <f t="shared" si="3400"/>
        <v>42997.26</v>
      </c>
      <c r="AC3803" s="3" cm="1">
        <f t="array" ref="AC3803">100000000/LvacE(AA3803)</f>
        <v>42997.255609815686</v>
      </c>
      <c r="AD3803" s="10">
        <f t="shared" si="3401"/>
        <v>1.424665800360421E-2</v>
      </c>
      <c r="AE3803" s="10" t="b">
        <f t="shared" si="3402"/>
        <v>1</v>
      </c>
      <c r="AJ3803" t="s">
        <v>4854</v>
      </c>
      <c r="AK3803" t="s">
        <v>4898</v>
      </c>
      <c r="AL3803">
        <v>64857.15</v>
      </c>
      <c r="AM3803">
        <v>107854.46</v>
      </c>
      <c r="AN3803" s="10" cm="1">
        <f t="array" ref="AN3803">Lair(100000000/($AM3803-$AL3803))</f>
        <v>2325.01306344265</v>
      </c>
      <c r="AO3803" s="10">
        <f t="shared" ref="AO3803:AO3804" si="3436">100000000/($AM3803-$AL3803)</f>
        <v>2325.7268884960476</v>
      </c>
      <c r="AP3803" s="12">
        <v>1340000000</v>
      </c>
      <c r="AQ3803" s="3">
        <v>0.377</v>
      </c>
      <c r="AR3803" s="3">
        <f t="shared" ref="AR3803:AR3804" si="3437">LN(AU3803*100000000/($AM3803-$AL3803)/AP3803)</f>
        <v>-10.930126545535174</v>
      </c>
      <c r="AS3803" s="13">
        <f t="shared" ref="AS3803:AS3804" si="3438">EXP(AR$4341*$AM3803+AR$4342)*$AP3803/(100000000/($AM3803-$AL3803))</f>
        <v>15.552715470675738</v>
      </c>
      <c r="AT3803" s="3">
        <f t="shared" ref="AT3803:AT3804" si="3439">LN(AS3803/$C3803)</f>
        <v>2.0510880711588202</v>
      </c>
      <c r="AU3803" s="13" cm="1">
        <f t="array" ref="AU3803">$C3803*EXP(poly_from_str(100000000/$E3803,AU$4343))</f>
        <v>10.3193522953057</v>
      </c>
      <c r="AV3803" s="13">
        <f t="shared" ref="AV3803:AV3804" si="3440">LN(AS3803/AU3803)</f>
        <v>0.41021425571775155</v>
      </c>
      <c r="AW3803" s="13"/>
      <c r="AX3803" s="13"/>
      <c r="AY3803" s="13"/>
    </row>
    <row r="3804" spans="1:51" x14ac:dyDescent="0.25">
      <c r="A3804" t="s">
        <v>4251</v>
      </c>
      <c r="B3804" s="2" t="str">
        <f t="shared" si="3391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3432"/>
        <v>e</v>
      </c>
      <c r="N3804" t="str">
        <f t="shared" si="3433"/>
        <v>11/2</v>
      </c>
      <c r="O3804">
        <v>70381.48</v>
      </c>
      <c r="P3804" t="str">
        <f t="shared" si="3434"/>
        <v>o</v>
      </c>
      <c r="Q3804" t="str">
        <f t="shared" si="3435"/>
        <v>13/2</v>
      </c>
      <c r="R3804">
        <v>35</v>
      </c>
      <c r="AA3804" s="10">
        <f t="shared" si="3399"/>
        <v>2324.8069999999998</v>
      </c>
      <c r="AB3804" s="3">
        <f t="shared" si="3400"/>
        <v>43001.120000000003</v>
      </c>
      <c r="AC3804" s="3" cm="1">
        <f t="array" ref="AC3804">100000000/LvacE(AA3804)</f>
        <v>43001.120728982845</v>
      </c>
      <c r="AD3804" s="10">
        <f t="shared" si="3401"/>
        <v>1.4248320554992921E-2</v>
      </c>
      <c r="AE3804" s="10" t="b">
        <f t="shared" si="3402"/>
        <v>1</v>
      </c>
      <c r="AJ3804" t="s">
        <v>4712</v>
      </c>
      <c r="AK3804" t="s">
        <v>4876</v>
      </c>
      <c r="AL3804">
        <v>27380.31</v>
      </c>
      <c r="AM3804">
        <v>70381.48</v>
      </c>
      <c r="AN3804" s="10" cm="1">
        <f t="array" ref="AN3804">Lair(100000000/($AM3804-$AL3804))</f>
        <v>2324.8043407617442</v>
      </c>
      <c r="AO3804" s="10">
        <f t="shared" si="3436"/>
        <v>2325.518119623257</v>
      </c>
      <c r="AP3804" s="12">
        <v>23300000</v>
      </c>
      <c r="AQ3804" s="3">
        <v>0.22</v>
      </c>
      <c r="AR3804" s="3">
        <f t="shared" si="3437"/>
        <v>-7.5704443532796537</v>
      </c>
      <c r="AS3804" s="13">
        <f t="shared" si="3438"/>
        <v>4.5022587737504036</v>
      </c>
      <c r="AT3804" s="3">
        <f t="shared" si="3439"/>
        <v>1.5045792205639643</v>
      </c>
      <c r="AU3804" s="13" cm="1">
        <f t="array" ref="AU3804">$C3804*EXP(poly_from_str(100000000/$E3804,AU$4343))</f>
        <v>5.1645678229689924</v>
      </c>
      <c r="AV3804" s="13">
        <f t="shared" si="3440"/>
        <v>-0.13724220434780396</v>
      </c>
      <c r="AW3804" s="13"/>
      <c r="AX3804" s="13"/>
      <c r="AY3804" s="13"/>
    </row>
    <row r="3805" spans="1:51" x14ac:dyDescent="0.25">
      <c r="A3805" t="s">
        <v>4252</v>
      </c>
      <c r="B3805" s="2" t="str">
        <f t="shared" si="3391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3399"/>
        <v>2324.5210000000002</v>
      </c>
      <c r="AB3805" s="3">
        <f t="shared" si="3400"/>
        <v>43006.41</v>
      </c>
      <c r="AC3805" s="3" cm="1">
        <f t="array" ref="AC3805">100000000/LvacE(AA3805)</f>
        <v>43006.410965522278</v>
      </c>
      <c r="AD3805" s="10">
        <f t="shared" si="3401"/>
        <v>1.4250596352005915E-2</v>
      </c>
      <c r="AE3805" s="10" t="b">
        <f t="shared" si="3402"/>
        <v>1</v>
      </c>
      <c r="AP3805"/>
      <c r="AQ3805"/>
      <c r="AU3805" s="13" cm="1">
        <f t="array" ref="AU3805">$C3805*EXP(poly_from_str(100000000/$E3805,AU$4343))</f>
        <v>31.027766273825044</v>
      </c>
    </row>
    <row r="3806" spans="1:51" x14ac:dyDescent="0.25">
      <c r="A3806" t="s">
        <v>4253</v>
      </c>
      <c r="B3806" s="2" t="str">
        <f t="shared" si="3391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3441">$G3806&amp;""</f>
        <v>o</v>
      </c>
      <c r="N3806" t="str">
        <f t="shared" ref="N3806:N3807" si="3442">$H3806&amp;""</f>
        <v>11/2</v>
      </c>
      <c r="O3806">
        <v>105566.62</v>
      </c>
      <c r="P3806" t="str">
        <f t="shared" ref="P3806:P3807" si="3443">$J3806&amp;""</f>
        <v>e</v>
      </c>
      <c r="Q3806" t="str">
        <f t="shared" ref="Q3806:Q3807" si="3444">$K3806&amp;""</f>
        <v>9/2</v>
      </c>
      <c r="R3806">
        <v>35</v>
      </c>
      <c r="AA3806" s="10">
        <f t="shared" si="3399"/>
        <v>2324.4380000000001</v>
      </c>
      <c r="AB3806" s="3">
        <f t="shared" si="3400"/>
        <v>43007.95</v>
      </c>
      <c r="AC3806" s="3" cm="1">
        <f t="array" ref="AC3806">100000000/LvacE(AA3806)</f>
        <v>43007.946487637593</v>
      </c>
      <c r="AD3806" s="10">
        <f t="shared" si="3401"/>
        <v>1.4251256967842893E-2</v>
      </c>
      <c r="AE3806" s="10" t="b">
        <f t="shared" si="3402"/>
        <v>1</v>
      </c>
      <c r="AJ3806" t="s">
        <v>4821</v>
      </c>
      <c r="AK3806" t="s">
        <v>4878</v>
      </c>
      <c r="AL3806">
        <v>62558.67</v>
      </c>
      <c r="AM3806">
        <v>105566.62</v>
      </c>
      <c r="AN3806" s="10" cm="1">
        <f t="array" ref="AN3806">Lair(100000000/($AM3806-$AL3806))</f>
        <v>2324.4378149304625</v>
      </c>
      <c r="AO3806" s="10">
        <f t="shared" ref="AO3806:AO3807" si="3445">100000000/($AM3806-$AL3806)</f>
        <v>2325.1515126854456</v>
      </c>
      <c r="AP3806" s="12">
        <v>3620000000</v>
      </c>
      <c r="AQ3806" s="3">
        <v>0.74099999999999999</v>
      </c>
      <c r="AR3806" s="3">
        <f>LN(AU3806*100000000/($AM3806-$AL3806)/AP3806)</f>
        <v>-10.668786658950127</v>
      </c>
      <c r="AS3806" s="13">
        <f>EXP(AR$4341*$AM3806+AR$4342)*$AP3806/(100000000/($AM3806-$AL3806))</f>
        <v>49.898057266003804</v>
      </c>
      <c r="AT3806" s="3">
        <f>LN(AS3806/$C3806)</f>
        <v>1.9640719203992545</v>
      </c>
      <c r="AU3806" s="13" cm="1">
        <f t="array" ref="AU3806">$C3806*EXP(poly_from_str(100000000/$E3806,AU$4343))</f>
        <v>36.21280266873913</v>
      </c>
      <c r="AV3806" s="13">
        <f>LN(AS3806/AU3806)</f>
        <v>0.32056934826522915</v>
      </c>
      <c r="AW3806" s="13"/>
      <c r="AX3806" s="13"/>
      <c r="AY3806" s="13"/>
    </row>
    <row r="3807" spans="1:51" x14ac:dyDescent="0.25">
      <c r="A3807" t="s">
        <v>4254</v>
      </c>
      <c r="B3807" s="2" t="str">
        <f t="shared" si="3391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3441"/>
        <v>e</v>
      </c>
      <c r="N3807" t="str">
        <f t="shared" si="3442"/>
        <v>3/2</v>
      </c>
      <c r="O3807">
        <v>78889.14</v>
      </c>
      <c r="P3807" t="str">
        <f t="shared" si="3443"/>
        <v>o</v>
      </c>
      <c r="Q3807" t="str">
        <f t="shared" si="3444"/>
        <v>3/2</v>
      </c>
      <c r="R3807">
        <v>35</v>
      </c>
      <c r="AA3807" s="10">
        <f t="shared" si="3399"/>
        <v>2323.4920000000002</v>
      </c>
      <c r="AB3807" s="3">
        <f t="shared" si="3400"/>
        <v>43025.45</v>
      </c>
      <c r="AC3807" s="3" cm="1">
        <f t="array" ref="AC3807">100000000/LvacE(AA3807)</f>
        <v>43025.455489059583</v>
      </c>
      <c r="AD3807" s="10">
        <f t="shared" si="3401"/>
        <v>1.4258791398692051E-2</v>
      </c>
      <c r="AE3807" s="10" t="b">
        <f t="shared" si="3402"/>
        <v>1</v>
      </c>
      <c r="AJ3807" t="s">
        <v>4811</v>
      </c>
      <c r="AK3807" t="s">
        <v>4877</v>
      </c>
      <c r="AL3807">
        <v>35863.74</v>
      </c>
      <c r="AM3807">
        <v>78889.14</v>
      </c>
      <c r="AN3807" s="10" cm="1">
        <f t="array" ref="AN3807">Lair(100000000/($AM3807-$AL3807))</f>
        <v>2323.4950016244993</v>
      </c>
      <c r="AO3807" s="10">
        <f t="shared" si="3445"/>
        <v>2324.2084907984586</v>
      </c>
      <c r="AU3807" s="13" cm="1">
        <f t="array" ref="AU3807">$C3807*EXP(poly_from_str(100000000/$E3807,AU$4343))</f>
        <v>5.195723503151676</v>
      </c>
    </row>
    <row r="3808" spans="1:51" x14ac:dyDescent="0.25">
      <c r="A3808" t="s">
        <v>4255</v>
      </c>
      <c r="B3808" s="2" t="str">
        <f t="shared" si="3391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3399"/>
        <v>2323.3589999999999</v>
      </c>
      <c r="AB3808" s="3">
        <f t="shared" si="3400"/>
        <v>43027.92</v>
      </c>
      <c r="AC3808" s="3" cm="1">
        <f t="array" ref="AC3808">100000000/LvacE(AA3808)</f>
        <v>43027.918257003905</v>
      </c>
      <c r="AD3808" s="10">
        <f t="shared" si="3401"/>
        <v>1.4259851417065532E-2</v>
      </c>
      <c r="AE3808" s="10" t="b">
        <f t="shared" si="3402"/>
        <v>1</v>
      </c>
      <c r="AP3808"/>
      <c r="AQ3808"/>
      <c r="AU3808" s="13" cm="1">
        <f t="array" ref="AU3808">$C3808*EXP(poly_from_str(100000000/$E3808,AU$4343))</f>
        <v>5.1989178603601882</v>
      </c>
    </row>
    <row r="3809" spans="1:51" x14ac:dyDescent="0.25">
      <c r="A3809" t="s">
        <v>4256</v>
      </c>
      <c r="B3809" s="2" t="str">
        <f t="shared" si="3391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3399"/>
        <v>2323.2890000000002</v>
      </c>
      <c r="AB3809" s="3">
        <f t="shared" si="3400"/>
        <v>43029.21</v>
      </c>
      <c r="AC3809" s="3" cm="1">
        <f t="array" ref="AC3809">100000000/LvacE(AA3809)</f>
        <v>43029.214563894959</v>
      </c>
      <c r="AD3809" s="10">
        <f t="shared" si="3401"/>
        <v>1.4260409394589946E-2</v>
      </c>
      <c r="AE3809" s="10" t="b">
        <f t="shared" si="3402"/>
        <v>1</v>
      </c>
      <c r="AJ3809" t="s">
        <v>4759</v>
      </c>
      <c r="AK3809" t="s">
        <v>4851</v>
      </c>
      <c r="AL3809">
        <v>23651.88</v>
      </c>
      <c r="AM3809">
        <v>66681.14</v>
      </c>
      <c r="AN3809" s="10" cm="1">
        <f t="array" ref="AN3809">Lair(100000000/($AM3809-$AL3809))</f>
        <v>2323.2865513548822</v>
      </c>
      <c r="AO3809" s="10">
        <f>100000000/($AM3809-$AL3809)</f>
        <v>2323.9999944224005</v>
      </c>
      <c r="AP3809" s="12">
        <v>63100000</v>
      </c>
      <c r="AQ3809" s="3">
        <v>8.5999999999999993E-2</v>
      </c>
      <c r="AR3809" s="3">
        <f>LN(AU3809*100000000/($AM3809-$AL3809)/AP3809)</f>
        <v>-7.4618021336633396</v>
      </c>
      <c r="AS3809" s="13">
        <f>EXP(AR$4341*$AM3809+AR$4342)*$AP3809/(100000000/($AM3809-$AL3809))</f>
        <v>16.106101603526881</v>
      </c>
      <c r="AT3809" s="3">
        <f>LN(AS3809/$C3809)</f>
        <v>1.680585893112446</v>
      </c>
      <c r="AU3809" s="13" cm="1">
        <f t="array" ref="AU3809">$C3809*EXP(poly_from_str(100000000/$E3809,AU$4343))</f>
        <v>15.60176545861593</v>
      </c>
      <c r="AV3809" s="13">
        <f>LN(AS3809/AU3809)</f>
        <v>3.1814103504255536E-2</v>
      </c>
      <c r="AW3809" s="13"/>
      <c r="AX3809" s="13"/>
      <c r="AY3809" s="13"/>
    </row>
    <row r="3810" spans="1:51" x14ac:dyDescent="0.25">
      <c r="A3810" t="s">
        <v>4257</v>
      </c>
      <c r="B3810" s="2" t="str">
        <f t="shared" si="3391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3399"/>
        <v>2322.5250000000001</v>
      </c>
      <c r="AB3810" s="3">
        <f t="shared" si="3400"/>
        <v>43043.37</v>
      </c>
      <c r="AC3810" s="3" cm="1">
        <f t="array" ref="AC3810">100000000/LvacE(AA3810)</f>
        <v>43043.367907297245</v>
      </c>
      <c r="AD3810" s="10">
        <f t="shared" si="3401"/>
        <v>1.4266502601112421E-2</v>
      </c>
      <c r="AE3810" s="10" t="b">
        <f t="shared" si="3402"/>
        <v>1</v>
      </c>
      <c r="AP3810"/>
      <c r="AQ3810"/>
      <c r="AU3810" s="13" cm="1">
        <f t="array" ref="AU3810">$C3810*EXP(poly_from_str(100000000/$E3810,AU$4343))</f>
        <v>41.752252301107895</v>
      </c>
    </row>
    <row r="3811" spans="1:51" x14ac:dyDescent="0.25">
      <c r="A3811" t="s">
        <v>4258</v>
      </c>
      <c r="B3811" s="2" t="str">
        <f t="shared" si="3391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3399"/>
        <v>2321.9929999999999</v>
      </c>
      <c r="AB3811" s="3">
        <f t="shared" si="3400"/>
        <v>43053.23</v>
      </c>
      <c r="AC3811" s="3" cm="1">
        <f t="array" ref="AC3811">100000000/LvacE(AA3811)</f>
        <v>43053.228876546978</v>
      </c>
      <c r="AD3811" s="10">
        <f t="shared" si="3401"/>
        <v>1.4270749066975435E-2</v>
      </c>
      <c r="AE3811" s="10" t="b">
        <f t="shared" si="3402"/>
        <v>1</v>
      </c>
      <c r="AP3811"/>
      <c r="AQ3811"/>
      <c r="AU3811" s="13" cm="1">
        <f t="array" ref="AU3811">$C3811*EXP(poly_from_str(100000000/$E3811,AU$4343))</f>
        <v>31.391930204032601</v>
      </c>
    </row>
    <row r="3812" spans="1:51" x14ac:dyDescent="0.25">
      <c r="A3812" t="s">
        <v>4259</v>
      </c>
      <c r="B3812" s="2" t="str">
        <f t="shared" si="3391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3446">$G3812&amp;""</f>
        <v>e</v>
      </c>
      <c r="N3812" t="str">
        <f t="shared" ref="N3812:N3814" si="3447">$H3812&amp;""</f>
        <v>3/2</v>
      </c>
      <c r="O3812">
        <v>71994.81</v>
      </c>
      <c r="P3812" t="str">
        <f t="shared" ref="P3812:P3814" si="3448">$J3812&amp;""</f>
        <v>o</v>
      </c>
      <c r="Q3812" t="str">
        <f t="shared" ref="Q3812:Q3814" si="3449">$K3812&amp;""</f>
        <v>5/2</v>
      </c>
      <c r="R3812">
        <v>35</v>
      </c>
      <c r="AA3812" s="10">
        <f t="shared" si="3399"/>
        <v>2321.7170000000001</v>
      </c>
      <c r="AB3812" s="3">
        <f t="shared" si="3400"/>
        <v>43058.35</v>
      </c>
      <c r="AC3812" s="3" cm="1">
        <f t="array" ref="AC3812">100000000/LvacE(AA3812)</f>
        <v>43058.346497824416</v>
      </c>
      <c r="AD3812" s="10">
        <f t="shared" si="3401"/>
        <v>1.4272953270752727E-2</v>
      </c>
      <c r="AE3812" s="10" t="b">
        <f t="shared" si="3402"/>
        <v>1</v>
      </c>
      <c r="AJ3812" t="s">
        <v>4801</v>
      </c>
      <c r="AK3812" t="s">
        <v>4900</v>
      </c>
      <c r="AL3812">
        <v>28936.46</v>
      </c>
      <c r="AM3812">
        <v>71994.81</v>
      </c>
      <c r="AN3812" s="10" cm="1">
        <f t="array" ref="AN3812">Lair(100000000/($AM3812-$AL3812))</f>
        <v>2321.7168159940984</v>
      </c>
      <c r="AO3812" s="10">
        <f t="shared" ref="AO3812:AO3814" si="3450">100000000/($AM3812-$AL3812)</f>
        <v>2322.4299119682942</v>
      </c>
      <c r="AP3812" s="12">
        <v>6790000</v>
      </c>
      <c r="AQ3812" s="3">
        <v>2.4E-2</v>
      </c>
      <c r="AR3812" s="3"/>
      <c r="AS3812" s="13">
        <f t="shared" ref="AS3812:AS3814" si="3451">EXP(AR$4341*$AM3812+AR$4342)*$AP3812/(100000000/($AM3812-$AL3812))</f>
        <v>1.1639628818906995</v>
      </c>
      <c r="AT3812" s="3"/>
      <c r="AU3812" s="13" cm="1">
        <f t="array" ref="AU3812">$C3812*EXP(poly_from_str(100000000/$E3812,AU$4343))</f>
        <v>26.193768932784572</v>
      </c>
      <c r="AV3812" s="13"/>
      <c r="AW3812" s="13"/>
      <c r="AX3812" s="13"/>
      <c r="AY3812" s="13"/>
    </row>
    <row r="3813" spans="1:51" x14ac:dyDescent="0.25">
      <c r="A3813" t="s">
        <v>4260</v>
      </c>
      <c r="B3813" s="2" t="str">
        <f t="shared" si="3391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3446"/>
        <v>e</v>
      </c>
      <c r="N3813" t="str">
        <f t="shared" si="3447"/>
        <v>1/2</v>
      </c>
      <c r="O3813">
        <v>79742.36</v>
      </c>
      <c r="P3813" t="str">
        <f t="shared" si="3448"/>
        <v>o</v>
      </c>
      <c r="Q3813" t="str">
        <f t="shared" si="3449"/>
        <v>1/2</v>
      </c>
      <c r="R3813">
        <v>35</v>
      </c>
      <c r="AA3813" s="10">
        <f t="shared" si="3399"/>
        <v>2321.672</v>
      </c>
      <c r="AB3813" s="3">
        <f t="shared" si="3400"/>
        <v>43059.18</v>
      </c>
      <c r="AC3813" s="3" cm="1">
        <f t="array" ref="AC3813">100000000/LvacE(AA3813)</f>
        <v>43059.181007942701</v>
      </c>
      <c r="AD3813" s="10">
        <f t="shared" si="3401"/>
        <v>1.4273312726333157E-2</v>
      </c>
      <c r="AE3813" s="10" t="b">
        <f t="shared" si="3402"/>
        <v>1</v>
      </c>
      <c r="AJ3813" t="s">
        <v>4775</v>
      </c>
      <c r="AK3813" t="s">
        <v>4897</v>
      </c>
      <c r="AL3813">
        <v>36683.21</v>
      </c>
      <c r="AM3813">
        <v>79742.36</v>
      </c>
      <c r="AN3813" s="10" cm="1">
        <f t="array" ref="AN3813">Lair(100000000/($AM3813-$AL3813))</f>
        <v>2321.673676886166</v>
      </c>
      <c r="AO3813" s="10">
        <f t="shared" si="3450"/>
        <v>2322.3867633244035</v>
      </c>
      <c r="AP3813" s="12">
        <v>104000000</v>
      </c>
      <c r="AQ3813" s="3">
        <v>0.70799999999999996</v>
      </c>
      <c r="AR3813" s="3">
        <f t="shared" ref="AR3813:AR3814" si="3452">LN(AU3813*100000000/($AM3813-$AL3813)/AP3813)</f>
        <v>-8.3601101308073051</v>
      </c>
      <c r="AS3813" s="13">
        <f t="shared" si="3451"/>
        <v>9.9678057320072444</v>
      </c>
      <c r="AT3813" s="3">
        <f t="shared" ref="AT3813:AT3814" si="3453">LN(AS3813/$C3813)</f>
        <v>1.6062132921306336</v>
      </c>
      <c r="AU3813" s="13" cm="1">
        <f t="array" ref="AU3813">$C3813*EXP(poly_from_str(100000000/$E3813,AU$4343))</f>
        <v>10.479705875369065</v>
      </c>
      <c r="AV3813" s="13">
        <f t="shared" ref="AV3813:AV3814" si="3454">LN(AS3813/AU3813)</f>
        <v>-5.0080140481099364E-2</v>
      </c>
      <c r="AW3813" s="13"/>
      <c r="AX3813" s="13"/>
      <c r="AY3813" s="13"/>
    </row>
    <row r="3814" spans="1:51" x14ac:dyDescent="0.25">
      <c r="A3814" t="s">
        <v>4261</v>
      </c>
      <c r="B3814" s="2" t="str">
        <f t="shared" si="3391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3446"/>
        <v>e</v>
      </c>
      <c r="N3814" t="str">
        <f t="shared" si="3447"/>
        <v>3/2</v>
      </c>
      <c r="O3814">
        <v>63221.279999999999</v>
      </c>
      <c r="P3814" t="str">
        <f t="shared" si="3448"/>
        <v>o</v>
      </c>
      <c r="Q3814" t="str">
        <f t="shared" si="3449"/>
        <v>3/2</v>
      </c>
      <c r="R3814">
        <v>35</v>
      </c>
      <c r="AA3814" s="10">
        <f t="shared" si="3399"/>
        <v>2321.58</v>
      </c>
      <c r="AB3814" s="3">
        <f t="shared" si="3400"/>
        <v>43060.89</v>
      </c>
      <c r="AC3814" s="3" cm="1">
        <f t="array" ref="AC3814">100000000/LvacE(AA3814)</f>
        <v>43060.887218179974</v>
      </c>
      <c r="AD3814" s="10">
        <f t="shared" si="3401"/>
        <v>1.4274047678344053E-2</v>
      </c>
      <c r="AE3814" s="10" t="b">
        <f t="shared" si="3402"/>
        <v>1</v>
      </c>
      <c r="AJ3814" t="s">
        <v>4786</v>
      </c>
      <c r="AK3814" t="s">
        <v>4707</v>
      </c>
      <c r="AL3814">
        <v>20160.36</v>
      </c>
      <c r="AM3814">
        <v>63221.279999999999</v>
      </c>
      <c r="AN3814" s="10" cm="1">
        <f t="array" ref="AN3814">Lair(100000000/($AM3814-$AL3814))</f>
        <v>2321.5782373057878</v>
      </c>
      <c r="AO3814" s="10">
        <f t="shared" si="3450"/>
        <v>2322.2913026475053</v>
      </c>
      <c r="AP3814" s="12">
        <v>35800000</v>
      </c>
      <c r="AQ3814" s="3">
        <v>0.22600000000000001</v>
      </c>
      <c r="AR3814" s="3">
        <f t="shared" si="3452"/>
        <v>-6.3769850145849363</v>
      </c>
      <c r="AS3814" s="13">
        <f t="shared" si="3451"/>
        <v>11.855739497895993</v>
      </c>
      <c r="AT3814" s="3">
        <f t="shared" si="3453"/>
        <v>0.86337418370347441</v>
      </c>
      <c r="AU3814" s="13" cm="1">
        <f t="array" ref="AU3814">$C3814*EXP(poly_from_str(100000000/$E3814,AU$4343))</f>
        <v>26.210597902128839</v>
      </c>
      <c r="AV3814" s="13">
        <f t="shared" si="3454"/>
        <v>-0.79335173292262662</v>
      </c>
      <c r="AW3814" s="13"/>
      <c r="AX3814" s="13"/>
      <c r="AY3814" s="13"/>
    </row>
    <row r="3815" spans="1:51" x14ac:dyDescent="0.25">
      <c r="A3815" t="s">
        <v>4262</v>
      </c>
      <c r="B3815" s="2" t="str">
        <f t="shared" si="3391"/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3399"/>
        <v>2321.3220000000001</v>
      </c>
      <c r="AB3815" s="3">
        <f t="shared" si="3400"/>
        <v>43065.67</v>
      </c>
      <c r="AC3815" s="3" cm="1">
        <f t="array" ref="AC3815">100000000/LvacE(AA3815)</f>
        <v>43065.672746455268</v>
      </c>
      <c r="AD3815" s="10">
        <f t="shared" si="3401"/>
        <v>1.42761092055422E-2</v>
      </c>
      <c r="AE3815" s="10" t="b">
        <f t="shared" si="3402"/>
        <v>1</v>
      </c>
      <c r="AP3815"/>
      <c r="AQ3815"/>
      <c r="AU3815" s="13" cm="1">
        <f t="array" ref="AU3815">$C3815*EXP(poly_from_str(100000000/$E3815,AU$4343))</f>
        <v>5.2484707929183383</v>
      </c>
    </row>
    <row r="3816" spans="1:51" x14ac:dyDescent="0.25">
      <c r="A3816" t="s">
        <v>4263</v>
      </c>
      <c r="B3816" s="2" t="str">
        <f t="shared" si="3391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3455">$G3816&amp;""</f>
        <v>o</v>
      </c>
      <c r="N3816" t="str">
        <f t="shared" ref="N3816:N3819" si="3456">$H3816&amp;""</f>
        <v>11/2</v>
      </c>
      <c r="O3816">
        <v>105632.16</v>
      </c>
      <c r="P3816" t="str">
        <f t="shared" ref="P3816:P3819" si="3457">$J3816&amp;""</f>
        <v>e</v>
      </c>
      <c r="Q3816" t="str">
        <f t="shared" ref="Q3816:Q3819" si="3458">$K3816&amp;""</f>
        <v>13/2</v>
      </c>
      <c r="R3816">
        <v>35</v>
      </c>
      <c r="AA3816" s="10">
        <f t="shared" si="3399"/>
        <v>2320.9059999999999</v>
      </c>
      <c r="AB3816" s="3">
        <f t="shared" si="3400"/>
        <v>43073.39</v>
      </c>
      <c r="AC3816" s="3" cm="1">
        <f t="array" ref="AC3816">100000000/LvacE(AA3816)</f>
        <v>43073.391187497837</v>
      </c>
      <c r="AD3816" s="10">
        <f t="shared" si="3401"/>
        <v>1.4279434666353966E-2</v>
      </c>
      <c r="AE3816" s="10" t="b">
        <f t="shared" si="3402"/>
        <v>1</v>
      </c>
      <c r="AJ3816" t="s">
        <v>4821</v>
      </c>
      <c r="AK3816" t="s">
        <v>4887</v>
      </c>
      <c r="AL3816">
        <v>62558.67</v>
      </c>
      <c r="AM3816">
        <v>105632.16</v>
      </c>
      <c r="AN3816" s="10" cm="1">
        <f t="array" ref="AN3816">Lair(100000000/($AM3816-$AL3816))</f>
        <v>2320.9006801491523</v>
      </c>
      <c r="AO3816" s="10">
        <f t="shared" ref="AO3816:AO3819" si="3459">100000000/($AM3816-$AL3816)</f>
        <v>2321.6135957406746</v>
      </c>
      <c r="AP3816" s="12">
        <v>113000000</v>
      </c>
      <c r="AQ3816" s="3">
        <v>0.02</v>
      </c>
      <c r="AR3816" s="3"/>
      <c r="AS3816" s="13">
        <f t="shared" ref="AS3816:AS3819" si="3460">EXP(AR$4341*$AM3816+AR$4342)*$AP3816/(100000000/($AM3816-$AL3816))</f>
        <v>1.5523109608159595</v>
      </c>
      <c r="AT3816" s="3"/>
      <c r="AU3816" s="13" cm="1">
        <f t="array" ref="AU3816">$C3816*EXP(poly_from_str(100000000/$E3816,AU$4343))</f>
        <v>10.517551811754663</v>
      </c>
      <c r="AV3816" s="13"/>
      <c r="AW3816" s="13"/>
      <c r="AX3816" s="13"/>
      <c r="AY3816" s="13"/>
    </row>
    <row r="3817" spans="1:51" x14ac:dyDescent="0.25">
      <c r="A3817" t="s">
        <v>4264</v>
      </c>
      <c r="B3817" s="2">
        <f t="shared" si="3391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3455"/>
        <v>e</v>
      </c>
      <c r="N3817" t="str">
        <f t="shared" si="3456"/>
        <v>7/2</v>
      </c>
      <c r="O3817">
        <v>68492.429999999993</v>
      </c>
      <c r="P3817" t="str">
        <f t="shared" si="3457"/>
        <v>o</v>
      </c>
      <c r="Q3817" t="str">
        <f t="shared" si="3458"/>
        <v>7/2</v>
      </c>
      <c r="R3817">
        <v>35</v>
      </c>
      <c r="AA3817" s="10">
        <f t="shared" si="3399"/>
        <v>2320.4059999999999</v>
      </c>
      <c r="AB3817" s="3">
        <f t="shared" si="3400"/>
        <v>43082.67</v>
      </c>
      <c r="AC3817" s="3" cm="1">
        <f t="array" ref="AC3817">100000000/LvacE(AA3817)</f>
        <v>43082.671821411634</v>
      </c>
      <c r="AD3817" s="10">
        <f t="shared" si="3401"/>
        <v>1.4283433981254062E-2</v>
      </c>
      <c r="AE3817" s="10" t="b">
        <f t="shared" si="3402"/>
        <v>1</v>
      </c>
      <c r="AJ3817" t="s">
        <v>4720</v>
      </c>
      <c r="AK3817" t="s">
        <v>4831</v>
      </c>
      <c r="AL3817">
        <v>25409.74</v>
      </c>
      <c r="AM3817">
        <v>68492.429999999993</v>
      </c>
      <c r="AN3817" s="10" cm="1">
        <f t="array" ref="AN3817">Lair(100000000/($AM3817-$AL3817))</f>
        <v>2320.4050257109925</v>
      </c>
      <c r="AO3817" s="10">
        <f t="shared" si="3459"/>
        <v>2321.1178317788426</v>
      </c>
      <c r="AP3817" s="12">
        <v>330000000</v>
      </c>
      <c r="AQ3817" s="3">
        <v>0.26800000000000002</v>
      </c>
      <c r="AR3817" s="3">
        <f>LN(AU3817*100000000/($AM3817-$AL3817)/AP3817)</f>
        <v>-7.8999480343812376</v>
      </c>
      <c r="AS3817" s="13">
        <f t="shared" si="3460"/>
        <v>73.617264032883384</v>
      </c>
      <c r="AT3817" s="3">
        <f t="shared" ref="AT3817:AT3819" si="3461">LN(AS3817/$C3817)</f>
        <v>1.9962944708987371</v>
      </c>
      <c r="AU3817" s="13" cm="1">
        <f t="array" ref="AU3817">$C3817*EXP(poly_from_str(100000000/$E3817,AU$4343))</f>
        <v>52.712414938321444</v>
      </c>
      <c r="AV3817" s="13">
        <f>LN(AS3817/AU3817)</f>
        <v>0.3340285585122495</v>
      </c>
      <c r="AW3817" s="13"/>
      <c r="AX3817" s="13"/>
      <c r="AY3817" s="13"/>
    </row>
    <row r="3818" spans="1:51" x14ac:dyDescent="0.25">
      <c r="A3818" t="s">
        <v>4264</v>
      </c>
      <c r="B3818" s="2">
        <f t="shared" si="3391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3455"/>
        <v>e</v>
      </c>
      <c r="N3818" t="str">
        <f t="shared" si="3456"/>
        <v>9/2</v>
      </c>
      <c r="O3818">
        <v>67870.759999999995</v>
      </c>
      <c r="P3818" t="str">
        <f t="shared" si="3457"/>
        <v>o</v>
      </c>
      <c r="Q3818" t="str">
        <f t="shared" si="3458"/>
        <v>9/2</v>
      </c>
      <c r="R3818">
        <v>35</v>
      </c>
      <c r="AA3818" s="10">
        <f t="shared" si="3399"/>
        <v>2320.4059999999999</v>
      </c>
      <c r="AB3818" s="3">
        <f t="shared" si="3400"/>
        <v>43082.67</v>
      </c>
      <c r="AC3818" s="3" cm="1">
        <f t="array" ref="AC3818">100000000/LvacE(AA3818)</f>
        <v>43082.671821411634</v>
      </c>
      <c r="AD3818" s="10">
        <f t="shared" si="3401"/>
        <v>1.4283433981254062E-2</v>
      </c>
      <c r="AE3818" s="10" t="b">
        <f t="shared" si="3402"/>
        <v>1</v>
      </c>
      <c r="AJ3818" t="s">
        <v>4705</v>
      </c>
      <c r="AK3818" t="s">
        <v>4755</v>
      </c>
      <c r="AL3818">
        <v>24788.02</v>
      </c>
      <c r="AM3818">
        <v>67870.759999999995</v>
      </c>
      <c r="AN3818" s="10" cm="1">
        <f t="array" ref="AN3818">Lair(100000000/($AM3818-$AL3818))</f>
        <v>2320.4023325151798</v>
      </c>
      <c r="AO3818" s="10">
        <f t="shared" si="3459"/>
        <v>2321.1151379879743</v>
      </c>
      <c r="AP3818" s="12">
        <v>25700000</v>
      </c>
      <c r="AQ3818" s="3">
        <v>3.5000000000000003E-2</v>
      </c>
      <c r="AR3818" s="3"/>
      <c r="AS3818" s="13">
        <f t="shared" si="3460"/>
        <v>6.0070476071089471</v>
      </c>
      <c r="AT3818" s="3"/>
      <c r="AU3818" s="13" cm="1">
        <f t="array" ref="AU3818">$C3818*EXP(poly_from_str(100000000/$E3818,AU$4343))</f>
        <v>52.712414938321444</v>
      </c>
      <c r="AV3818" s="13"/>
      <c r="AW3818" s="13"/>
      <c r="AX3818" s="13"/>
      <c r="AY3818" s="13"/>
    </row>
    <row r="3819" spans="1:51" x14ac:dyDescent="0.25">
      <c r="A3819" t="s">
        <v>4265</v>
      </c>
      <c r="B3819" s="2" t="str">
        <f t="shared" si="3391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3455"/>
        <v>e</v>
      </c>
      <c r="N3819" t="str">
        <f t="shared" si="3456"/>
        <v>3/2</v>
      </c>
      <c r="O3819">
        <v>67395.320000000007</v>
      </c>
      <c r="P3819" t="str">
        <f t="shared" si="3457"/>
        <v>o</v>
      </c>
      <c r="Q3819" t="str">
        <f t="shared" si="3458"/>
        <v>5/2</v>
      </c>
      <c r="R3819">
        <v>35</v>
      </c>
      <c r="S3819" t="s">
        <v>97</v>
      </c>
      <c r="AA3819" s="10">
        <f t="shared" si="3399"/>
        <v>2320.223</v>
      </c>
      <c r="AB3819" s="3">
        <f t="shared" si="3400"/>
        <v>43086.07</v>
      </c>
      <c r="AC3819" s="3" cm="1">
        <f t="array" ref="AC3819">100000000/LvacE(AA3819)</f>
        <v>43086.069533128823</v>
      </c>
      <c r="AD3819" s="10">
        <f t="shared" si="3401"/>
        <v>1.4284898376821717E-2</v>
      </c>
      <c r="AE3819" s="10" t="b">
        <f t="shared" si="3402"/>
        <v>1</v>
      </c>
      <c r="AJ3819" t="s">
        <v>4749</v>
      </c>
      <c r="AK3819" t="s">
        <v>4894</v>
      </c>
      <c r="AL3819">
        <v>24309.200000000001</v>
      </c>
      <c r="AM3819">
        <v>67395.320000000007</v>
      </c>
      <c r="AN3819" s="10" cm="1">
        <f t="array" ref="AN3819">Lair(100000000/($AM3819-$AL3819))</f>
        <v>2320.2202869703378</v>
      </c>
      <c r="AO3819" s="10">
        <f t="shared" si="3459"/>
        <v>2320.9330522219216</v>
      </c>
      <c r="AP3819" s="12">
        <v>14000000</v>
      </c>
      <c r="AQ3819" s="3">
        <v>5.0999999999999997E-2</v>
      </c>
      <c r="AR3819" s="3">
        <f>LN(AU3819*100000000/($AM3819-$AL3819)/AP3819)</f>
        <v>-5.9430950093854475</v>
      </c>
      <c r="AS3819" s="13">
        <f t="shared" si="3460"/>
        <v>3.391452856958928</v>
      </c>
      <c r="AT3819" s="3">
        <f t="shared" si="3461"/>
        <v>0.12264611228808342</v>
      </c>
      <c r="AU3819" s="13" cm="1">
        <f t="array" ref="AU3819">$C3819*EXP(poly_from_str(100000000/$E3819,AU$4343))</f>
        <v>15.827490238669192</v>
      </c>
      <c r="AV3819" s="13">
        <f>LN(AS3819/AU3819)</f>
        <v>-1.5404899157474403</v>
      </c>
      <c r="AW3819" s="13"/>
      <c r="AX3819" s="13"/>
      <c r="AY3819" s="13"/>
    </row>
    <row r="3820" spans="1:51" x14ac:dyDescent="0.25">
      <c r="A3820" t="s">
        <v>4266</v>
      </c>
      <c r="B3820" s="2" t="str">
        <f t="shared" si="3391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3399"/>
        <v>2320.1190000000001</v>
      </c>
      <c r="AB3820" s="3">
        <f t="shared" si="3400"/>
        <v>43088</v>
      </c>
      <c r="AC3820" s="3" cm="1">
        <f t="array" ref="AC3820">100000000/LvacE(AA3820)</f>
        <v>43088.000711936555</v>
      </c>
      <c r="AD3820" s="10">
        <f t="shared" si="3401"/>
        <v>1.4285730756038062E-2</v>
      </c>
      <c r="AE3820" s="10" t="b">
        <f t="shared" si="3402"/>
        <v>1</v>
      </c>
      <c r="AP3820"/>
      <c r="AQ3820"/>
      <c r="AU3820" s="13" cm="1">
        <f t="array" ref="AU3820">$C3820*EXP(poly_from_str(100000000/$E3820,AU$4343))</f>
        <v>15.835319743372038</v>
      </c>
    </row>
    <row r="3821" spans="1:51" x14ac:dyDescent="0.25">
      <c r="A3821" t="s">
        <v>4267</v>
      </c>
      <c r="B3821" s="2" t="str">
        <f t="shared" si="3391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3462">$G3821&amp;""</f>
        <v>e</v>
      </c>
      <c r="N3821" t="str">
        <f t="shared" ref="N3821:N3822" si="3463">$H3821&amp;""</f>
        <v>11/2</v>
      </c>
      <c r="O3821">
        <v>64857.15</v>
      </c>
      <c r="P3821" t="str">
        <f t="shared" ref="P3821:P3822" si="3464">$J3821&amp;""</f>
        <v>o</v>
      </c>
      <c r="Q3821" t="str">
        <f t="shared" ref="Q3821:Q3822" si="3465">$K3821&amp;""</f>
        <v>9/2</v>
      </c>
      <c r="R3821">
        <v>35</v>
      </c>
      <c r="AA3821" s="10">
        <f t="shared" si="3399"/>
        <v>2319.4029999999998</v>
      </c>
      <c r="AB3821" s="3">
        <f t="shared" si="3400"/>
        <v>43101.3</v>
      </c>
      <c r="AC3821" s="3" cm="1">
        <f t="array" ref="AC3821">100000000/LvacE(AA3821)</f>
        <v>43101.300834876085</v>
      </c>
      <c r="AD3821" s="10">
        <f t="shared" si="3401"/>
        <v>1.4291464405900157E-2</v>
      </c>
      <c r="AE3821" s="10" t="b">
        <f t="shared" si="3402"/>
        <v>1</v>
      </c>
      <c r="AJ3821" t="s">
        <v>4965</v>
      </c>
      <c r="AK3821" t="s">
        <v>4854</v>
      </c>
      <c r="AL3821">
        <v>21755.84</v>
      </c>
      <c r="AM3821">
        <v>64857.15</v>
      </c>
      <c r="AN3821" s="10" cm="1">
        <f t="array" ref="AN3821">Lair(100000000/($AM3821-$AL3821))</f>
        <v>2319.4025116648181</v>
      </c>
      <c r="AO3821" s="10">
        <f t="shared" ref="AO3821:AO3822" si="3466">100000000/($AM3821-$AL3821)</f>
        <v>2320.1150962696961</v>
      </c>
      <c r="AP3821" s="12">
        <v>572000000</v>
      </c>
      <c r="AQ3821" s="3">
        <v>0.46400000000000002</v>
      </c>
      <c r="AR3821" s="3">
        <f>LN(AU3821*100000000/($AM3821-$AL3821)/AP3821)</f>
        <v>-8.4456411665622628</v>
      </c>
      <c r="AS3821" s="13">
        <f>EXP(AR$4341*$AM3821+AR$4342)*$AP3821/(100000000/($AM3821-$AL3821))</f>
        <v>167.69954989806027</v>
      </c>
      <c r="AT3821" s="3">
        <f>LN(AS3821/$C3821)</f>
        <v>2.8195888918604974</v>
      </c>
      <c r="AU3821" s="13" cm="1">
        <f t="array" ref="AU3821">$C3821*EXP(poly_from_str(100000000/$E3821,AU$4343))</f>
        <v>52.965264340631421</v>
      </c>
      <c r="AV3821" s="13">
        <f>LN(AS3821/AU3821)</f>
        <v>1.152537675963607</v>
      </c>
      <c r="AW3821" s="13"/>
      <c r="AX3821" s="13"/>
      <c r="AY3821" s="13"/>
    </row>
    <row r="3822" spans="1:51" x14ac:dyDescent="0.25">
      <c r="A3822" t="s">
        <v>4268</v>
      </c>
      <c r="B3822" s="2" t="str">
        <f t="shared" si="3391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3462"/>
        <v>e</v>
      </c>
      <c r="N3822" t="str">
        <f t="shared" si="3463"/>
        <v>11/2</v>
      </c>
      <c r="O3822">
        <v>73609.100000000006</v>
      </c>
      <c r="P3822" t="str">
        <f t="shared" si="3464"/>
        <v>o</v>
      </c>
      <c r="Q3822" t="str">
        <f t="shared" si="3465"/>
        <v>11/2</v>
      </c>
      <c r="R3822">
        <v>35</v>
      </c>
      <c r="AA3822" s="10">
        <f t="shared" si="3399"/>
        <v>2319.29</v>
      </c>
      <c r="AB3822" s="3">
        <f t="shared" si="3400"/>
        <v>43103.4</v>
      </c>
      <c r="AC3822" s="3" cm="1">
        <f t="array" ref="AC3822">100000000/LvacE(AA3822)</f>
        <v>43103.400626765164</v>
      </c>
      <c r="AD3822" s="10">
        <f t="shared" si="3401"/>
        <v>1.4292369782727722E-2</v>
      </c>
      <c r="AE3822" s="10" t="b">
        <f t="shared" si="3402"/>
        <v>1</v>
      </c>
      <c r="AJ3822" t="s">
        <v>4706</v>
      </c>
      <c r="AK3822" t="s">
        <v>4899</v>
      </c>
      <c r="AL3822">
        <v>30505.72</v>
      </c>
      <c r="AM3822">
        <v>73609.100000000006</v>
      </c>
      <c r="AN3822" s="10" cm="1">
        <f t="array" ref="AN3822">Lair(100000000/($AM3822-$AL3822))</f>
        <v>2319.2911148843446</v>
      </c>
      <c r="AO3822" s="10">
        <f t="shared" si="3466"/>
        <v>2320.0036748858206</v>
      </c>
      <c r="AU3822" s="13" cm="1">
        <f t="array" ref="AU3822">$C3822*EXP(poly_from_str(100000000/$E3822,AU$4343))</f>
        <v>15.898195501991827</v>
      </c>
    </row>
    <row r="3823" spans="1:51" x14ac:dyDescent="0.25">
      <c r="A3823" t="s">
        <v>4269</v>
      </c>
      <c r="B3823" s="2" t="str">
        <f t="shared" si="3391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3399"/>
        <v>2319.1529999999998</v>
      </c>
      <c r="AB3823" s="3">
        <f t="shared" si="3400"/>
        <v>43105.95</v>
      </c>
      <c r="AC3823" s="3" cm="1">
        <f t="array" ref="AC3823">100000000/LvacE(AA3823)</f>
        <v>43105.94666653181</v>
      </c>
      <c r="AD3823" s="10">
        <f t="shared" si="3401"/>
        <v>1.429346762946037E-2</v>
      </c>
      <c r="AE3823" s="10" t="b">
        <f t="shared" si="3402"/>
        <v>1</v>
      </c>
      <c r="AP3823"/>
      <c r="AQ3823"/>
      <c r="AU3823" s="13" cm="1">
        <f t="array" ref="AU3823">$C3823*EXP(poly_from_str(100000000/$E3823,AU$4343))</f>
        <v>5.3028920139798812</v>
      </c>
    </row>
    <row r="3824" spans="1:51" x14ac:dyDescent="0.25">
      <c r="A3824" t="s">
        <v>4270</v>
      </c>
      <c r="B3824" s="2" t="str">
        <f t="shared" si="3391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3467">$G3824&amp;""</f>
        <v>e</v>
      </c>
      <c r="N3824" t="str">
        <f t="shared" ref="N3824:N3827" si="3468">$H3824&amp;""</f>
        <v>11/2</v>
      </c>
      <c r="O3824">
        <v>64865.15</v>
      </c>
      <c r="P3824" t="str">
        <f t="shared" ref="P3824:P3827" si="3469">$J3824&amp;""</f>
        <v>o</v>
      </c>
      <c r="Q3824" t="str">
        <f t="shared" ref="Q3824:Q3827" si="3470">$K3824&amp;""</f>
        <v>11/2</v>
      </c>
      <c r="R3824">
        <v>35</v>
      </c>
      <c r="AA3824" s="10">
        <f t="shared" si="3399"/>
        <v>2318.973</v>
      </c>
      <c r="AB3824" s="3">
        <f t="shared" si="3400"/>
        <v>43109.29</v>
      </c>
      <c r="AC3824" s="3" cm="1">
        <f t="array" ref="AC3824">100000000/LvacE(AA3824)</f>
        <v>43109.292285465119</v>
      </c>
      <c r="AD3824" s="10">
        <f t="shared" si="3401"/>
        <v>1.4294910351579152E-2</v>
      </c>
      <c r="AE3824" s="10" t="b">
        <f t="shared" si="3402"/>
        <v>1</v>
      </c>
      <c r="AJ3824" t="s">
        <v>4965</v>
      </c>
      <c r="AK3824" t="s">
        <v>4896</v>
      </c>
      <c r="AL3824">
        <v>21755.84</v>
      </c>
      <c r="AM3824">
        <v>64865.15</v>
      </c>
      <c r="AN3824" s="10" cm="1">
        <f t="array" ref="AN3824">Lair(100000000/($AM3824-$AL3824))</f>
        <v>2318.9720519219577</v>
      </c>
      <c r="AO3824" s="10">
        <f t="shared" ref="AO3824:AO3827" si="3471">100000000/($AM3824-$AL3824)</f>
        <v>2319.6845414598379</v>
      </c>
      <c r="AP3824" s="12">
        <v>295000000</v>
      </c>
      <c r="AQ3824" s="3">
        <v>0.55700000000000005</v>
      </c>
      <c r="AR3824" s="3">
        <f t="shared" ref="AR3824:AR3827" si="3472">LN(AU3824*100000000/($AM3824-$AL3824)/AP3824)</f>
        <v>-7.7815976051960272</v>
      </c>
      <c r="AS3824" s="13">
        <f t="shared" ref="AS3824:AS3827" si="3473">EXP(AR$4341*$AM3824+AR$4342)*$AP3824/(100000000/($AM3824-$AL3824))</f>
        <v>86.452537828060386</v>
      </c>
      <c r="AT3824" s="3">
        <f t="shared" ref="AT3824:AT3827" si="3474">LN(AS3824/$C3824)</f>
        <v>2.1570104747258942</v>
      </c>
      <c r="AU3824" s="13" cm="1">
        <f t="array" ref="AU3824">$C3824*EXP(poly_from_str(100000000/$E3824,AU$4343))</f>
        <v>53.074778126387507</v>
      </c>
      <c r="AV3824" s="13">
        <f t="shared" ref="AV3824:AV3827" si="3475">LN(AS3824/AU3824)</f>
        <v>0.48789374051830253</v>
      </c>
      <c r="AW3824" s="13"/>
      <c r="AX3824" s="13"/>
      <c r="AY3824" s="13"/>
    </row>
    <row r="3825" spans="1:51" x14ac:dyDescent="0.25">
      <c r="A3825" t="s">
        <v>4271</v>
      </c>
      <c r="B3825" s="2" t="str">
        <f t="shared" si="3391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3467"/>
        <v>e</v>
      </c>
      <c r="N3825" t="str">
        <f t="shared" si="3468"/>
        <v>5/2</v>
      </c>
      <c r="O3825">
        <v>58158.080000000002</v>
      </c>
      <c r="P3825" t="str">
        <f t="shared" si="3469"/>
        <v>o</v>
      </c>
      <c r="Q3825" t="str">
        <f t="shared" si="3470"/>
        <v>7/2</v>
      </c>
      <c r="R3825">
        <v>35</v>
      </c>
      <c r="AA3825" s="10">
        <f t="shared" si="3399"/>
        <v>2318.8159999999998</v>
      </c>
      <c r="AB3825" s="3">
        <f t="shared" si="3400"/>
        <v>43112.21</v>
      </c>
      <c r="AC3825" s="3" cm="1">
        <f t="array" ref="AC3825">100000000/LvacE(AA3825)</f>
        <v>43112.210832668497</v>
      </c>
      <c r="AD3825" s="10">
        <f t="shared" si="3401"/>
        <v>1.4296169000185547E-2</v>
      </c>
      <c r="AE3825" s="10" t="b">
        <f t="shared" si="3402"/>
        <v>1</v>
      </c>
      <c r="AJ3825" t="s">
        <v>4976</v>
      </c>
      <c r="AK3825" t="s">
        <v>4902</v>
      </c>
      <c r="AL3825">
        <v>15045.8</v>
      </c>
      <c r="AM3825">
        <v>58158.080000000002</v>
      </c>
      <c r="AN3825" s="10" cm="1">
        <f t="array" ref="AN3825">Lair(100000000/($AM3825-$AL3825))</f>
        <v>2318.8122844021095</v>
      </c>
      <c r="AO3825" s="10">
        <f t="shared" si="3471"/>
        <v>2319.5247386591477</v>
      </c>
      <c r="AP3825" s="12">
        <v>538000000</v>
      </c>
      <c r="AQ3825" s="3">
        <v>0.81699999999999995</v>
      </c>
      <c r="AR3825" s="3">
        <f t="shared" si="3472"/>
        <v>-8.3817928604395728</v>
      </c>
      <c r="AS3825" s="13">
        <f t="shared" si="3473"/>
        <v>260.83591608315191</v>
      </c>
      <c r="AT3825" s="3">
        <f t="shared" si="3474"/>
        <v>3.2613064426193668</v>
      </c>
      <c r="AU3825" s="13" cm="1">
        <f t="array" ref="AU3825">$C3825*EXP(poly_from_str(100000000/$E3825,AU$4343))</f>
        <v>53.11496249051018</v>
      </c>
      <c r="AV3825" s="13">
        <f t="shared" si="3475"/>
        <v>1.5914328675756004</v>
      </c>
      <c r="AW3825" s="13"/>
      <c r="AX3825" s="13"/>
      <c r="AY3825" s="13"/>
    </row>
    <row r="3826" spans="1:51" x14ac:dyDescent="0.25">
      <c r="A3826" t="s">
        <v>4272</v>
      </c>
      <c r="B3826" s="2" t="str">
        <f t="shared" si="3391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3467"/>
        <v>e</v>
      </c>
      <c r="N3826" t="str">
        <f t="shared" si="3468"/>
        <v>11/2</v>
      </c>
      <c r="O3826">
        <v>61357.04</v>
      </c>
      <c r="P3826" t="str">
        <f t="shared" si="3469"/>
        <v>o</v>
      </c>
      <c r="Q3826" t="str">
        <f t="shared" si="3470"/>
        <v>9/2</v>
      </c>
      <c r="R3826">
        <v>35</v>
      </c>
      <c r="AA3826" s="10">
        <f t="shared" si="3399"/>
        <v>2318.64</v>
      </c>
      <c r="AB3826" s="3">
        <f t="shared" si="3400"/>
        <v>43115.48</v>
      </c>
      <c r="AC3826" s="3" cm="1">
        <f t="array" ref="AC3826">100000000/LvacE(AA3826)</f>
        <v>43115.483049651295</v>
      </c>
      <c r="AD3826" s="10">
        <f t="shared" si="3401"/>
        <v>1.4297580273274699E-2</v>
      </c>
      <c r="AE3826" s="10" t="b">
        <f t="shared" si="3402"/>
        <v>1</v>
      </c>
      <c r="AJ3826" t="s">
        <v>4724</v>
      </c>
      <c r="AK3826" t="s">
        <v>4903</v>
      </c>
      <c r="AL3826">
        <v>18241.54</v>
      </c>
      <c r="AM3826">
        <v>61357.04</v>
      </c>
      <c r="AN3826" s="10" cm="1">
        <f t="array" ref="AN3826">Lair(100000000/($AM3826-$AL3826))</f>
        <v>2318.6390933037487</v>
      </c>
      <c r="AO3826" s="10">
        <f t="shared" si="3471"/>
        <v>2319.3515093179949</v>
      </c>
      <c r="AP3826" s="12">
        <v>202000000</v>
      </c>
      <c r="AQ3826" s="3">
        <v>0.123</v>
      </c>
      <c r="AR3826" s="3">
        <f t="shared" si="3472"/>
        <v>-7.4014278639835229</v>
      </c>
      <c r="AS3826" s="13">
        <f t="shared" si="3473"/>
        <v>77.038382814298458</v>
      </c>
      <c r="AT3826" s="3">
        <f t="shared" si="3474"/>
        <v>2.0417186827684701</v>
      </c>
      <c r="AU3826" s="13" cm="1">
        <f t="array" ref="AU3826">$C3826*EXP(poly_from_str(100000000/$E3826,AU$4343))</f>
        <v>53.160066651824408</v>
      </c>
      <c r="AV3826" s="13">
        <f t="shared" si="3475"/>
        <v>0.37099628812171098</v>
      </c>
      <c r="AW3826" s="13"/>
      <c r="AX3826" s="13"/>
      <c r="AY3826" s="13"/>
    </row>
    <row r="3827" spans="1:51" x14ac:dyDescent="0.25">
      <c r="A3827" t="s">
        <v>4273</v>
      </c>
      <c r="B3827" s="2" t="str">
        <f t="shared" si="3391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3467"/>
        <v>e</v>
      </c>
      <c r="N3827" t="str">
        <f t="shared" si="3468"/>
        <v>3/2</v>
      </c>
      <c r="O3827">
        <v>75409.58</v>
      </c>
      <c r="P3827" t="str">
        <f t="shared" si="3469"/>
        <v>o</v>
      </c>
      <c r="Q3827" t="str">
        <f t="shared" si="3470"/>
        <v>3/2</v>
      </c>
      <c r="R3827">
        <v>35</v>
      </c>
      <c r="AA3827" s="10">
        <f t="shared" si="3399"/>
        <v>2318.364</v>
      </c>
      <c r="AB3827" s="3">
        <f t="shared" si="3400"/>
        <v>43120.61</v>
      </c>
      <c r="AC3827" s="3" cm="1">
        <f t="array" ref="AC3827">100000000/LvacE(AA3827)</f>
        <v>43120.61548109851</v>
      </c>
      <c r="AD3827" s="10">
        <f t="shared" si="3401"/>
        <v>1.4299794053284669E-2</v>
      </c>
      <c r="AE3827" s="10" t="b">
        <f t="shared" si="3402"/>
        <v>1</v>
      </c>
      <c r="AJ3827" t="s">
        <v>4719</v>
      </c>
      <c r="AK3827" t="s">
        <v>4905</v>
      </c>
      <c r="AL3827">
        <v>32288.92</v>
      </c>
      <c r="AM3827">
        <v>75409.58</v>
      </c>
      <c r="AN3827" s="10" cm="1">
        <f t="array" ref="AN3827">Lair(100000000/($AM3827-$AL3827))</f>
        <v>2318.3616111887914</v>
      </c>
      <c r="AO3827" s="10">
        <f t="shared" si="3471"/>
        <v>2319.0739659365136</v>
      </c>
      <c r="AP3827" s="12">
        <v>335000000</v>
      </c>
      <c r="AQ3827" s="3">
        <v>0.46400000000000002</v>
      </c>
      <c r="AR3827" s="3">
        <f t="shared" si="3472"/>
        <v>-7.9060760470340927</v>
      </c>
      <c r="AS3827" s="13">
        <f t="shared" si="3473"/>
        <v>44.50887851338608</v>
      </c>
      <c r="AT3827" s="3">
        <f t="shared" si="3474"/>
        <v>1.4931035934319918</v>
      </c>
      <c r="AU3827" s="13" cm="1">
        <f t="array" ref="AU3827">$C3827*EXP(poly_from_str(100000000/$E3827,AU$4343))</f>
        <v>53.231046682767548</v>
      </c>
      <c r="AV3827" s="13">
        <f t="shared" si="3475"/>
        <v>-0.1789531239650351</v>
      </c>
      <c r="AW3827" s="13"/>
      <c r="AX3827" s="13"/>
      <c r="AY3827" s="13"/>
    </row>
    <row r="3828" spans="1:51" x14ac:dyDescent="0.25">
      <c r="A3828" t="s">
        <v>4274</v>
      </c>
      <c r="B3828" s="2" t="str">
        <f t="shared" si="3391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3399"/>
        <v>2318.1529999999998</v>
      </c>
      <c r="AB3828" s="3">
        <f t="shared" si="3400"/>
        <v>43124.54</v>
      </c>
      <c r="AC3828" s="3" cm="1">
        <f t="array" ref="AC3828">100000000/LvacE(AA3828)</f>
        <v>43124.540011896228</v>
      </c>
      <c r="AD3828" s="10">
        <f t="shared" si="3401"/>
        <v>1.4301487005365099E-2</v>
      </c>
      <c r="AE3828" s="10" t="b">
        <f t="shared" si="3402"/>
        <v>1</v>
      </c>
      <c r="AP3828"/>
      <c r="AQ3828"/>
      <c r="AU3828" s="13" cm="1">
        <f t="array" ref="AU3828">$C3828*EXP(poly_from_str(100000000/$E3828,AU$4343))</f>
        <v>53.285605791707617</v>
      </c>
    </row>
    <row r="3829" spans="1:51" x14ac:dyDescent="0.25">
      <c r="A3829" t="s">
        <v>4275</v>
      </c>
      <c r="B3829" s="2" t="str">
        <f t="shared" si="3391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3476">$G3829&amp;""</f>
        <v>e</v>
      </c>
      <c r="N3829" t="str">
        <f t="shared" ref="N3829:N3833" si="3477">$H3829&amp;""</f>
        <v>13/2</v>
      </c>
      <c r="O3829">
        <v>66301.350000000006</v>
      </c>
      <c r="P3829" t="str">
        <f t="shared" ref="P3829:P3833" si="3478">$J3829&amp;""</f>
        <v>o</v>
      </c>
      <c r="Q3829" t="str">
        <f t="shared" ref="Q3829:Q3833" si="3479">$K3829&amp;""</f>
        <v>15/2</v>
      </c>
      <c r="R3829">
        <v>35</v>
      </c>
      <c r="AA3829" s="10">
        <f t="shared" si="3399"/>
        <v>2318.0639999999999</v>
      </c>
      <c r="AB3829" s="3">
        <f t="shared" si="3400"/>
        <v>43126.2</v>
      </c>
      <c r="AC3829" s="3" cm="1">
        <f t="array" ref="AC3829">100000000/LvacE(AA3829)</f>
        <v>43126.195596903381</v>
      </c>
      <c r="AD3829" s="10">
        <f t="shared" si="3401"/>
        <v>1.430220123277515E-2</v>
      </c>
      <c r="AE3829" s="10" t="b">
        <f t="shared" si="3402"/>
        <v>1</v>
      </c>
      <c r="AJ3829" t="s">
        <v>4969</v>
      </c>
      <c r="AK3829" t="s">
        <v>4824</v>
      </c>
      <c r="AL3829">
        <v>23175.09</v>
      </c>
      <c r="AM3829">
        <v>66301.350000000006</v>
      </c>
      <c r="AN3829" s="10" cm="1">
        <f t="array" ref="AN3829">Lair(100000000/($AM3829-$AL3829))</f>
        <v>2318.0605429364441</v>
      </c>
      <c r="AO3829" s="10">
        <f t="shared" ref="AO3829:AO3833" si="3480">100000000/($AM3829-$AL3829)</f>
        <v>2318.7728312169888</v>
      </c>
      <c r="AP3829" s="12">
        <v>33700000</v>
      </c>
      <c r="AQ3829" s="3">
        <v>0.59099999999999997</v>
      </c>
      <c r="AR3829" s="3">
        <f t="shared" ref="AR3829:AR3831" si="3481">LN(AU3829*100000000/($AM3829-$AL3829)/AP3829)</f>
        <v>-6.3012626802716047</v>
      </c>
      <c r="AS3829" s="13">
        <f t="shared" ref="AS3829:AS3833" si="3482">EXP(AR$4341*$AM3829+AR$4342)*$AP3829/(100000000/($AM3829-$AL3829))</f>
        <v>8.8704808124815564</v>
      </c>
      <c r="AT3829" s="3">
        <f t="shared" ref="AT3829:AT3831" si="3483">LN(AS3829/$C3829)</f>
        <v>0.57329108901144898</v>
      </c>
      <c r="AU3829" s="13" cm="1">
        <f t="array" ref="AU3829">$C3829*EXP(poly_from_str(100000000/$E3829,AU$4343))</f>
        <v>26.654349415952737</v>
      </c>
      <c r="AV3829" s="13">
        <f t="shared" ref="AV3829:AV3831" si="3484">LN(AS3829/AU3829)</f>
        <v>-1.1002233409512163</v>
      </c>
      <c r="AW3829" s="13"/>
      <c r="AX3829" s="13"/>
      <c r="AY3829" s="13"/>
    </row>
    <row r="3830" spans="1:51" x14ac:dyDescent="0.25">
      <c r="A3830" t="s">
        <v>4276</v>
      </c>
      <c r="B3830" s="2" t="str">
        <f t="shared" si="3391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3476"/>
        <v>e</v>
      </c>
      <c r="N3830" t="str">
        <f t="shared" si="3477"/>
        <v>7/2</v>
      </c>
      <c r="O3830">
        <v>68544.19</v>
      </c>
      <c r="P3830" t="str">
        <f t="shared" si="3478"/>
        <v>o</v>
      </c>
      <c r="Q3830" t="str">
        <f t="shared" si="3479"/>
        <v>9/2</v>
      </c>
      <c r="R3830">
        <v>35</v>
      </c>
      <c r="AA3830" s="10">
        <f t="shared" si="3399"/>
        <v>2317.623</v>
      </c>
      <c r="AB3830" s="3">
        <f t="shared" si="3400"/>
        <v>43134.400000000001</v>
      </c>
      <c r="AC3830" s="3" cm="1">
        <f t="array" ref="AC3830">100000000/LvacE(AA3830)</f>
        <v>43134.400989287184</v>
      </c>
      <c r="AD3830" s="10">
        <f t="shared" si="3401"/>
        <v>1.4305741483685481E-2</v>
      </c>
      <c r="AE3830" s="10" t="b">
        <f t="shared" si="3402"/>
        <v>1</v>
      </c>
      <c r="AJ3830" t="s">
        <v>4720</v>
      </c>
      <c r="AK3830" t="s">
        <v>4901</v>
      </c>
      <c r="AL3830">
        <v>25409.74</v>
      </c>
      <c r="AM3830">
        <v>68544.19</v>
      </c>
      <c r="AN3830" s="10" cm="1">
        <f t="array" ref="AN3830">Lair(100000000/($AM3830-$AL3830))</f>
        <v>2317.6203713711934</v>
      </c>
      <c r="AO3830" s="10">
        <f t="shared" si="3480"/>
        <v>2318.3325624877566</v>
      </c>
      <c r="AP3830" s="12">
        <v>37200000</v>
      </c>
      <c r="AQ3830" s="3">
        <v>8.4000000000000005E-2</v>
      </c>
      <c r="AR3830" s="3">
        <f t="shared" si="3481"/>
        <v>-6.398118093189054</v>
      </c>
      <c r="AS3830" s="13">
        <f t="shared" si="3482"/>
        <v>8.2764318530298322</v>
      </c>
      <c r="AT3830" s="3">
        <f t="shared" si="3483"/>
        <v>0.50397402745921105</v>
      </c>
      <c r="AU3830" s="13" cm="1">
        <f t="array" ref="AU3830">$C3830*EXP(poly_from_str(100000000/$E3830,AU$4343))</f>
        <v>26.711595055119005</v>
      </c>
      <c r="AV3830" s="13">
        <f t="shared" si="3484"/>
        <v>-1.1716858029715205</v>
      </c>
      <c r="AW3830" s="13"/>
      <c r="AX3830" s="13"/>
      <c r="AY3830" s="13"/>
    </row>
    <row r="3831" spans="1:51" x14ac:dyDescent="0.25">
      <c r="A3831" t="s">
        <v>4277</v>
      </c>
      <c r="B3831" s="2" t="str">
        <f t="shared" si="3391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3476"/>
        <v>o</v>
      </c>
      <c r="N3831" t="str">
        <f t="shared" si="3477"/>
        <v>9/2</v>
      </c>
      <c r="O3831">
        <v>103308.53</v>
      </c>
      <c r="P3831" t="str">
        <f t="shared" si="3478"/>
        <v>e</v>
      </c>
      <c r="Q3831" t="str">
        <f t="shared" si="3479"/>
        <v>7/2</v>
      </c>
      <c r="R3831">
        <v>35</v>
      </c>
      <c r="AA3831" s="10">
        <f t="shared" si="3399"/>
        <v>2317.1990000000001</v>
      </c>
      <c r="AB3831" s="3">
        <f t="shared" si="3400"/>
        <v>43142.29</v>
      </c>
      <c r="AC3831" s="3" cm="1">
        <f t="array" ref="AC3831">100000000/LvacE(AA3831)</f>
        <v>43142.293018456614</v>
      </c>
      <c r="AD3831" s="10">
        <f t="shared" si="3401"/>
        <v>1.4309147168295993E-2</v>
      </c>
      <c r="AE3831" s="10" t="b">
        <f t="shared" si="3402"/>
        <v>1</v>
      </c>
      <c r="AJ3831" t="s">
        <v>4726</v>
      </c>
      <c r="AK3831" t="s">
        <v>4906</v>
      </c>
      <c r="AL3831">
        <v>60166.2</v>
      </c>
      <c r="AM3831">
        <v>103308.53</v>
      </c>
      <c r="AN3831" s="10" cm="1">
        <f t="array" ref="AN3831">Lair(100000000/($AM3831-$AL3831))</f>
        <v>2317.1970184943448</v>
      </c>
      <c r="AO3831" s="10">
        <f t="shared" si="3480"/>
        <v>2317.9091161743004</v>
      </c>
      <c r="AP3831" s="12">
        <v>3640000000</v>
      </c>
      <c r="AQ3831" s="3">
        <v>0.70499999999999996</v>
      </c>
      <c r="AR3831" s="3">
        <f t="shared" si="3481"/>
        <v>-10.391872044831951</v>
      </c>
      <c r="AS3831" s="13">
        <f t="shared" si="3482"/>
        <v>59.624927344553313</v>
      </c>
      <c r="AT3831" s="3">
        <f t="shared" si="3483"/>
        <v>1.8908491533315572</v>
      </c>
      <c r="AU3831" s="13" cm="1">
        <f t="array" ref="AU3831">$C3831*EXP(poly_from_str(100000000/$E3831,AU$4343))</f>
        <v>48.180610025682171</v>
      </c>
      <c r="AV3831" s="13">
        <f t="shared" si="3484"/>
        <v>0.21311707217303294</v>
      </c>
      <c r="AW3831" s="13"/>
      <c r="AX3831" s="13"/>
      <c r="AY3831" s="13"/>
    </row>
    <row r="3832" spans="1:51" x14ac:dyDescent="0.25">
      <c r="A3832" t="s">
        <v>4278</v>
      </c>
      <c r="B3832" s="2" t="str">
        <f t="shared" si="3391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3476"/>
        <v>e</v>
      </c>
      <c r="N3832" t="str">
        <f t="shared" si="3477"/>
        <v>3/2</v>
      </c>
      <c r="O3832">
        <v>67395.320000000007</v>
      </c>
      <c r="P3832" t="str">
        <f t="shared" si="3478"/>
        <v>o</v>
      </c>
      <c r="Q3832" t="str">
        <f t="shared" si="3479"/>
        <v>5/2</v>
      </c>
      <c r="R3832">
        <v>35</v>
      </c>
      <c r="AA3832" s="10">
        <f t="shared" si="3399"/>
        <v>2317.0740000000001</v>
      </c>
      <c r="AB3832" s="3">
        <f t="shared" si="3400"/>
        <v>43144.62</v>
      </c>
      <c r="AC3832" s="3" cm="1">
        <f t="array" ref="AC3832">100000000/LvacE(AA3832)</f>
        <v>43144.620229171116</v>
      </c>
      <c r="AD3832" s="10">
        <f t="shared" si="3401"/>
        <v>1.4310151559503735E-2</v>
      </c>
      <c r="AE3832" s="10" t="b">
        <f t="shared" si="3402"/>
        <v>1</v>
      </c>
      <c r="AJ3832" t="s">
        <v>4710</v>
      </c>
      <c r="AK3832" t="s">
        <v>4894</v>
      </c>
      <c r="AL3832">
        <v>24250.62</v>
      </c>
      <c r="AM3832">
        <v>67395.320000000007</v>
      </c>
      <c r="AN3832" s="10" cm="1">
        <f t="array" ref="AN3832">Lair(100000000/($AM3832-$AL3832))</f>
        <v>2317.0697205282431</v>
      </c>
      <c r="AO3832" s="10">
        <f t="shared" si="3480"/>
        <v>2317.7817901155872</v>
      </c>
      <c r="AP3832" s="12">
        <v>2390000</v>
      </c>
      <c r="AQ3832" s="3">
        <v>6.0000000000000001E-3</v>
      </c>
      <c r="AR3832" s="3"/>
      <c r="AS3832" s="13">
        <f t="shared" si="3482"/>
        <v>0.57975662037126319</v>
      </c>
      <c r="AT3832" s="3"/>
      <c r="AU3832" s="13" cm="1">
        <f t="array" ref="AU3832">$C3832*EXP(poly_from_str(100000000/$E3832,AU$4343))</f>
        <v>5.3566861775654839</v>
      </c>
      <c r="AV3832" s="13"/>
      <c r="AW3832" s="13"/>
      <c r="AX3832" s="13"/>
      <c r="AY3832" s="13"/>
    </row>
    <row r="3833" spans="1:51" x14ac:dyDescent="0.25">
      <c r="A3833" t="s">
        <v>4279</v>
      </c>
      <c r="B3833" s="2" t="str">
        <f t="shared" si="3391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3476"/>
        <v>e</v>
      </c>
      <c r="N3833" t="str">
        <f t="shared" si="3477"/>
        <v>5/2</v>
      </c>
      <c r="O3833">
        <v>66681.14</v>
      </c>
      <c r="P3833" t="str">
        <f t="shared" si="3478"/>
        <v>o</v>
      </c>
      <c r="Q3833" t="str">
        <f t="shared" si="3479"/>
        <v>5/2</v>
      </c>
      <c r="R3833">
        <v>35</v>
      </c>
      <c r="AA3833" s="10">
        <f t="shared" si="3399"/>
        <v>2316.8809999999999</v>
      </c>
      <c r="AB3833" s="3">
        <f t="shared" si="3400"/>
        <v>43148.21</v>
      </c>
      <c r="AC3833" s="3" cm="1">
        <f t="array" ref="AC3833">100000000/LvacE(AA3833)</f>
        <v>43148.213935606298</v>
      </c>
      <c r="AD3833" s="10">
        <f t="shared" si="3401"/>
        <v>1.4311702658791343E-2</v>
      </c>
      <c r="AE3833" s="10" t="b">
        <f t="shared" si="3402"/>
        <v>1</v>
      </c>
      <c r="AJ3833" t="s">
        <v>4756</v>
      </c>
      <c r="AK3833" t="s">
        <v>4851</v>
      </c>
      <c r="AL3833">
        <v>23532.86</v>
      </c>
      <c r="AM3833">
        <v>66681.14</v>
      </c>
      <c r="AN3833" s="10" cm="1">
        <f t="array" ref="AN3833">Lair(100000000/($AM3833-$AL3833))</f>
        <v>2316.8774572871512</v>
      </c>
      <c r="AO3833" s="10">
        <f t="shared" si="3480"/>
        <v>2317.5894844475843</v>
      </c>
      <c r="AP3833" s="12">
        <v>49000000</v>
      </c>
      <c r="AQ3833" s="3">
        <v>4.3999999999999997E-2</v>
      </c>
      <c r="AR3833" s="3"/>
      <c r="AS3833" s="13">
        <f t="shared" si="3482"/>
        <v>12.541710340957929</v>
      </c>
      <c r="AT3833" s="3"/>
      <c r="AU3833" s="13" cm="1">
        <f t="array" ref="AU3833">$C3833*EXP(poly_from_str(100000000/$E3833,AU$4343))</f>
        <v>37.532311748642115</v>
      </c>
      <c r="AV3833" s="13"/>
      <c r="AW3833" s="13"/>
      <c r="AX3833" s="13"/>
      <c r="AY3833" s="13"/>
    </row>
    <row r="3834" spans="1:51" x14ac:dyDescent="0.25">
      <c r="A3834" t="s">
        <v>4280</v>
      </c>
      <c r="B3834" s="2" t="str">
        <f t="shared" si="3391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3399"/>
        <v>2316.6439999999998</v>
      </c>
      <c r="AB3834" s="3">
        <f t="shared" si="3400"/>
        <v>43152.63</v>
      </c>
      <c r="AC3834" s="3" cm="1">
        <f t="array" ref="AC3834">100000000/LvacE(AA3834)</f>
        <v>43152.627751590779</v>
      </c>
      <c r="AD3834" s="10">
        <f t="shared" si="3401"/>
        <v>1.431360790686674E-2</v>
      </c>
      <c r="AE3834" s="10" t="b">
        <f t="shared" si="3402"/>
        <v>1</v>
      </c>
      <c r="AP3834"/>
      <c r="AQ3834"/>
      <c r="AU3834" s="13" cm="1">
        <f t="array" ref="AU3834">$C3834*EXP(poly_from_str(100000000/$E3834,AU$4343))</f>
        <v>5.3680228019724243</v>
      </c>
    </row>
    <row r="3835" spans="1:51" x14ac:dyDescent="0.25">
      <c r="A3835" t="s">
        <v>4281</v>
      </c>
      <c r="B3835" s="2" t="str">
        <f t="shared" si="3391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3399"/>
        <v>2315.8809999999999</v>
      </c>
      <c r="AB3835" s="3">
        <f t="shared" si="3400"/>
        <v>43166.84</v>
      </c>
      <c r="AC3835" s="3" cm="1">
        <f t="array" ref="AC3835">100000000/LvacE(AA3835)</f>
        <v>43166.8437664757</v>
      </c>
      <c r="AD3835" s="10">
        <f t="shared" si="3401"/>
        <v>1.4319745653268823E-2</v>
      </c>
      <c r="AE3835" s="10" t="b">
        <f t="shared" si="3402"/>
        <v>1</v>
      </c>
      <c r="AP3835"/>
      <c r="AQ3835"/>
      <c r="AU3835" s="13" cm="1">
        <f t="array" ref="AU3835">$C3835*EXP(poly_from_str(100000000/$E3835,AU$4343))</f>
        <v>10.776601189965318</v>
      </c>
    </row>
    <row r="3836" spans="1:51" x14ac:dyDescent="0.25">
      <c r="A3836" t="s">
        <v>4282</v>
      </c>
      <c r="B3836" s="2" t="str">
        <f t="shared" si="3391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3485">$G3836&amp;""</f>
        <v>o</v>
      </c>
      <c r="N3836" t="str">
        <f t="shared" ref="N3836:N3838" si="3486">$H3836&amp;""</f>
        <v>9/2</v>
      </c>
      <c r="O3836">
        <v>103335.06</v>
      </c>
      <c r="P3836" t="str">
        <f t="shared" ref="P3836:P3838" si="3487">$J3836&amp;""</f>
        <v>e</v>
      </c>
      <c r="Q3836" t="str">
        <f t="shared" ref="Q3836:Q3838" si="3488">$K3836&amp;""</f>
        <v>9/2</v>
      </c>
      <c r="R3836">
        <v>35</v>
      </c>
      <c r="AA3836" s="10">
        <f t="shared" si="3399"/>
        <v>2315.7739999999999</v>
      </c>
      <c r="AB3836" s="3">
        <f t="shared" si="3400"/>
        <v>43168.84</v>
      </c>
      <c r="AC3836" s="3" cm="1">
        <f t="array" ref="AC3836">100000000/LvacE(AA3836)</f>
        <v>43168.838111099307</v>
      </c>
      <c r="AD3836" s="10">
        <f t="shared" si="3401"/>
        <v>1.4320606870769623E-2</v>
      </c>
      <c r="AE3836" s="10" t="b">
        <f t="shared" si="3402"/>
        <v>1</v>
      </c>
      <c r="AJ3836" t="s">
        <v>4726</v>
      </c>
      <c r="AK3836" t="s">
        <v>4890</v>
      </c>
      <c r="AL3836">
        <v>60166.2</v>
      </c>
      <c r="AM3836">
        <v>103335.06</v>
      </c>
      <c r="AN3836" s="10" cm="1">
        <f t="array" ref="AN3836">Lair(100000000/($AM3836-$AL3836))</f>
        <v>2315.7728306812523</v>
      </c>
      <c r="AO3836" s="10">
        <f t="shared" ref="AO3836:AO3838" si="3489">100000000/($AM3836-$AL3836)</f>
        <v>2316.4846141408411</v>
      </c>
      <c r="AP3836" s="12">
        <v>716000000</v>
      </c>
      <c r="AQ3836" s="3">
        <v>0.192</v>
      </c>
      <c r="AR3836" s="3">
        <f t="shared" ref="AR3836:AR3838" si="3490">LN(AU3836*100000000/($AM3836-$AL3836)/AP3836)</f>
        <v>-10.263474719590745</v>
      </c>
      <c r="AS3836" s="13">
        <f t="shared" ref="AS3836:AS3838" si="3491">EXP(AR$4341*$AM3836+AR$4342)*$AP3836/(100000000/($AM3836-$AL3836))</f>
        <v>11.71228977636733</v>
      </c>
      <c r="AT3836" s="3">
        <f t="shared" ref="AT3836:AT3838" si="3492">LN(AS3836/$C3836)</f>
        <v>1.7674915181875785</v>
      </c>
      <c r="AU3836" s="13" cm="1">
        <f t="array" ref="AU3836">$C3836*EXP(poly_from_str(100000000/$E3836,AU$4343))</f>
        <v>10.782343577418326</v>
      </c>
      <c r="AV3836" s="13">
        <f t="shared" ref="AV3836:AV3838" si="3493">LN(AS3836/AU3836)</f>
        <v>8.2728756392109901E-2</v>
      </c>
      <c r="AW3836" s="13"/>
      <c r="AX3836" s="13"/>
      <c r="AY3836" s="13"/>
    </row>
    <row r="3837" spans="1:51" x14ac:dyDescent="0.25">
      <c r="A3837" t="s">
        <v>4283</v>
      </c>
      <c r="B3837" s="2" t="str">
        <f t="shared" si="3391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3485"/>
        <v>e</v>
      </c>
      <c r="N3837" t="str">
        <f t="shared" si="3486"/>
        <v>9/2</v>
      </c>
      <c r="O3837">
        <v>65922.42</v>
      </c>
      <c r="P3837" t="str">
        <f t="shared" si="3487"/>
        <v>o</v>
      </c>
      <c r="Q3837" t="str">
        <f t="shared" si="3488"/>
        <v>11/2</v>
      </c>
      <c r="R3837">
        <v>35</v>
      </c>
      <c r="AA3837" s="10">
        <f t="shared" si="3399"/>
        <v>2315.4549999999999</v>
      </c>
      <c r="AB3837" s="3">
        <f t="shared" si="3400"/>
        <v>43174.78</v>
      </c>
      <c r="AC3837" s="3" cm="1">
        <f t="array" ref="AC3837">100000000/LvacE(AA3837)</f>
        <v>43174.78496120932</v>
      </c>
      <c r="AD3837" s="10">
        <f t="shared" si="3401"/>
        <v>1.432317513430607E-2</v>
      </c>
      <c r="AE3837" s="10" t="b">
        <f t="shared" si="3402"/>
        <v>1</v>
      </c>
      <c r="AJ3837" t="s">
        <v>4797</v>
      </c>
      <c r="AK3837" t="s">
        <v>4833</v>
      </c>
      <c r="AL3837">
        <v>22747.69</v>
      </c>
      <c r="AM3837">
        <v>65922.42</v>
      </c>
      <c r="AN3837" s="10" cm="1">
        <f t="array" ref="AN3837">Lair(100000000/($AM3837-$AL3837))</f>
        <v>2315.4579528298955</v>
      </c>
      <c r="AO3837" s="10">
        <f t="shared" si="3489"/>
        <v>2316.169666839839</v>
      </c>
      <c r="AP3837" s="12">
        <v>238000000</v>
      </c>
      <c r="AQ3837" s="3">
        <v>0.191</v>
      </c>
      <c r="AR3837" s="3">
        <f t="shared" si="3490"/>
        <v>-7.5511781355646361</v>
      </c>
      <c r="AS3837" s="13">
        <f t="shared" si="3491"/>
        <v>64.525634861693376</v>
      </c>
      <c r="AT3837" s="3">
        <f t="shared" si="3492"/>
        <v>1.8644774915656135</v>
      </c>
      <c r="AU3837" s="13" cm="1">
        <f t="array" ref="AU3837">$C3837*EXP(poly_from_str(100000000/$E3837,AU$4343))</f>
        <v>53.997243636613462</v>
      </c>
      <c r="AV3837" s="13">
        <f t="shared" si="3493"/>
        <v>0.17812958306457963</v>
      </c>
      <c r="AW3837" s="13"/>
      <c r="AX3837" s="13"/>
      <c r="AY3837" s="13"/>
    </row>
    <row r="3838" spans="1:51" x14ac:dyDescent="0.25">
      <c r="A3838" t="s">
        <v>4284</v>
      </c>
      <c r="B3838" s="2" t="str">
        <f t="shared" si="3391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3485"/>
        <v>o</v>
      </c>
      <c r="N3838" t="str">
        <f t="shared" si="3486"/>
        <v>9/2</v>
      </c>
      <c r="O3838">
        <v>103344.35</v>
      </c>
      <c r="P3838" t="str">
        <f t="shared" si="3487"/>
        <v>e</v>
      </c>
      <c r="Q3838" t="str">
        <f t="shared" si="3488"/>
        <v>11/2</v>
      </c>
      <c r="R3838">
        <v>35</v>
      </c>
      <c r="AA3838" s="10">
        <f t="shared" si="3399"/>
        <v>2315.2739999999999</v>
      </c>
      <c r="AB3838" s="3">
        <f t="shared" si="3400"/>
        <v>43178.16</v>
      </c>
      <c r="AC3838" s="3" cm="1">
        <f t="array" ref="AC3838">100000000/LvacE(AA3838)</f>
        <v>43178.159921333907</v>
      </c>
      <c r="AD3838" s="10">
        <f t="shared" si="3401"/>
        <v>1.4324632834242061E-2</v>
      </c>
      <c r="AE3838" s="10" t="b">
        <f t="shared" si="3402"/>
        <v>1</v>
      </c>
      <c r="AJ3838" t="s">
        <v>4726</v>
      </c>
      <c r="AK3838" t="s">
        <v>4904</v>
      </c>
      <c r="AL3838">
        <v>60166.2</v>
      </c>
      <c r="AM3838">
        <v>103344.35</v>
      </c>
      <c r="AN3838" s="10" cm="1">
        <f t="array" ref="AN3838">Lair(100000000/($AM3838-$AL3838))</f>
        <v>2315.2745370587281</v>
      </c>
      <c r="AO3838" s="10">
        <f t="shared" si="3489"/>
        <v>2315.9862106181017</v>
      </c>
      <c r="AP3838" s="12">
        <v>227000000</v>
      </c>
      <c r="AQ3838" s="3">
        <v>5.8999999999999997E-2</v>
      </c>
      <c r="AR3838" s="3">
        <f t="shared" si="3490"/>
        <v>-9.805617802188241</v>
      </c>
      <c r="AS3838" s="13">
        <f t="shared" si="3491"/>
        <v>3.7114645017568115</v>
      </c>
      <c r="AT3838" s="3">
        <f t="shared" si="3492"/>
        <v>1.311426543137111</v>
      </c>
      <c r="AU3838" s="13" cm="1">
        <f t="array" ref="AU3838">$C3838*EXP(poly_from_str(100000000/$E3838,AU$4343))</f>
        <v>5.4046078136769991</v>
      </c>
      <c r="AV3838" s="13">
        <f t="shared" si="3493"/>
        <v>-0.3758253454097143</v>
      </c>
      <c r="AW3838" s="13"/>
      <c r="AX3838" s="13"/>
      <c r="AY3838" s="13"/>
    </row>
    <row r="3839" spans="1:51" x14ac:dyDescent="0.25">
      <c r="A3839" t="s">
        <v>4285</v>
      </c>
      <c r="B3839" s="2" t="str">
        <f t="shared" si="3391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3399"/>
        <v>2314.9789999999998</v>
      </c>
      <c r="AB3839" s="3">
        <f t="shared" si="3400"/>
        <v>43183.66</v>
      </c>
      <c r="AC3839" s="3" cm="1">
        <f t="array" ref="AC3839">100000000/LvacE(AA3839)</f>
        <v>43183.661677770739</v>
      </c>
      <c r="AD3839" s="10">
        <f t="shared" si="3401"/>
        <v>1.4327009376277441E-2</v>
      </c>
      <c r="AE3839" s="10" t="b">
        <f t="shared" si="3402"/>
        <v>1</v>
      </c>
      <c r="AP3839"/>
      <c r="AQ3839"/>
      <c r="AU3839" s="13" cm="1">
        <f t="array" ref="AU3839">$C3839*EXP(poly_from_str(100000000/$E3839,AU$4343))</f>
        <v>5.4125804534872257</v>
      </c>
    </row>
    <row r="3840" spans="1:51" x14ac:dyDescent="0.25">
      <c r="A3840" t="s">
        <v>4286</v>
      </c>
      <c r="B3840" s="2" t="str">
        <f t="shared" si="3391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3399"/>
        <v>2314.7570000000001</v>
      </c>
      <c r="AB3840" s="3">
        <f t="shared" si="3400"/>
        <v>43187.8</v>
      </c>
      <c r="AC3840" s="3" cm="1">
        <f t="array" ref="AC3840">100000000/LvacE(AA3840)</f>
        <v>43187.802907182377</v>
      </c>
      <c r="AD3840" s="10">
        <f t="shared" si="3401"/>
        <v>1.4328798424020833E-2</v>
      </c>
      <c r="AE3840" s="10" t="b">
        <f t="shared" si="3402"/>
        <v>1</v>
      </c>
      <c r="AP3840"/>
      <c r="AQ3840"/>
      <c r="AU3840" s="13" cm="1">
        <f t="array" ref="AU3840">$C3840*EXP(poly_from_str(100000000/$E3840,AU$4343))</f>
        <v>5.4186031556724643</v>
      </c>
    </row>
    <row r="3841" spans="1:51" x14ac:dyDescent="0.25">
      <c r="A3841" t="s">
        <v>4287</v>
      </c>
      <c r="B3841" s="2" t="str">
        <f t="shared" si="3391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3399"/>
        <v>2314.6689999999999</v>
      </c>
      <c r="AB3841" s="3">
        <f t="shared" si="3400"/>
        <v>43189.440000000002</v>
      </c>
      <c r="AC3841" s="3" cm="1">
        <f t="array" ref="AC3841">100000000/LvacE(AA3841)</f>
        <v>43189.44469541061</v>
      </c>
      <c r="AD3841" s="10">
        <f t="shared" si="3401"/>
        <v>1.4329507738560159E-2</v>
      </c>
      <c r="AE3841" s="10" t="b">
        <f t="shared" si="3402"/>
        <v>1</v>
      </c>
      <c r="AP3841"/>
      <c r="AQ3841"/>
      <c r="AU3841" s="13" cm="1">
        <f t="array" ref="AU3841">$C3841*EXP(poly_from_str(100000000/$E3841,AU$4343))</f>
        <v>5.4209940767268243</v>
      </c>
    </row>
    <row r="3842" spans="1:51" x14ac:dyDescent="0.25">
      <c r="A3842" t="s">
        <v>4288</v>
      </c>
      <c r="B3842" s="2" t="str">
        <f t="shared" ref="B3842:B3905" si="3494">IF(OR(A3842=A3841,A3842=A3843),IF(B3841="",1,B3841+1),"")</f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3399"/>
        <v>2314.3739999999998</v>
      </c>
      <c r="AB3842" s="3">
        <f t="shared" si="3400"/>
        <v>43194.95</v>
      </c>
      <c r="AC3842" s="3" cm="1">
        <f t="array" ref="AC3842">100000000/LvacE(AA3842)</f>
        <v>43194.949327944058</v>
      </c>
      <c r="AD3842" s="10">
        <f t="shared" si="3401"/>
        <v>1.4331886144578202E-2</v>
      </c>
      <c r="AE3842" s="10" t="b">
        <f t="shared" si="3402"/>
        <v>1</v>
      </c>
      <c r="AP3842"/>
      <c r="AQ3842"/>
      <c r="AU3842" s="13" cm="1">
        <f t="array" ref="AU3842">$C3842*EXP(poly_from_str(100000000/$E3842,AU$4343))</f>
        <v>10.858096627780863</v>
      </c>
    </row>
    <row r="3843" spans="1:51" x14ac:dyDescent="0.25">
      <c r="A3843" t="s">
        <v>4289</v>
      </c>
      <c r="B3843" s="2" t="str">
        <f t="shared" si="3494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3495">ROUND($A3843,3)+0</f>
        <v>2314.1779999999999</v>
      </c>
      <c r="AB3843" s="3">
        <f t="shared" ref="AB3843:AB3906" si="3496">ROUND($E3843,2)+0</f>
        <v>43198.61</v>
      </c>
      <c r="AC3843" s="3" cm="1">
        <f t="array" ref="AC3843">100000000/LvacE(AA3843)</f>
        <v>43198.607418951862</v>
      </c>
      <c r="AD3843" s="10">
        <f t="shared" ref="AD3843:AD3906" si="3497">0.0005/$AA3843*AC3843+0.005</f>
        <v>1.4333466876565212E-2</v>
      </c>
      <c r="AE3843" s="10" t="b">
        <f t="shared" ref="AE3843:AE3906" si="3498">ABS(AB3843-AC3843)&lt;AD3843</f>
        <v>1</v>
      </c>
      <c r="AJ3843" t="s">
        <v>4748</v>
      </c>
      <c r="AK3843" t="s">
        <v>4821</v>
      </c>
      <c r="AL3843">
        <v>19360.099999999999</v>
      </c>
      <c r="AM3843">
        <v>62558.67</v>
      </c>
      <c r="AN3843" s="10" cm="1">
        <f t="array" ref="AN3843">Lair(100000000/($AM3843-$AL3843))</f>
        <v>2314.1800097793544</v>
      </c>
      <c r="AO3843" s="10">
        <f>100000000/($AM3843-$AL3843)</f>
        <v>2314.8914420083811</v>
      </c>
      <c r="AP3843" s="12">
        <v>502000000</v>
      </c>
      <c r="AQ3843" s="3">
        <v>0.29199999999999998</v>
      </c>
      <c r="AR3843" s="3">
        <f>LN(AU3843*100000000/($AM3843-$AL3843)/AP3843)</f>
        <v>-8.2916553513297657</v>
      </c>
      <c r="AS3843" s="13">
        <f>EXP(AR$4341*$AM3843+AR$4342)*$AP3843/(100000000/($AM3843-$AL3843))</f>
        <v>175.27963126524196</v>
      </c>
      <c r="AT3843" s="3">
        <f>LN(AS3843/$C3843)</f>
        <v>2.8637974986010963</v>
      </c>
      <c r="AU3843" s="13" cm="1">
        <f t="array" ref="AU3843">$C3843*EXP(poly_from_str(100000000/$E3843,AU$4343))</f>
        <v>54.344165331945142</v>
      </c>
      <c r="AV3843" s="13">
        <f>LN(AS3843/AU3843)</f>
        <v>1.1710453373887988</v>
      </c>
      <c r="AW3843" s="13"/>
      <c r="AX3843" s="13"/>
      <c r="AY3843" s="13"/>
    </row>
    <row r="3844" spans="1:51" x14ac:dyDescent="0.25">
      <c r="A3844" t="s">
        <v>4290</v>
      </c>
      <c r="B3844" s="2" t="str">
        <f t="shared" si="3494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3495"/>
        <v>2314.056</v>
      </c>
      <c r="AB3844" s="3">
        <f t="shared" si="3496"/>
        <v>43200.88</v>
      </c>
      <c r="AC3844" s="3" cm="1">
        <f t="array" ref="AC3844">100000000/LvacE(AA3844)</f>
        <v>43200.884706814395</v>
      </c>
      <c r="AD3844" s="10">
        <f t="shared" si="3497"/>
        <v>1.4334451004386756E-2</v>
      </c>
      <c r="AE3844" s="10" t="b">
        <f t="shared" si="3498"/>
        <v>1</v>
      </c>
      <c r="AP3844"/>
      <c r="AQ3844"/>
      <c r="AU3844" s="13" cm="1">
        <f t="array" ref="AU3844">$C3844*EXP(poly_from_str(100000000/$E3844,AU$4343))</f>
        <v>16.313259992397271</v>
      </c>
    </row>
    <row r="3845" spans="1:51" x14ac:dyDescent="0.25">
      <c r="A3845" t="s">
        <v>4291</v>
      </c>
      <c r="B3845" s="2" t="str">
        <f t="shared" si="3494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3495"/>
        <v>2313.9769999999999</v>
      </c>
      <c r="AB3845" s="3">
        <f t="shared" si="3496"/>
        <v>43202.36</v>
      </c>
      <c r="AC3845" s="3" cm="1">
        <f t="array" ref="AC3845">100000000/LvacE(AA3845)</f>
        <v>43202.359472105651</v>
      </c>
      <c r="AD3845" s="10">
        <f t="shared" si="3497"/>
        <v>1.4335088350512053E-2</v>
      </c>
      <c r="AE3845" s="10" t="b">
        <f t="shared" si="3498"/>
        <v>1</v>
      </c>
      <c r="AP3845"/>
      <c r="AQ3845"/>
      <c r="AU3845" s="13" cm="1">
        <f t="array" ref="AU3845">$C3845*EXP(poly_from_str(100000000/$E3845,AU$4343))</f>
        <v>16.319795673671088</v>
      </c>
    </row>
    <row r="3846" spans="1:51" x14ac:dyDescent="0.25">
      <c r="A3846" t="s">
        <v>4292</v>
      </c>
      <c r="B3846" s="2" t="str">
        <f t="shared" si="3494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3499">$G3846&amp;""</f>
        <v>e</v>
      </c>
      <c r="N3846" t="str">
        <f t="shared" ref="N3846:N3849" si="3500">$H3846&amp;""</f>
        <v>9/2</v>
      </c>
      <c r="O3846">
        <v>67049.179999999993</v>
      </c>
      <c r="P3846" t="str">
        <f t="shared" ref="P3846:P3849" si="3501">$J3846&amp;""</f>
        <v>o</v>
      </c>
      <c r="Q3846" t="str">
        <f t="shared" ref="Q3846:Q3849" si="3502">$K3846&amp;""</f>
        <v>9/2</v>
      </c>
      <c r="R3846">
        <v>35</v>
      </c>
      <c r="AA3846" s="10">
        <f t="shared" si="3495"/>
        <v>2313.8609999999999</v>
      </c>
      <c r="AB3846" s="3">
        <f t="shared" si="3496"/>
        <v>43204.52</v>
      </c>
      <c r="AC3846" s="3" cm="1">
        <f t="array" ref="AC3846">100000000/LvacE(AA3846)</f>
        <v>43204.525132716743</v>
      </c>
      <c r="AD3846" s="10">
        <f t="shared" si="3497"/>
        <v>1.4336024318815338E-2</v>
      </c>
      <c r="AE3846" s="10" t="b">
        <f t="shared" si="3498"/>
        <v>1</v>
      </c>
      <c r="AJ3846" t="s">
        <v>4763</v>
      </c>
      <c r="AK3846" t="s">
        <v>4862</v>
      </c>
      <c r="AL3846">
        <v>23844.58</v>
      </c>
      <c r="AM3846">
        <v>67049.179999999993</v>
      </c>
      <c r="AN3846" s="10" cm="1">
        <f t="array" ref="AN3846">Lair(100000000/($AM3846-$AL3846))</f>
        <v>2313.8569951204581</v>
      </c>
      <c r="AO3846" s="10">
        <f t="shared" ref="AO3846:AO3849" si="3503">100000000/($AM3846-$AL3846)</f>
        <v>2314.5683561472624</v>
      </c>
      <c r="AP3846" s="12">
        <v>45900000</v>
      </c>
      <c r="AQ3846" s="3">
        <v>4.2000000000000003E-2</v>
      </c>
      <c r="AR3846" s="3"/>
      <c r="AS3846" s="13">
        <f t="shared" ref="AS3846:AS3849" si="3504">EXP(AR$4341*$AM3846+AR$4342)*$AP3846/(100000000/($AM3846-$AL3846))</f>
        <v>11.443123037182632</v>
      </c>
      <c r="AT3846" s="3"/>
      <c r="AU3846" s="13" cm="1">
        <f t="array" ref="AU3846">$C3846*EXP(poly_from_str(100000000/$E3846,AU$4343))</f>
        <v>32.658694240818477</v>
      </c>
      <c r="AV3846" s="13"/>
      <c r="AW3846" s="13"/>
      <c r="AX3846" s="13"/>
      <c r="AY3846" s="13"/>
    </row>
    <row r="3847" spans="1:51" x14ac:dyDescent="0.25">
      <c r="A3847" t="s">
        <v>4293</v>
      </c>
      <c r="B3847" s="2" t="str">
        <f t="shared" si="3494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3499"/>
        <v>e</v>
      </c>
      <c r="N3847" t="str">
        <f t="shared" si="3500"/>
        <v>7/2</v>
      </c>
      <c r="O3847">
        <v>67679.210000000006</v>
      </c>
      <c r="P3847" t="str">
        <f t="shared" si="3501"/>
        <v>o</v>
      </c>
      <c r="Q3847" t="str">
        <f t="shared" si="3502"/>
        <v>7/2</v>
      </c>
      <c r="R3847">
        <v>35</v>
      </c>
      <c r="AA3847" s="10">
        <f t="shared" si="3495"/>
        <v>2313.6590000000001</v>
      </c>
      <c r="AB3847" s="3">
        <f t="shared" si="3496"/>
        <v>43208.3</v>
      </c>
      <c r="AC3847" s="3" cm="1">
        <f t="array" ref="AC3847">100000000/LvacE(AA3847)</f>
        <v>43208.296887540149</v>
      </c>
      <c r="AD3847" s="10">
        <f t="shared" si="3497"/>
        <v>1.4337654530667689E-2</v>
      </c>
      <c r="AE3847" s="10" t="b">
        <f t="shared" si="3498"/>
        <v>1</v>
      </c>
      <c r="AJ3847" t="s">
        <v>4747</v>
      </c>
      <c r="AK3847" t="s">
        <v>4861</v>
      </c>
      <c r="AL3847">
        <v>24470.9</v>
      </c>
      <c r="AM3847">
        <v>67679.210000000006</v>
      </c>
      <c r="AN3847" s="10" cm="1">
        <f t="array" ref="AN3847">Lair(100000000/($AM3847-$AL3847))</f>
        <v>2313.658302869921</v>
      </c>
      <c r="AO3847" s="10">
        <f t="shared" si="3503"/>
        <v>2314.3696201031698</v>
      </c>
      <c r="AP3847" s="12">
        <v>28100000</v>
      </c>
      <c r="AQ3847" s="3">
        <v>2.4E-2</v>
      </c>
      <c r="AR3847" s="3"/>
      <c r="AS3847" s="13">
        <f t="shared" si="3504"/>
        <v>6.6825360078705964</v>
      </c>
      <c r="AT3847" s="3"/>
      <c r="AU3847" s="13" cm="1">
        <f t="array" ref="AU3847">$C3847*EXP(poly_from_str(100000000/$E3847,AU$4343))</f>
        <v>32.692198037138233</v>
      </c>
      <c r="AV3847" s="13"/>
      <c r="AW3847" s="13"/>
      <c r="AX3847" s="13"/>
      <c r="AY3847" s="13"/>
    </row>
    <row r="3848" spans="1:51" x14ac:dyDescent="0.25">
      <c r="A3848" t="s">
        <v>4294</v>
      </c>
      <c r="B3848" s="2" t="str">
        <f t="shared" si="3494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3499"/>
        <v>e</v>
      </c>
      <c r="N3848" t="str">
        <f t="shared" si="3500"/>
        <v>7/2</v>
      </c>
      <c r="O3848">
        <v>65295.9</v>
      </c>
      <c r="P3848" t="str">
        <f t="shared" si="3501"/>
        <v>o</v>
      </c>
      <c r="Q3848" t="str">
        <f t="shared" si="3502"/>
        <v>7/2</v>
      </c>
      <c r="R3848">
        <v>35</v>
      </c>
      <c r="AA3848" s="10">
        <f t="shared" si="3495"/>
        <v>2313.3040000000001</v>
      </c>
      <c r="AB3848" s="3">
        <f t="shared" si="3496"/>
        <v>43214.93</v>
      </c>
      <c r="AC3848" s="3" cm="1">
        <f t="array" ref="AC3848">100000000/LvacE(AA3848)</f>
        <v>43214.92706230819</v>
      </c>
      <c r="AD3848" s="10">
        <f t="shared" si="3497"/>
        <v>1.4340520541681549E-2</v>
      </c>
      <c r="AE3848" s="10" t="b">
        <f t="shared" si="3498"/>
        <v>1</v>
      </c>
      <c r="AJ3848" t="s">
        <v>4790</v>
      </c>
      <c r="AK3848" t="s">
        <v>4825</v>
      </c>
      <c r="AL3848">
        <v>22080.94</v>
      </c>
      <c r="AM3848">
        <v>65295.9</v>
      </c>
      <c r="AN3848" s="10" cm="1">
        <f t="array" ref="AN3848">Lair(100000000/($AM3848-$AL3848))</f>
        <v>2313.3022417546649</v>
      </c>
      <c r="AO3848" s="10">
        <f t="shared" si="3503"/>
        <v>2314.0134805169318</v>
      </c>
      <c r="AP3848" s="12">
        <v>156000000</v>
      </c>
      <c r="AQ3848" s="3">
        <v>0.126</v>
      </c>
      <c r="AR3848" s="3">
        <f t="shared" ref="AR3848:AR3849" si="3505">LN(AU3848*100000000/($AM3848-$AL3848)/AP3848)</f>
        <v>-7.4755378544083033</v>
      </c>
      <c r="AS3848" s="13">
        <f t="shared" si="3504"/>
        <v>44.371509047352781</v>
      </c>
      <c r="AT3848" s="3">
        <f t="shared" ref="AT3848:AT3849" si="3506">LN(AS3848/$C3848)</f>
        <v>1.8466874262902402</v>
      </c>
      <c r="AU3848" s="13" cm="1">
        <f t="array" ref="AU3848">$C3848*EXP(poly_from_str(100000000/$E3848,AU$4343))</f>
        <v>38.209721678460745</v>
      </c>
      <c r="AV3848" s="13">
        <f t="shared" ref="AV3848:AV3849" si="3507">LN(AS3848/AU3848)</f>
        <v>0.14950759791063686</v>
      </c>
      <c r="AW3848" s="13"/>
      <c r="AX3848" s="13"/>
      <c r="AY3848" s="13"/>
    </row>
    <row r="3849" spans="1:51" x14ac:dyDescent="0.25">
      <c r="A3849" t="s">
        <v>4295</v>
      </c>
      <c r="B3849" s="2" t="str">
        <f t="shared" si="3494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3499"/>
        <v>e</v>
      </c>
      <c r="N3849" t="str">
        <f t="shared" si="3500"/>
        <v>5/2</v>
      </c>
      <c r="O3849">
        <v>67679.210000000006</v>
      </c>
      <c r="P3849" t="str">
        <f t="shared" si="3501"/>
        <v>o</v>
      </c>
      <c r="Q3849" t="str">
        <f t="shared" si="3502"/>
        <v>7/2</v>
      </c>
      <c r="R3849">
        <v>35</v>
      </c>
      <c r="AA3849" s="10">
        <f t="shared" si="3495"/>
        <v>2313.1419999999998</v>
      </c>
      <c r="AB3849" s="3">
        <f t="shared" si="3496"/>
        <v>43217.95</v>
      </c>
      <c r="AC3849" s="3" cm="1">
        <f t="array" ref="AC3849">100000000/LvacE(AA3849)</f>
        <v>43217.953339303735</v>
      </c>
      <c r="AD3849" s="10">
        <f t="shared" si="3497"/>
        <v>1.4341828849959003E-2</v>
      </c>
      <c r="AE3849" s="10" t="b">
        <f t="shared" si="3498"/>
        <v>1</v>
      </c>
      <c r="AJ3849" t="s">
        <v>4717</v>
      </c>
      <c r="AK3849" t="s">
        <v>4861</v>
      </c>
      <c r="AL3849">
        <v>24461.24</v>
      </c>
      <c r="AM3849">
        <v>67679.210000000006</v>
      </c>
      <c r="AN3849" s="10" cm="1">
        <f t="array" ref="AN3849">Lair(100000000/($AM3849-$AL3849))</f>
        <v>2313.1411132696417</v>
      </c>
      <c r="AO3849" s="10">
        <f t="shared" si="3503"/>
        <v>2313.8523165248157</v>
      </c>
      <c r="AP3849" s="12">
        <v>87200000</v>
      </c>
      <c r="AQ3849" s="3">
        <v>0.187</v>
      </c>
      <c r="AR3849" s="3">
        <f t="shared" si="3505"/>
        <v>-7.0472834409862921</v>
      </c>
      <c r="AS3849" s="13">
        <f t="shared" si="3504"/>
        <v>20.741900955630157</v>
      </c>
      <c r="AT3849" s="3">
        <f t="shared" si="3506"/>
        <v>1.2403963858644553</v>
      </c>
      <c r="AU3849" s="13" cm="1">
        <f t="array" ref="AU3849">$C3849*EXP(poly_from_str(100000000/$E3849,AU$4343))</f>
        <v>32.778157507219525</v>
      </c>
      <c r="AV3849" s="13">
        <f t="shared" si="3507"/>
        <v>-0.4576065088100042</v>
      </c>
      <c r="AW3849" s="13"/>
      <c r="AX3849" s="13"/>
      <c r="AY3849" s="13"/>
    </row>
    <row r="3850" spans="1:51" x14ac:dyDescent="0.25">
      <c r="A3850" t="s">
        <v>4296</v>
      </c>
      <c r="B3850" s="2" t="str">
        <f t="shared" si="3494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3495"/>
        <v>2313.0079999999998</v>
      </c>
      <c r="AB3850" s="3">
        <f t="shared" si="3496"/>
        <v>43220.46</v>
      </c>
      <c r="AC3850" s="3" cm="1">
        <f t="array" ref="AC3850">100000000/LvacE(AA3850)</f>
        <v>43220.45687636092</v>
      </c>
      <c r="AD3850" s="10">
        <f t="shared" si="3497"/>
        <v>1.4342911238603786E-2</v>
      </c>
      <c r="AE3850" s="10" t="b">
        <f t="shared" si="3498"/>
        <v>1</v>
      </c>
      <c r="AP3850"/>
      <c r="AQ3850"/>
      <c r="AU3850" s="13" cm="1">
        <f t="array" ref="AU3850">$C3850*EXP(poly_from_str(100000000/$E3850,AU$4343))</f>
        <v>32.800616920069942</v>
      </c>
    </row>
    <row r="3851" spans="1:51" x14ac:dyDescent="0.25">
      <c r="A3851" t="s">
        <v>4297</v>
      </c>
      <c r="B3851" s="2" t="str">
        <f t="shared" si="3494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3495"/>
        <v>2312.8919999999998</v>
      </c>
      <c r="AB3851" s="3">
        <f t="shared" si="3496"/>
        <v>43222.62</v>
      </c>
      <c r="AC3851" s="3" cm="1">
        <f t="array" ref="AC3851">100000000/LvacE(AA3851)</f>
        <v>43222.624351609476</v>
      </c>
      <c r="AD3851" s="10">
        <f t="shared" si="3497"/>
        <v>1.4343848383670633E-2</v>
      </c>
      <c r="AE3851" s="10" t="b">
        <f t="shared" si="3498"/>
        <v>1</v>
      </c>
      <c r="AP3851"/>
      <c r="AQ3851"/>
      <c r="AU3851" s="13" cm="1">
        <f t="array" ref="AU3851">$C3851*EXP(poly_from_str(100000000/$E3851,AU$4343))</f>
        <v>5.4699963432283534</v>
      </c>
    </row>
    <row r="3852" spans="1:51" x14ac:dyDescent="0.25">
      <c r="A3852" t="s">
        <v>4298</v>
      </c>
      <c r="B3852" s="2" t="str">
        <f t="shared" si="3494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3508">$G3852&amp;""</f>
        <v>e</v>
      </c>
      <c r="N3852" t="str">
        <f t="shared" ref="N3852:N3854" si="3509">$H3852&amp;""</f>
        <v>7/2</v>
      </c>
      <c r="O3852">
        <v>69686.259999999995</v>
      </c>
      <c r="P3852" t="str">
        <f t="shared" ref="P3852:P3854" si="3510">$J3852&amp;""</f>
        <v>o</v>
      </c>
      <c r="Q3852" t="str">
        <f t="shared" ref="Q3852:Q3854" si="3511">$K3852&amp;""</f>
        <v>9/2</v>
      </c>
      <c r="R3852">
        <v>35</v>
      </c>
      <c r="AA3852" s="10">
        <f t="shared" si="3495"/>
        <v>2312.0039999999999</v>
      </c>
      <c r="AB3852" s="3">
        <f t="shared" si="3496"/>
        <v>43239.22</v>
      </c>
      <c r="AC3852" s="3" cm="1">
        <f t="array" ref="AC3852">100000000/LvacE(AA3852)</f>
        <v>43239.223952363434</v>
      </c>
      <c r="AD3852" s="10">
        <f t="shared" si="3497"/>
        <v>1.4351027064045615E-2</v>
      </c>
      <c r="AE3852" s="10" t="b">
        <f t="shared" si="3498"/>
        <v>1</v>
      </c>
      <c r="AJ3852" t="s">
        <v>4736</v>
      </c>
      <c r="AK3852" t="s">
        <v>4838</v>
      </c>
      <c r="AL3852">
        <v>26446.97</v>
      </c>
      <c r="AM3852">
        <v>69686.259999999995</v>
      </c>
      <c r="AN3852" s="10" cm="1">
        <f t="array" ref="AN3852">Lair(100000000/($AM3852-$AL3852))</f>
        <v>2312.0004732287639</v>
      </c>
      <c r="AO3852" s="10">
        <f t="shared" ref="AO3852:AO3854" si="3512">100000000/($AM3852-$AL3852)</f>
        <v>2312.7114251876019</v>
      </c>
      <c r="AP3852" s="12">
        <v>35200000</v>
      </c>
      <c r="AQ3852" s="3">
        <v>0.126</v>
      </c>
      <c r="AR3852" s="3">
        <f t="shared" ref="AR3852:AR3854" si="3513">LN(AU3852*100000000/($AM3852-$AL3852)/AP3852)</f>
        <v>-6.1347883802473779</v>
      </c>
      <c r="AS3852" s="13">
        <f t="shared" ref="AS3852:AS3854" si="3514">EXP(AR$4341*$AM3852+AR$4342)*$AP3852/(100000000/($AM3852-$AL3852))</f>
        <v>7.2056698769643841</v>
      </c>
      <c r="AT3852" s="3">
        <f t="shared" ref="AT3852:AT3854" si="3515">LN(AS3852/$C3852)</f>
        <v>0.18310872980369092</v>
      </c>
      <c r="AU3852" s="13" cm="1">
        <f t="array" ref="AU3852">$C3852*EXP(poly_from_str(100000000/$E3852,AU$4343))</f>
        <v>32.969812431624604</v>
      </c>
      <c r="AV3852" s="13">
        <f t="shared" ref="AV3852:AV3854" si="3516">LN(AS3852/AU3852)</f>
        <v>-1.5207241689736728</v>
      </c>
      <c r="AW3852" s="13"/>
      <c r="AX3852" s="13"/>
      <c r="AY3852" s="13"/>
    </row>
    <row r="3853" spans="1:51" x14ac:dyDescent="0.25">
      <c r="A3853" t="s">
        <v>4299</v>
      </c>
      <c r="B3853" s="2" t="str">
        <f t="shared" si="3494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3508"/>
        <v>e</v>
      </c>
      <c r="N3853" t="str">
        <f t="shared" si="3509"/>
        <v>11/2</v>
      </c>
      <c r="O3853">
        <v>62558.67</v>
      </c>
      <c r="P3853" t="str">
        <f t="shared" si="3510"/>
        <v>o</v>
      </c>
      <c r="Q3853" t="str">
        <f t="shared" si="3511"/>
        <v>11/2</v>
      </c>
      <c r="R3853">
        <v>35</v>
      </c>
      <c r="AA3853" s="10">
        <f t="shared" si="3495"/>
        <v>2311.442</v>
      </c>
      <c r="AB3853" s="3">
        <f t="shared" si="3496"/>
        <v>43249.74</v>
      </c>
      <c r="AC3853" s="3" cm="1">
        <f t="array" ref="AC3853">100000000/LvacE(AA3853)</f>
        <v>43249.736144653783</v>
      </c>
      <c r="AD3853" s="10">
        <f t="shared" si="3497"/>
        <v>1.4355574603354484E-2</v>
      </c>
      <c r="AE3853" s="10" t="b">
        <f t="shared" si="3498"/>
        <v>1</v>
      </c>
      <c r="AJ3853" t="s">
        <v>4813</v>
      </c>
      <c r="AK3853" t="s">
        <v>4821</v>
      </c>
      <c r="AL3853">
        <v>19308.93</v>
      </c>
      <c r="AM3853">
        <v>62558.67</v>
      </c>
      <c r="AN3853" s="10" cm="1">
        <f t="array" ref="AN3853">Lair(100000000/($AM3853-$AL3853))</f>
        <v>2311.4417990541597</v>
      </c>
      <c r="AO3853" s="10">
        <f t="shared" si="3512"/>
        <v>2312.1526279695554</v>
      </c>
      <c r="AP3853" s="12">
        <v>166000000</v>
      </c>
      <c r="AQ3853" s="3">
        <v>0.34100000000000003</v>
      </c>
      <c r="AR3853" s="3">
        <f t="shared" si="3513"/>
        <v>-7.1722411380422466</v>
      </c>
      <c r="AS3853" s="13">
        <f t="shared" si="3514"/>
        <v>58.02965013854616</v>
      </c>
      <c r="AT3853" s="3">
        <f t="shared" si="3515"/>
        <v>1.7583689962147007</v>
      </c>
      <c r="AU3853" s="13" cm="1">
        <f t="array" ref="AU3853">$C3853*EXP(poly_from_str(100000000/$E3853,AU$4343))</f>
        <v>55.109546844034256</v>
      </c>
      <c r="AV3853" s="13">
        <f t="shared" si="3516"/>
        <v>5.1631124101278937E-2</v>
      </c>
      <c r="AW3853" s="13"/>
      <c r="AX3853" s="13"/>
      <c r="AY3853" s="13"/>
    </row>
    <row r="3854" spans="1:51" x14ac:dyDescent="0.25">
      <c r="A3854" t="s">
        <v>4300</v>
      </c>
      <c r="B3854" s="2" t="str">
        <f t="shared" si="3494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3508"/>
        <v>e</v>
      </c>
      <c r="N3854" t="str">
        <f t="shared" si="3509"/>
        <v>3/2</v>
      </c>
      <c r="O3854">
        <v>64401.03</v>
      </c>
      <c r="P3854" t="str">
        <f t="shared" si="3510"/>
        <v>o</v>
      </c>
      <c r="Q3854" t="str">
        <f t="shared" si="3511"/>
        <v>5/2</v>
      </c>
      <c r="R3854">
        <v>35</v>
      </c>
      <c r="AA3854" s="10">
        <f t="shared" si="3495"/>
        <v>2311.288</v>
      </c>
      <c r="AB3854" s="3">
        <f t="shared" si="3496"/>
        <v>43252.62</v>
      </c>
      <c r="AC3854" s="3" cm="1">
        <f t="array" ref="AC3854">100000000/LvacE(AA3854)</f>
        <v>43252.617601991027</v>
      </c>
      <c r="AD3854" s="10">
        <f t="shared" si="3497"/>
        <v>1.4356821305261617E-2</v>
      </c>
      <c r="AE3854" s="10" t="b">
        <f t="shared" si="3498"/>
        <v>1</v>
      </c>
      <c r="AJ3854" t="s">
        <v>4789</v>
      </c>
      <c r="AK3854" t="s">
        <v>4837</v>
      </c>
      <c r="AL3854">
        <v>21148.43</v>
      </c>
      <c r="AM3854">
        <v>64401.03</v>
      </c>
      <c r="AN3854" s="10" cm="1">
        <f t="array" ref="AN3854">Lair(100000000/($AM3854-$AL3854))</f>
        <v>2311.2889458008422</v>
      </c>
      <c r="AO3854" s="10">
        <f t="shared" si="3512"/>
        <v>2311.9997410560291</v>
      </c>
      <c r="AP3854" s="12">
        <v>275000000</v>
      </c>
      <c r="AQ3854" s="3">
        <v>0.48699999999999999</v>
      </c>
      <c r="AR3854" s="3">
        <f t="shared" si="3513"/>
        <v>-7.6762928078893395</v>
      </c>
      <c r="AS3854" s="13">
        <f t="shared" si="3514"/>
        <v>83.725230803170376</v>
      </c>
      <c r="AT3854" s="3">
        <f t="shared" si="3515"/>
        <v>2.1249552823640636</v>
      </c>
      <c r="AU3854" s="13" cm="1">
        <f t="array" ref="AU3854">$C3854*EXP(poly_from_str(100000000/$E3854,AU$4343))</f>
        <v>55.153528844266063</v>
      </c>
      <c r="AV3854" s="13">
        <f t="shared" si="3516"/>
        <v>0.41741964540887821</v>
      </c>
      <c r="AW3854" s="13"/>
      <c r="AX3854" s="13"/>
      <c r="AY3854" s="13"/>
    </row>
    <row r="3855" spans="1:51" x14ac:dyDescent="0.25">
      <c r="A3855" t="s">
        <v>4301</v>
      </c>
      <c r="B3855" s="2" t="str">
        <f t="shared" si="3494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3495"/>
        <v>2311.172</v>
      </c>
      <c r="AB3855" s="3">
        <f t="shared" si="3496"/>
        <v>43254.79</v>
      </c>
      <c r="AC3855" s="3" cm="1">
        <f t="array" ref="AC3855">100000000/LvacE(AA3855)</f>
        <v>43254.788303888752</v>
      </c>
      <c r="AD3855" s="10">
        <f t="shared" si="3497"/>
        <v>1.4357760543976986E-2</v>
      </c>
      <c r="AE3855" s="10" t="b">
        <f t="shared" si="3498"/>
        <v>1</v>
      </c>
      <c r="AP3855"/>
      <c r="AQ3855"/>
      <c r="AU3855" s="13" cm="1">
        <f t="array" ref="AU3855">$C3855*EXP(poly_from_str(100000000/$E3855,AU$4343))</f>
        <v>5.5186730266658515</v>
      </c>
    </row>
    <row r="3856" spans="1:51" x14ac:dyDescent="0.25">
      <c r="A3856" t="s">
        <v>4302</v>
      </c>
      <c r="B3856" s="2" t="str">
        <f t="shared" si="3494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3495"/>
        <v>2311.0140000000001</v>
      </c>
      <c r="AB3856" s="3">
        <f t="shared" si="3496"/>
        <v>43257.74</v>
      </c>
      <c r="AC3856" s="3" cm="1">
        <f t="array" ref="AC3856">100000000/LvacE(AA3856)</f>
        <v>43257.745300060837</v>
      </c>
      <c r="AD3856" s="10">
        <f t="shared" si="3497"/>
        <v>1.4359040079389575E-2</v>
      </c>
      <c r="AE3856" s="10" t="b">
        <f t="shared" si="3498"/>
        <v>1</v>
      </c>
      <c r="AJ3856" t="s">
        <v>4708</v>
      </c>
      <c r="AK3856" t="s">
        <v>4716</v>
      </c>
      <c r="AL3856">
        <v>28720.71</v>
      </c>
      <c r="AM3856">
        <v>71978.52</v>
      </c>
      <c r="AN3856" s="10" cm="1">
        <f t="array" ref="AN3856">Lair(100000000/($AM3856-$AL3856))</f>
        <v>2311.0105482843214</v>
      </c>
      <c r="AO3856" s="10">
        <f>100000000/($AM3856-$AL3856)</f>
        <v>2311.7212822378201</v>
      </c>
      <c r="AP3856" s="12">
        <v>12400000</v>
      </c>
      <c r="AQ3856" s="3">
        <v>8.9999999999999993E-3</v>
      </c>
      <c r="AR3856" s="3"/>
      <c r="AS3856" s="13">
        <f>EXP(AR$4341*$AM3856+AR$4342)*$AP3856/(100000000/($AM3856-$AL3856))</f>
        <v>2.1381054339651713</v>
      </c>
      <c r="AT3856" s="3"/>
      <c r="AU3856" s="13" cm="1">
        <f t="array" ref="AU3856">$C3856*EXP(poly_from_str(100000000/$E3856,AU$4343))</f>
        <v>5.52319517570184</v>
      </c>
      <c r="AV3856" s="13"/>
      <c r="AW3856" s="13"/>
      <c r="AX3856" s="13"/>
      <c r="AY3856" s="13"/>
    </row>
    <row r="3857" spans="1:51" x14ac:dyDescent="0.25">
      <c r="A3857" t="s">
        <v>4303</v>
      </c>
      <c r="B3857" s="2" t="str">
        <f t="shared" si="3494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3495"/>
        <v>2310.7660000000001</v>
      </c>
      <c r="AB3857" s="3">
        <f t="shared" si="3496"/>
        <v>43262.39</v>
      </c>
      <c r="AC3857" s="3" cm="1">
        <f t="array" ref="AC3857">100000000/LvacE(AA3857)</f>
        <v>43262.387476476011</v>
      </c>
      <c r="AD3857" s="10">
        <f t="shared" si="3497"/>
        <v>1.4361048993380553E-2</v>
      </c>
      <c r="AE3857" s="10" t="b">
        <f t="shared" si="3498"/>
        <v>1</v>
      </c>
      <c r="AP3857"/>
      <c r="AQ3857"/>
      <c r="AU3857" s="13" cm="1">
        <f t="array" ref="AU3857">$C3857*EXP(poly_from_str(100000000/$E3857,AU$4343))</f>
        <v>5.5303434621220759</v>
      </c>
    </row>
    <row r="3858" spans="1:51" x14ac:dyDescent="0.25">
      <c r="A3858" t="s">
        <v>4304</v>
      </c>
      <c r="B3858" s="2" t="str">
        <f t="shared" si="3494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3495"/>
        <v>2310.5309999999999</v>
      </c>
      <c r="AB3858" s="3">
        <f t="shared" si="3496"/>
        <v>43266.79</v>
      </c>
      <c r="AC3858" s="3" cm="1">
        <f t="array" ref="AC3858">100000000/LvacE(AA3858)</f>
        <v>43266.787232375733</v>
      </c>
      <c r="AD3858" s="10">
        <f t="shared" si="3497"/>
        <v>1.4362953198285532E-2</v>
      </c>
      <c r="AE3858" s="10" t="b">
        <f t="shared" si="3498"/>
        <v>1</v>
      </c>
      <c r="AP3858"/>
      <c r="AQ3858"/>
      <c r="AU3858" s="13" cm="1">
        <f t="array" ref="AU3858">$C3858*EXP(poly_from_str(100000000/$E3858,AU$4343))</f>
        <v>22.148520841819991</v>
      </c>
    </row>
    <row r="3859" spans="1:51" x14ac:dyDescent="0.25">
      <c r="A3859" t="s">
        <v>4305</v>
      </c>
      <c r="B3859" s="2" t="str">
        <f t="shared" si="3494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3939</v>
      </c>
      <c r="AA3859" s="10">
        <f t="shared" si="3495"/>
        <v>2310.248</v>
      </c>
      <c r="AB3859" s="3">
        <f t="shared" si="3496"/>
        <v>43272.09</v>
      </c>
      <c r="AC3859" s="3" cm="1">
        <f t="array" ref="AC3859">100000000/LvacE(AA3859)</f>
        <v>43272.086849608771</v>
      </c>
      <c r="AD3859" s="10">
        <f t="shared" si="3497"/>
        <v>1.4365247118406504E-2</v>
      </c>
      <c r="AE3859" s="10" t="b">
        <f t="shared" si="3498"/>
        <v>1</v>
      </c>
      <c r="AJ3859" t="s">
        <v>4698</v>
      </c>
      <c r="AK3859" t="s">
        <v>4908</v>
      </c>
      <c r="AL3859">
        <v>58174.15</v>
      </c>
      <c r="AM3859">
        <v>101446.27</v>
      </c>
      <c r="AN3859" s="10" cm="1">
        <f t="array" ref="AN3859">Lair(100000000/($AM3859-$AL3859))</f>
        <v>2310.2462351337504</v>
      </c>
      <c r="AO3859" s="10">
        <f>100000000/($AM3859-$AL3859)</f>
        <v>2310.9568008223309</v>
      </c>
      <c r="AP3859" s="12">
        <v>417000000</v>
      </c>
      <c r="AQ3859" s="3">
        <v>0.29199999999999998</v>
      </c>
      <c r="AR3859" s="3">
        <f>LN(AU3859*100000000/($AM3859-$AL3859)/AP3859)</f>
        <v>-9.2916105987483295</v>
      </c>
      <c r="AS3859" s="13">
        <f>EXP(AR$4341*$AM3859+AR$4342)*$AP3859/(100000000/($AM3859-$AL3859))</f>
        <v>7.8788461770481275</v>
      </c>
      <c r="AT3859" s="3">
        <f>LN(AS3859/$C3859)</f>
        <v>0.96556918024813243</v>
      </c>
      <c r="AU3859" s="13" cm="1">
        <f t="array" ref="AU3859">$C3859*EXP(poly_from_str(100000000/$E3859,AU$4343))</f>
        <v>16.636004023999099</v>
      </c>
      <c r="AV3859" s="13">
        <f>LN(AS3859/AU3859)</f>
        <v>-0.7473877948494082</v>
      </c>
      <c r="AW3859" s="13"/>
      <c r="AX3859" s="13"/>
      <c r="AY3859" s="13"/>
    </row>
    <row r="3860" spans="1:51" x14ac:dyDescent="0.25">
      <c r="A3860" t="s">
        <v>4306</v>
      </c>
      <c r="B3860" s="2" t="str">
        <f t="shared" si="3494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3495"/>
        <v>2310.127</v>
      </c>
      <c r="AB3860" s="3">
        <f t="shared" si="3496"/>
        <v>43274.35</v>
      </c>
      <c r="AC3860" s="3" cm="1">
        <f t="array" ref="AC3860">100000000/LvacE(AA3860)</f>
        <v>43274.353159886203</v>
      </c>
      <c r="AD3860" s="10">
        <f t="shared" si="3497"/>
        <v>1.4366228168383427E-2</v>
      </c>
      <c r="AE3860" s="10" t="b">
        <f t="shared" si="3498"/>
        <v>1</v>
      </c>
      <c r="AP3860"/>
      <c r="AQ3860"/>
      <c r="AU3860" s="13" cm="1">
        <f t="array" ref="AU3860">$C3860*EXP(poly_from_str(100000000/$E3860,AU$4343))</f>
        <v>5.5488430221767642</v>
      </c>
    </row>
    <row r="3861" spans="1:51" x14ac:dyDescent="0.25">
      <c r="A3861" t="s">
        <v>4307</v>
      </c>
      <c r="B3861" s="2" t="str">
        <f t="shared" si="3494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3495"/>
        <v>2309.9450000000002</v>
      </c>
      <c r="AB3861" s="3">
        <f t="shared" si="3496"/>
        <v>43277.760000000002</v>
      </c>
      <c r="AC3861" s="3" cm="1">
        <f t="array" ref="AC3861">100000000/LvacE(AA3861)</f>
        <v>43277.762437281941</v>
      </c>
      <c r="AD3861" s="10">
        <f t="shared" si="3497"/>
        <v>1.4367704087604238E-2</v>
      </c>
      <c r="AE3861" s="10" t="b">
        <f t="shared" si="3498"/>
        <v>1</v>
      </c>
      <c r="AJ3861" t="s">
        <v>4964</v>
      </c>
      <c r="AK3861" t="s">
        <v>4840</v>
      </c>
      <c r="AL3861">
        <v>20315.650000000001</v>
      </c>
      <c r="AM3861">
        <v>63593.35</v>
      </c>
      <c r="AN3861" s="10" cm="1">
        <f t="array" ref="AN3861">Lair(100000000/($AM3861-$AL3861))</f>
        <v>2309.9483380354577</v>
      </c>
      <c r="AO3861" s="10">
        <f>100000000/($AM3861-$AL3861)</f>
        <v>2310.658838154523</v>
      </c>
      <c r="AP3861" s="12">
        <v>14300000</v>
      </c>
      <c r="AQ3861" s="3">
        <v>4.2999999999999997E-2</v>
      </c>
      <c r="AR3861" s="3"/>
      <c r="AS3861" s="13">
        <f>EXP(AR$4341*$AM3861+AR$4342)*$AP3861/(100000000/($AM3861-$AL3861))</f>
        <v>4.6284531786749765</v>
      </c>
      <c r="AT3861" s="3"/>
      <c r="AU3861" s="13" cm="1">
        <f t="array" ref="AU3861">$C3861*EXP(poly_from_str(100000000/$E3861,AU$4343))</f>
        <v>11.108295515625379</v>
      </c>
      <c r="AV3861" s="13"/>
      <c r="AW3861" s="13"/>
      <c r="AX3861" s="13"/>
      <c r="AY3861" s="13"/>
    </row>
    <row r="3862" spans="1:51" x14ac:dyDescent="0.25">
      <c r="A3862" t="s">
        <v>4308</v>
      </c>
      <c r="B3862" s="2" t="str">
        <f t="shared" si="3494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3495"/>
        <v>2309.5619999999999</v>
      </c>
      <c r="AB3862" s="3">
        <f t="shared" si="3496"/>
        <v>43284.94</v>
      </c>
      <c r="AC3862" s="3" cm="1">
        <f t="array" ref="AC3862">100000000/LvacE(AA3862)</f>
        <v>43284.938660453343</v>
      </c>
      <c r="AD3862" s="10">
        <f t="shared" si="3497"/>
        <v>1.4370811145241684E-2</v>
      </c>
      <c r="AE3862" s="10" t="b">
        <f t="shared" si="3498"/>
        <v>1</v>
      </c>
      <c r="AP3862"/>
      <c r="AQ3862"/>
      <c r="AU3862" s="13" cm="1">
        <f t="array" ref="AU3862">$C3862*EXP(poly_from_str(100000000/$E3862,AU$4343))</f>
        <v>5.5653613217476288</v>
      </c>
    </row>
    <row r="3863" spans="1:51" x14ac:dyDescent="0.25">
      <c r="A3863" t="s">
        <v>4309</v>
      </c>
      <c r="B3863" s="2" t="str">
        <f t="shared" si="3494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3517">$G3863&amp;""</f>
        <v>o</v>
      </c>
      <c r="N3863" t="str">
        <f t="shared" ref="N3863:N3866" si="3518">$H3863&amp;""</f>
        <v>7/2</v>
      </c>
      <c r="O3863">
        <v>101446.27</v>
      </c>
      <c r="P3863" t="str">
        <f t="shared" ref="P3863:P3866" si="3519">$J3863&amp;""</f>
        <v>e</v>
      </c>
      <c r="Q3863" t="str">
        <f t="shared" ref="Q3863:Q3866" si="3520">$K3863&amp;""</f>
        <v>7/2</v>
      </c>
      <c r="R3863">
        <v>35</v>
      </c>
      <c r="AA3863" s="10">
        <f t="shared" si="3495"/>
        <v>2309.386</v>
      </c>
      <c r="AB3863" s="3">
        <f t="shared" si="3496"/>
        <v>43288.24</v>
      </c>
      <c r="AC3863" s="3" cm="1">
        <f t="array" ref="AC3863">100000000/LvacE(AA3863)</f>
        <v>43288.237148553038</v>
      </c>
      <c r="AD3863" s="10">
        <f t="shared" si="3497"/>
        <v>1.4372239449912887E-2</v>
      </c>
      <c r="AE3863" s="10" t="b">
        <f t="shared" si="3498"/>
        <v>1</v>
      </c>
      <c r="AJ3863" t="s">
        <v>4902</v>
      </c>
      <c r="AK3863" t="s">
        <v>4908</v>
      </c>
      <c r="AL3863">
        <v>58158.080000000002</v>
      </c>
      <c r="AM3863">
        <v>101446.27</v>
      </c>
      <c r="AN3863" s="10" cm="1">
        <f t="array" ref="AN3863">Lair(100000000/($AM3863-$AL3863))</f>
        <v>2309.3885207252156</v>
      </c>
      <c r="AO3863" s="10">
        <f t="shared" ref="AO3863:AO3866" si="3521">100000000/($AM3863-$AL3863)</f>
        <v>2310.0988976439071</v>
      </c>
      <c r="AP3863" s="12">
        <v>258000000</v>
      </c>
      <c r="AQ3863" s="3">
        <v>8.4000000000000005E-2</v>
      </c>
      <c r="AR3863" s="3">
        <f t="shared" ref="AR3863:AR3866" si="3522">LN(AU3863*100000000/($AM3863-$AL3863)/AP3863)</f>
        <v>-9.9059333737863238</v>
      </c>
      <c r="AS3863" s="13">
        <f t="shared" ref="AS3863:AS3866" si="3523">EXP(AR$4341*$AM3863+AR$4342)*$AP3863/(100000000/($AM3863-$AL3863))</f>
        <v>4.8764921216595853</v>
      </c>
      <c r="AT3863" s="3">
        <f t="shared" ref="AT3863:AT3866" si="3524">LN(AS3863/$C3863)</f>
        <v>1.5844261338558983</v>
      </c>
      <c r="AU3863" s="13" cm="1">
        <f t="array" ref="AU3863">$C3863*EXP(poly_from_str(100000000/$E3863,AU$4343))</f>
        <v>5.5705353012063563</v>
      </c>
      <c r="AV3863" s="13">
        <f t="shared" ref="AV3863:AV3866" si="3525">LN(AS3863/AU3863)</f>
        <v>-0.1330650198114125</v>
      </c>
      <c r="AW3863" s="13"/>
      <c r="AX3863" s="13"/>
      <c r="AY3863" s="13"/>
    </row>
    <row r="3864" spans="1:51" x14ac:dyDescent="0.25">
      <c r="A3864" t="s">
        <v>4310</v>
      </c>
      <c r="B3864" s="2" t="str">
        <f t="shared" si="3494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3517"/>
        <v>e</v>
      </c>
      <c r="N3864" t="str">
        <f t="shared" si="3518"/>
        <v>7/2</v>
      </c>
      <c r="O3864">
        <v>66943.039999999994</v>
      </c>
      <c r="P3864" t="str">
        <f t="shared" si="3519"/>
        <v>o</v>
      </c>
      <c r="Q3864" t="str">
        <f t="shared" si="3520"/>
        <v>5/2</v>
      </c>
      <c r="R3864">
        <v>35</v>
      </c>
      <c r="S3864" t="s">
        <v>3943</v>
      </c>
      <c r="AA3864" s="10">
        <f t="shared" si="3495"/>
        <v>2309.23</v>
      </c>
      <c r="AB3864" s="3">
        <f t="shared" si="3496"/>
        <v>43291.16</v>
      </c>
      <c r="AC3864" s="3" cm="1">
        <f t="array" ref="AC3864">100000000/LvacE(AA3864)</f>
        <v>43291.161228719669</v>
      </c>
      <c r="AD3864" s="10">
        <f t="shared" si="3497"/>
        <v>1.4373505720244338E-2</v>
      </c>
      <c r="AE3864" s="10" t="b">
        <f t="shared" si="3498"/>
        <v>1</v>
      </c>
      <c r="AJ3864" t="s">
        <v>4759</v>
      </c>
      <c r="AK3864" t="s">
        <v>4847</v>
      </c>
      <c r="AL3864">
        <v>23651.88</v>
      </c>
      <c r="AM3864">
        <v>66943.039999999994</v>
      </c>
      <c r="AN3864" s="10" cm="1">
        <f t="array" ref="AN3864">Lair(100000000/($AM3864-$AL3864))</f>
        <v>2309.2300707241911</v>
      </c>
      <c r="AO3864" s="10">
        <f t="shared" si="3521"/>
        <v>2309.9404127771127</v>
      </c>
      <c r="AP3864" s="12">
        <v>46800000</v>
      </c>
      <c r="AQ3864" s="3">
        <v>5.8999999999999997E-2</v>
      </c>
      <c r="AR3864" s="3">
        <f t="shared" si="3522"/>
        <v>-6.2521920288660962</v>
      </c>
      <c r="AS3864" s="13">
        <f t="shared" si="3523"/>
        <v>11.784368813229399</v>
      </c>
      <c r="AT3864" s="3">
        <f t="shared" si="3524"/>
        <v>0.52086382741136328</v>
      </c>
      <c r="AU3864" s="13" cm="1">
        <f t="array" ref="AU3864">$C3864*EXP(poly_from_str(100000000/$E3864,AU$4343))</f>
        <v>39.025868619208609</v>
      </c>
      <c r="AV3864" s="13">
        <f t="shared" si="3525"/>
        <v>-1.1974507477065521</v>
      </c>
      <c r="AW3864" s="13"/>
      <c r="AX3864" s="13"/>
      <c r="AY3864" s="13"/>
    </row>
    <row r="3865" spans="1:51" x14ac:dyDescent="0.25">
      <c r="A3865" t="s">
        <v>4311</v>
      </c>
      <c r="B3865" s="2">
        <f t="shared" si="3494"/>
        <v>1</v>
      </c>
      <c r="C3865">
        <v>9</v>
      </c>
      <c r="D3865" t="s">
        <v>3264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3517"/>
        <v>e</v>
      </c>
      <c r="N3865" t="str">
        <f t="shared" si="3518"/>
        <v>11/2</v>
      </c>
      <c r="O3865">
        <v>66735.88</v>
      </c>
      <c r="P3865" t="str">
        <f t="shared" si="3519"/>
        <v>o</v>
      </c>
      <c r="Q3865" t="str">
        <f t="shared" si="3520"/>
        <v>13/2</v>
      </c>
      <c r="R3865">
        <v>35</v>
      </c>
      <c r="AA3865" s="10">
        <f t="shared" si="3495"/>
        <v>2309.098</v>
      </c>
      <c r="AB3865" s="3">
        <f t="shared" si="3496"/>
        <v>43293.64</v>
      </c>
      <c r="AC3865" s="3" cm="1">
        <f t="array" ref="AC3865">100000000/LvacE(AA3865)</f>
        <v>43293.63575893746</v>
      </c>
      <c r="AD3865" s="10">
        <f t="shared" si="3497"/>
        <v>1.4374577380201588E-2</v>
      </c>
      <c r="AE3865" s="10" t="b">
        <f t="shared" si="3498"/>
        <v>1</v>
      </c>
      <c r="AJ3865" t="s">
        <v>4782</v>
      </c>
      <c r="AK3865" t="s">
        <v>4909</v>
      </c>
      <c r="AL3865">
        <v>23442.25</v>
      </c>
      <c r="AM3865">
        <v>66735.88</v>
      </c>
      <c r="AN3865" s="10" cm="1">
        <f t="array" ref="AN3865">Lair(100000000/($AM3865-$AL3865))</f>
        <v>2309.0983123639207</v>
      </c>
      <c r="AO3865" s="10">
        <f t="shared" si="3521"/>
        <v>2309.8086254259574</v>
      </c>
      <c r="AP3865" s="12">
        <v>84000000</v>
      </c>
      <c r="AQ3865" s="3">
        <v>0.24199999999999999</v>
      </c>
      <c r="AR3865" s="3">
        <f t="shared" si="3522"/>
        <v>-6.5851680342230985</v>
      </c>
      <c r="AS3865" s="13">
        <f t="shared" si="3523"/>
        <v>21.484061036588159</v>
      </c>
      <c r="AT3865" s="3">
        <f t="shared" si="3524"/>
        <v>0.87008673572828632</v>
      </c>
      <c r="AU3865" s="13" cm="1">
        <f t="array" ref="AU3865">$C3865*EXP(poly_from_str(100000000/$E3865,AU$4343))</f>
        <v>50.211263228690115</v>
      </c>
      <c r="AV3865" s="13">
        <f t="shared" si="3525"/>
        <v>-0.84892805557202378</v>
      </c>
      <c r="AW3865" s="13"/>
      <c r="AX3865" s="13"/>
      <c r="AY3865" s="13"/>
    </row>
    <row r="3866" spans="1:51" x14ac:dyDescent="0.25">
      <c r="A3866" t="s">
        <v>4311</v>
      </c>
      <c r="B3866" s="2">
        <f t="shared" si="3494"/>
        <v>2</v>
      </c>
      <c r="C3866">
        <v>9</v>
      </c>
      <c r="D3866" t="s">
        <v>3264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3517"/>
        <v>e</v>
      </c>
      <c r="N3866" t="str">
        <f t="shared" si="3518"/>
        <v>9/2</v>
      </c>
      <c r="O3866">
        <v>61357.04</v>
      </c>
      <c r="P3866" t="str">
        <f t="shared" si="3519"/>
        <v>o</v>
      </c>
      <c r="Q3866" t="str">
        <f t="shared" si="3520"/>
        <v>9/2</v>
      </c>
      <c r="R3866">
        <v>35</v>
      </c>
      <c r="AA3866" s="10">
        <f t="shared" si="3495"/>
        <v>2309.098</v>
      </c>
      <c r="AB3866" s="3">
        <f t="shared" si="3496"/>
        <v>43293.64</v>
      </c>
      <c r="AC3866" s="3" cm="1">
        <f t="array" ref="AC3866">100000000/LvacE(AA3866)</f>
        <v>43293.63575893746</v>
      </c>
      <c r="AD3866" s="10">
        <f t="shared" si="3497"/>
        <v>1.4374577380201588E-2</v>
      </c>
      <c r="AE3866" s="10" t="b">
        <f t="shared" si="3498"/>
        <v>1</v>
      </c>
      <c r="AJ3866" t="s">
        <v>4744</v>
      </c>
      <c r="AK3866" t="s">
        <v>4903</v>
      </c>
      <c r="AL3866">
        <v>18063.36</v>
      </c>
      <c r="AM3866">
        <v>61357.04</v>
      </c>
      <c r="AN3866" s="10" cm="1">
        <f t="array" ref="AN3866">Lair(100000000/($AM3866-$AL3866))</f>
        <v>2309.0956453458698</v>
      </c>
      <c r="AO3866" s="10">
        <f t="shared" si="3521"/>
        <v>2309.8059578210955</v>
      </c>
      <c r="AP3866" s="12">
        <v>88100000</v>
      </c>
      <c r="AQ3866" s="3">
        <v>0.123</v>
      </c>
      <c r="AR3866" s="3">
        <f t="shared" si="3522"/>
        <v>-6.6328249232255647</v>
      </c>
      <c r="AS3866" s="13">
        <f t="shared" si="3523"/>
        <v>33.738267120395911</v>
      </c>
      <c r="AT3866" s="3">
        <f t="shared" si="3524"/>
        <v>1.3214081386640633</v>
      </c>
      <c r="AU3866" s="13" cm="1">
        <f t="array" ref="AU3866">$C3866*EXP(poly_from_str(100000000/$E3866,AU$4343))</f>
        <v>50.211263228690115</v>
      </c>
      <c r="AV3866" s="13">
        <f t="shared" si="3525"/>
        <v>-0.39760665263624689</v>
      </c>
      <c r="AW3866" s="13"/>
      <c r="AX3866" s="13"/>
      <c r="AY3866" s="13"/>
    </row>
    <row r="3867" spans="1:51" x14ac:dyDescent="0.25">
      <c r="A3867" t="s">
        <v>4312</v>
      </c>
      <c r="B3867" s="2" t="str">
        <f t="shared" si="3494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3495"/>
        <v>2308.9929999999999</v>
      </c>
      <c r="AB3867" s="3">
        <f t="shared" si="3496"/>
        <v>43295.6</v>
      </c>
      <c r="AC3867" s="3" cm="1">
        <f t="array" ref="AC3867">100000000/LvacE(AA3867)</f>
        <v>43295.604337248391</v>
      </c>
      <c r="AD3867" s="10">
        <f t="shared" si="3497"/>
        <v>1.437542996822606E-2</v>
      </c>
      <c r="AE3867" s="10" t="b">
        <f t="shared" si="3498"/>
        <v>1</v>
      </c>
      <c r="AP3867"/>
      <c r="AQ3867"/>
      <c r="AU3867" s="13" cm="1">
        <f t="array" ref="AU3867">$C3867*EXP(poly_from_str(100000000/$E3867,AU$4343))</f>
        <v>5.5821206828732697</v>
      </c>
    </row>
    <row r="3868" spans="1:51" x14ac:dyDescent="0.25">
      <c r="A3868" t="s">
        <v>4313</v>
      </c>
      <c r="B3868" s="2" t="str">
        <f t="shared" si="3494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3495"/>
        <v>2308.8130000000001</v>
      </c>
      <c r="AB3868" s="3">
        <f t="shared" si="3496"/>
        <v>43298.98</v>
      </c>
      <c r="AC3868" s="3" cm="1">
        <f t="array" ref="AC3868">100000000/LvacE(AA3868)</f>
        <v>43298.979459421702</v>
      </c>
      <c r="AD3868" s="10">
        <f t="shared" si="3497"/>
        <v>1.4376891818311335E-2</v>
      </c>
      <c r="AE3868" s="10" t="b">
        <f t="shared" si="3498"/>
        <v>1</v>
      </c>
      <c r="AP3868"/>
      <c r="AQ3868"/>
      <c r="AU3868" s="13" cm="1">
        <f t="array" ref="AU3868">$C3868*EXP(poly_from_str(100000000/$E3868,AU$4343))</f>
        <v>5.5874624299822147</v>
      </c>
    </row>
    <row r="3869" spans="1:51" x14ac:dyDescent="0.25">
      <c r="A3869" t="s">
        <v>4314</v>
      </c>
      <c r="B3869" s="2" t="str">
        <f t="shared" si="3494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3526">$G3869&amp;""</f>
        <v>e</v>
      </c>
      <c r="N3869" t="str">
        <f t="shared" ref="N3869:N3870" si="3527">$H3869&amp;""</f>
        <v>5/2</v>
      </c>
      <c r="O3869">
        <v>77822</v>
      </c>
      <c r="P3869" t="str">
        <f t="shared" ref="P3869:P3870" si="3528">$J3869&amp;""</f>
        <v>o</v>
      </c>
      <c r="Q3869" t="str">
        <f t="shared" ref="Q3869:Q3870" si="3529">$K3869&amp;""</f>
        <v>5/2</v>
      </c>
      <c r="R3869">
        <v>35</v>
      </c>
      <c r="AA3869" s="10">
        <f t="shared" si="3495"/>
        <v>2308.67</v>
      </c>
      <c r="AB3869" s="3">
        <f t="shared" si="3496"/>
        <v>43301.66</v>
      </c>
      <c r="AC3869" s="3" cm="1">
        <f t="array" ref="AC3869">100000000/LvacE(AA3869)</f>
        <v>43301.66118155307</v>
      </c>
      <c r="AD3869" s="10">
        <f t="shared" si="3497"/>
        <v>1.4378053420703928E-2</v>
      </c>
      <c r="AE3869" s="10" t="b">
        <f t="shared" si="3498"/>
        <v>1</v>
      </c>
      <c r="AJ3869" t="s">
        <v>4722</v>
      </c>
      <c r="AK3869" t="s">
        <v>4886</v>
      </c>
      <c r="AL3869">
        <v>34520.269999999997</v>
      </c>
      <c r="AM3869">
        <v>77822</v>
      </c>
      <c r="AN3869" s="10" cm="1">
        <f t="array" ref="AN3869">Lair(100000000/($AM3869-$AL3869))</f>
        <v>2308.6663357533962</v>
      </c>
      <c r="AO3869" s="10">
        <f t="shared" ref="AO3869:AO3870" si="3530">100000000/($AM3869-$AL3869)</f>
        <v>2309.3765537774125</v>
      </c>
      <c r="AP3869" s="12">
        <v>80700000</v>
      </c>
      <c r="AQ3869" s="3">
        <v>0.122</v>
      </c>
      <c r="AR3869" s="3">
        <f t="shared" ref="AR3869:AR3870" si="3531">LN(AU3869*100000000/($AM3869-$AL3869)/AP3869)</f>
        <v>-7.1307936552784899</v>
      </c>
      <c r="AS3869" s="13">
        <f t="shared" ref="AS3869:AS3870" si="3532">EXP(AR$4341*$AM3869+AR$4342)*$AP3869/(100000000/($AM3869-$AL3869))</f>
        <v>8.9839781094035569</v>
      </c>
      <c r="AT3869" s="3">
        <f t="shared" ref="AT3869:AT3870" si="3533">LN(AS3869/$C3869)</f>
        <v>0.58600486837881005</v>
      </c>
      <c r="AU3869" s="13" cm="1">
        <f t="array" ref="AU3869">$C3869*EXP(poly_from_str(100000000/$E3869,AU$4343))</f>
        <v>27.958537273026703</v>
      </c>
      <c r="AV3869" s="13">
        <f t="shared" ref="AV3869:AV3870" si="3534">LN(AS3869/AU3869)</f>
        <v>-1.1352798201994838</v>
      </c>
      <c r="AW3869" s="13"/>
      <c r="AX3869" s="13"/>
      <c r="AY3869" s="13"/>
    </row>
    <row r="3870" spans="1:51" x14ac:dyDescent="0.25">
      <c r="A3870" t="s">
        <v>4315</v>
      </c>
      <c r="B3870" s="2" t="str">
        <f t="shared" si="3494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3526"/>
        <v>e</v>
      </c>
      <c r="N3870" t="str">
        <f t="shared" si="3527"/>
        <v>13/2</v>
      </c>
      <c r="O3870">
        <v>60419.73</v>
      </c>
      <c r="P3870" t="str">
        <f t="shared" si="3528"/>
        <v>o</v>
      </c>
      <c r="Q3870" t="str">
        <f t="shared" si="3529"/>
        <v>11/2</v>
      </c>
      <c r="R3870">
        <v>35</v>
      </c>
      <c r="AA3870" s="10">
        <f t="shared" si="3495"/>
        <v>2308.4090000000001</v>
      </c>
      <c r="AB3870" s="3">
        <f t="shared" si="3496"/>
        <v>43306.559999999998</v>
      </c>
      <c r="AC3870" s="3" cm="1">
        <f t="array" ref="AC3870">100000000/LvacE(AA3870)</f>
        <v>43306.556649735459</v>
      </c>
      <c r="AD3870" s="10">
        <f t="shared" si="3497"/>
        <v>1.43801741047049E-2</v>
      </c>
      <c r="AE3870" s="10" t="b">
        <f t="shared" si="3498"/>
        <v>1</v>
      </c>
      <c r="AJ3870" t="s">
        <v>4729</v>
      </c>
      <c r="AK3870" t="s">
        <v>4849</v>
      </c>
      <c r="AL3870">
        <v>17113.189999999999</v>
      </c>
      <c r="AM3870">
        <v>60419.73</v>
      </c>
      <c r="AN3870" s="10" cm="1">
        <f t="array" ref="AN3870">Lair(100000000/($AM3870-$AL3870))</f>
        <v>2308.4098927723894</v>
      </c>
      <c r="AO3870" s="10">
        <f t="shared" si="3530"/>
        <v>2309.1200543843952</v>
      </c>
      <c r="AP3870" s="12">
        <v>222000000</v>
      </c>
      <c r="AQ3870" s="3">
        <v>0.188</v>
      </c>
      <c r="AR3870" s="3">
        <f t="shared" si="3531"/>
        <v>-7.4483053801213597</v>
      </c>
      <c r="AS3870" s="13">
        <f t="shared" si="3532"/>
        <v>91.238471100401171</v>
      </c>
      <c r="AT3870" s="3">
        <f t="shared" si="3533"/>
        <v>2.2108915473812738</v>
      </c>
      <c r="AU3870" s="13" cm="1">
        <f t="array" ref="AU3870">$C3870*EXP(poly_from_str(100000000/$E3870,AU$4343))</f>
        <v>55.994907976461512</v>
      </c>
      <c r="AV3870" s="13">
        <f t="shared" si="3534"/>
        <v>0.48821588276622035</v>
      </c>
      <c r="AW3870" s="13"/>
      <c r="AX3870" s="13"/>
      <c r="AY3870" s="13"/>
    </row>
    <row r="3871" spans="1:51" x14ac:dyDescent="0.25">
      <c r="A3871" t="s">
        <v>4316</v>
      </c>
      <c r="B3871" s="2" t="str">
        <f t="shared" si="3494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3495"/>
        <v>2308.2429999999999</v>
      </c>
      <c r="AB3871" s="3">
        <f t="shared" si="3496"/>
        <v>43309.67</v>
      </c>
      <c r="AC3871" s="3" cm="1">
        <f t="array" ref="AC3871">100000000/LvacE(AA3871)</f>
        <v>43309.670818401049</v>
      </c>
      <c r="AD3871" s="10">
        <f t="shared" si="3497"/>
        <v>1.4381523266484737E-2</v>
      </c>
      <c r="AE3871" s="10" t="b">
        <f t="shared" si="3498"/>
        <v>1</v>
      </c>
      <c r="AP3871"/>
      <c r="AQ3871"/>
      <c r="AU3871" s="13" cm="1">
        <f t="array" ref="AU3871">$C3871*EXP(poly_from_str(100000000/$E3871,AU$4343))</f>
        <v>11.208891157166519</v>
      </c>
    </row>
    <row r="3872" spans="1:51" x14ac:dyDescent="0.25">
      <c r="A3872" t="s">
        <v>4317</v>
      </c>
      <c r="B3872" s="2" t="str">
        <f t="shared" si="3494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3495"/>
        <v>2308.0450000000001</v>
      </c>
      <c r="AB3872" s="3">
        <f t="shared" si="3496"/>
        <v>43313.39</v>
      </c>
      <c r="AC3872" s="3" cm="1">
        <f t="array" ref="AC3872">100000000/LvacE(AA3872)</f>
        <v>43313.385894438929</v>
      </c>
      <c r="AD3872" s="10">
        <f t="shared" si="3497"/>
        <v>1.4383132888318668E-2</v>
      </c>
      <c r="AE3872" s="10" t="b">
        <f t="shared" si="3498"/>
        <v>1</v>
      </c>
      <c r="AP3872"/>
      <c r="AQ3872"/>
      <c r="AU3872" s="13" cm="1">
        <f t="array" ref="AU3872">$C3872*EXP(poly_from_str(100000000/$E3872,AU$4343))</f>
        <v>16.831161833706837</v>
      </c>
    </row>
    <row r="3873" spans="1:51" x14ac:dyDescent="0.25">
      <c r="A3873" t="s">
        <v>4318</v>
      </c>
      <c r="B3873" s="2" t="str">
        <f t="shared" si="3494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3495"/>
        <v>2308.0070000000001</v>
      </c>
      <c r="AB3873" s="3">
        <f t="shared" si="3496"/>
        <v>43314.1</v>
      </c>
      <c r="AC3873" s="3" cm="1">
        <f t="array" ref="AC3873">100000000/LvacE(AA3873)</f>
        <v>43314.098961722266</v>
      </c>
      <c r="AD3873" s="10">
        <f t="shared" si="3497"/>
        <v>1.4383441853019135E-2</v>
      </c>
      <c r="AE3873" s="10" t="b">
        <f t="shared" si="3498"/>
        <v>1</v>
      </c>
      <c r="AP3873"/>
      <c r="AQ3873"/>
      <c r="AU3873" s="13" cm="1">
        <f t="array" ref="AU3873">$C3873*EXP(poly_from_str(100000000/$E3873,AU$4343))</f>
        <v>33.669139094490788</v>
      </c>
    </row>
    <row r="3874" spans="1:51" x14ac:dyDescent="0.25">
      <c r="A3874" t="s">
        <v>4319</v>
      </c>
      <c r="B3874" s="2" t="str">
        <f t="shared" si="3494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3495"/>
        <v>2307.9090000000001</v>
      </c>
      <c r="AB3874" s="3">
        <f t="shared" si="3496"/>
        <v>43315.94</v>
      </c>
      <c r="AC3874" s="3" cm="1">
        <f t="array" ref="AC3874">100000000/LvacE(AA3874)</f>
        <v>43315.938033062259</v>
      </c>
      <c r="AD3874" s="10">
        <f t="shared" si="3497"/>
        <v>1.438423872714701E-2</v>
      </c>
      <c r="AE3874" s="10" t="b">
        <f t="shared" si="3498"/>
        <v>1</v>
      </c>
      <c r="AP3874"/>
      <c r="AQ3874"/>
      <c r="AU3874" s="13" cm="1">
        <f t="array" ref="AU3874">$C3874*EXP(poly_from_str(100000000/$E3874,AU$4343))</f>
        <v>5.6144697298055268</v>
      </c>
    </row>
    <row r="3875" spans="1:51" x14ac:dyDescent="0.25">
      <c r="A3875" t="s">
        <v>4320</v>
      </c>
      <c r="B3875" s="2" t="str">
        <f t="shared" si="3494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3535">$G3875&amp;""</f>
        <v>e</v>
      </c>
      <c r="N3875" t="str">
        <f t="shared" ref="N3875:N3879" si="3536">$H3875&amp;""</f>
        <v>13/2</v>
      </c>
      <c r="O3875">
        <v>62678.7</v>
      </c>
      <c r="P3875" t="str">
        <f t="shared" ref="P3875:P3879" si="3537">$J3875&amp;""</f>
        <v>o</v>
      </c>
      <c r="Q3875" t="str">
        <f t="shared" ref="Q3875:Q3879" si="3538">$K3875&amp;""</f>
        <v>13/2</v>
      </c>
      <c r="R3875">
        <v>35</v>
      </c>
      <c r="AA3875" s="10">
        <f t="shared" si="3495"/>
        <v>2307.7660000000001</v>
      </c>
      <c r="AB3875" s="3">
        <f t="shared" si="3496"/>
        <v>43318.62</v>
      </c>
      <c r="AC3875" s="3" cm="1">
        <f t="array" ref="AC3875">100000000/LvacE(AA3875)</f>
        <v>43318.621856126789</v>
      </c>
      <c r="AD3875" s="10">
        <f t="shared" si="3497"/>
        <v>1.4385401695000011E-2</v>
      </c>
      <c r="AE3875" s="10" t="b">
        <f t="shared" si="3498"/>
        <v>1</v>
      </c>
      <c r="AJ3875" t="s">
        <v>4748</v>
      </c>
      <c r="AK3875" t="s">
        <v>4888</v>
      </c>
      <c r="AL3875">
        <v>19360.099999999999</v>
      </c>
      <c r="AM3875">
        <v>62678.7</v>
      </c>
      <c r="AN3875" s="10" cm="1">
        <f t="array" ref="AN3875">Lair(100000000/($AM3875-$AL3875))</f>
        <v>2307.7671696863035</v>
      </c>
      <c r="AO3875" s="10">
        <f t="shared" ref="AO3875:AO3879" si="3539">100000000/($AM3875-$AL3875)</f>
        <v>2308.4771899368861</v>
      </c>
      <c r="AP3875" s="12">
        <v>881000000</v>
      </c>
      <c r="AQ3875" s="3">
        <v>0.68600000000000005</v>
      </c>
      <c r="AR3875" s="3">
        <f t="shared" ref="AR3875:AR3877" si="3540">LN(AU3875*100000000/($AM3875-$AL3875)/AP3875)</f>
        <v>-8.8235271886630304</v>
      </c>
      <c r="AS3875" s="13">
        <f t="shared" ref="AS3875:AS3879" si="3541">EXP(AR$4341*$AM3875+AR$4342)*$AP3875/(100000000/($AM3875-$AL3875))</f>
        <v>305.70083073414918</v>
      </c>
      <c r="AT3875" s="3">
        <f t="shared" ref="AT3875:AT3879" si="3542">LN(AS3875/$C3875)</f>
        <v>3.4200218533807294</v>
      </c>
      <c r="AU3875" s="13" cm="1">
        <f t="array" ref="AU3875">$C3875*EXP(poly_from_str(100000000/$E3875,AU$4343))</f>
        <v>56.187686655731362</v>
      </c>
      <c r="AV3875" s="13">
        <f t="shared" ref="AV3875:AV3877" si="3543">LN(AS3875/AU3875)</f>
        <v>1.6939093121332127</v>
      </c>
      <c r="AW3875" s="13"/>
      <c r="AX3875" s="13"/>
      <c r="AY3875" s="13"/>
    </row>
    <row r="3876" spans="1:51" x14ac:dyDescent="0.25">
      <c r="A3876" t="s">
        <v>4321</v>
      </c>
      <c r="B3876" s="2" t="str">
        <f t="shared" si="3494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3535"/>
        <v>e</v>
      </c>
      <c r="N3876" t="str">
        <f t="shared" si="3536"/>
        <v>9/2</v>
      </c>
      <c r="O3876">
        <v>64857.15</v>
      </c>
      <c r="P3876" t="str">
        <f t="shared" si="3537"/>
        <v>o</v>
      </c>
      <c r="Q3876" t="str">
        <f t="shared" si="3538"/>
        <v>9/2</v>
      </c>
      <c r="R3876">
        <v>35</v>
      </c>
      <c r="AA3876" s="10">
        <f t="shared" si="3495"/>
        <v>2307.5880000000002</v>
      </c>
      <c r="AB3876" s="3">
        <f t="shared" si="3496"/>
        <v>43321.96</v>
      </c>
      <c r="AC3876" s="3" cm="1">
        <f t="array" ref="AC3876">100000000/LvacE(AA3876)</f>
        <v>43321.963023589691</v>
      </c>
      <c r="AD3876" s="10">
        <f t="shared" si="3497"/>
        <v>1.4386849607380018E-2</v>
      </c>
      <c r="AE3876" s="10" t="b">
        <f t="shared" si="3498"/>
        <v>1</v>
      </c>
      <c r="AJ3876" t="s">
        <v>4798</v>
      </c>
      <c r="AK3876" t="s">
        <v>4854</v>
      </c>
      <c r="AL3876">
        <v>21535.17</v>
      </c>
      <c r="AM3876">
        <v>64857.15</v>
      </c>
      <c r="AN3876" s="10" cm="1">
        <f t="array" ref="AN3876">Lair(100000000/($AM3876-$AL3876))</f>
        <v>2307.5871008755121</v>
      </c>
      <c r="AO3876" s="10">
        <f t="shared" si="3539"/>
        <v>2308.2970815276676</v>
      </c>
      <c r="AP3876" s="12">
        <v>501000000</v>
      </c>
      <c r="AQ3876" s="3">
        <v>0.33400000000000002</v>
      </c>
      <c r="AR3876" s="3">
        <f t="shared" si="3540"/>
        <v>-8.2581984811446407</v>
      </c>
      <c r="AS3876" s="13">
        <f t="shared" si="3541"/>
        <v>147.63571153041858</v>
      </c>
      <c r="AT3876" s="3">
        <f t="shared" si="3542"/>
        <v>2.6921627379456865</v>
      </c>
      <c r="AU3876" s="13" cm="1">
        <f t="array" ref="AU3876">$C3876*EXP(poly_from_str(100000000/$E3876,AU$4343))</f>
        <v>56.241383121216224</v>
      </c>
      <c r="AV3876" s="13">
        <f t="shared" si="3543"/>
        <v>0.96509499054598513</v>
      </c>
      <c r="AW3876" s="13"/>
      <c r="AX3876" s="13"/>
      <c r="AY3876" s="13"/>
    </row>
    <row r="3877" spans="1:51" x14ac:dyDescent="0.25">
      <c r="A3877" t="s">
        <v>4322</v>
      </c>
      <c r="B3877" s="2" t="str">
        <f t="shared" si="3494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3535"/>
        <v>o</v>
      </c>
      <c r="N3877" t="str">
        <f t="shared" si="3536"/>
        <v>11/2</v>
      </c>
      <c r="O3877">
        <v>105566.62</v>
      </c>
      <c r="P3877" t="str">
        <f t="shared" si="3537"/>
        <v>e</v>
      </c>
      <c r="Q3877" t="str">
        <f t="shared" si="3538"/>
        <v>9/2</v>
      </c>
      <c r="R3877">
        <v>35</v>
      </c>
      <c r="AA3877" s="10">
        <f t="shared" si="3495"/>
        <v>2307.384</v>
      </c>
      <c r="AB3877" s="3">
        <f t="shared" si="3496"/>
        <v>43325.79</v>
      </c>
      <c r="AC3877" s="3" cm="1">
        <f t="array" ref="AC3877">100000000/LvacE(AA3877)</f>
        <v>43325.792860578316</v>
      </c>
      <c r="AD3877" s="10">
        <f t="shared" si="3497"/>
        <v>1.4388509424651103E-2</v>
      </c>
      <c r="AE3877" s="10" t="b">
        <f t="shared" si="3498"/>
        <v>1</v>
      </c>
      <c r="AJ3877" t="s">
        <v>4892</v>
      </c>
      <c r="AK3877" t="s">
        <v>4878</v>
      </c>
      <c r="AL3877">
        <v>62240.83</v>
      </c>
      <c r="AM3877">
        <v>105566.62</v>
      </c>
      <c r="AN3877" s="10" cm="1">
        <f t="array" ref="AN3877">Lair(100000000/($AM3877-$AL3877))</f>
        <v>2307.3841575835945</v>
      </c>
      <c r="AO3877" s="10">
        <f t="shared" si="3539"/>
        <v>2308.0940936102957</v>
      </c>
      <c r="AP3877" s="12">
        <v>1960000000</v>
      </c>
      <c r="AQ3877" s="3">
        <v>0.65500000000000003</v>
      </c>
      <c r="AR3877" s="3">
        <f t="shared" si="3540"/>
        <v>-10.13210855634264</v>
      </c>
      <c r="AS3877" s="13">
        <f t="shared" si="3541"/>
        <v>27.216287636304966</v>
      </c>
      <c r="AT3877" s="3">
        <f t="shared" si="3542"/>
        <v>1.5120561350169048</v>
      </c>
      <c r="AU3877" s="13" cm="1">
        <f t="array" ref="AU3877">$C3877*EXP(poly_from_str(100000000/$E3877,AU$4343))</f>
        <v>33.78187305859899</v>
      </c>
      <c r="AV3877" s="13">
        <f t="shared" si="3543"/>
        <v>-0.21610875434225868</v>
      </c>
      <c r="AW3877" s="13"/>
      <c r="AX3877" s="13"/>
      <c r="AY3877" s="13"/>
    </row>
    <row r="3878" spans="1:51" x14ac:dyDescent="0.25">
      <c r="A3878" t="s">
        <v>4323</v>
      </c>
      <c r="B3878" s="2" t="str">
        <f t="shared" si="3494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3535"/>
        <v>e</v>
      </c>
      <c r="N3878" t="str">
        <f t="shared" si="3536"/>
        <v>5/2</v>
      </c>
      <c r="O3878">
        <v>83426.55</v>
      </c>
      <c r="P3878" t="str">
        <f t="shared" si="3537"/>
        <v>o</v>
      </c>
      <c r="Q3878" t="str">
        <f t="shared" si="3538"/>
        <v>5/2</v>
      </c>
      <c r="R3878">
        <v>35</v>
      </c>
      <c r="AA3878" s="10">
        <f t="shared" si="3495"/>
        <v>2307.277</v>
      </c>
      <c r="AB3878" s="3">
        <f t="shared" si="3496"/>
        <v>43327.8</v>
      </c>
      <c r="AC3878" s="3" cm="1">
        <f t="array" ref="AC3878">100000000/LvacE(AA3878)</f>
        <v>43327.801918342724</v>
      </c>
      <c r="AD3878" s="10">
        <f t="shared" si="3497"/>
        <v>1.4389380191095983E-2</v>
      </c>
      <c r="AE3878" s="10" t="b">
        <f t="shared" si="3498"/>
        <v>1</v>
      </c>
      <c r="AJ3878" t="s">
        <v>4737</v>
      </c>
      <c r="AK3878" t="s">
        <v>4868</v>
      </c>
      <c r="AL3878">
        <v>40098.660000000003</v>
      </c>
      <c r="AM3878">
        <v>83426.55</v>
      </c>
      <c r="AN3878" s="10" cm="1">
        <f t="array" ref="AN3878">Lair(100000000/($AM3878-$AL3878))</f>
        <v>2307.2723143324683</v>
      </c>
      <c r="AO3878" s="10">
        <f t="shared" si="3539"/>
        <v>2307.9822257672831</v>
      </c>
      <c r="AP3878" s="12">
        <v>4720000</v>
      </c>
      <c r="AQ3878" s="3">
        <v>8.9999999999999993E-3</v>
      </c>
      <c r="AR3878" s="3"/>
      <c r="AS3878" s="13">
        <f t="shared" si="3541"/>
        <v>0.34525004288425548</v>
      </c>
      <c r="AT3878" s="3"/>
      <c r="AU3878" s="13" cm="1">
        <f t="array" ref="AU3878">$C3878*EXP(poly_from_str(100000000/$E3878,AU$4343))</f>
        <v>11.267118593767687</v>
      </c>
      <c r="AV3878" s="13"/>
      <c r="AW3878" s="13"/>
      <c r="AX3878" s="13"/>
      <c r="AY3878" s="13"/>
    </row>
    <row r="3879" spans="1:51" x14ac:dyDescent="0.25">
      <c r="A3879" t="s">
        <v>4324</v>
      </c>
      <c r="B3879" s="2" t="str">
        <f t="shared" si="3494"/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3535"/>
        <v>e</v>
      </c>
      <c r="N3879" t="str">
        <f t="shared" si="3536"/>
        <v>9/2</v>
      </c>
      <c r="O3879">
        <v>64865.15</v>
      </c>
      <c r="P3879" t="str">
        <f t="shared" si="3537"/>
        <v>o</v>
      </c>
      <c r="Q3879" t="str">
        <f t="shared" si="3538"/>
        <v>11/2</v>
      </c>
      <c r="R3879">
        <v>35</v>
      </c>
      <c r="AA3879" s="10">
        <f t="shared" si="3495"/>
        <v>2307.163</v>
      </c>
      <c r="AB3879" s="3">
        <f t="shared" si="3496"/>
        <v>43329.94</v>
      </c>
      <c r="AC3879" s="3" cm="1">
        <f t="array" ref="AC3879">100000000/LvacE(AA3879)</f>
        <v>43329.942614789688</v>
      </c>
      <c r="AD3879" s="10">
        <f t="shared" si="3497"/>
        <v>1.4390308056862408E-2</v>
      </c>
      <c r="AE3879" s="10" t="b">
        <f t="shared" si="3498"/>
        <v>1</v>
      </c>
      <c r="AJ3879" t="s">
        <v>4798</v>
      </c>
      <c r="AK3879" t="s">
        <v>4896</v>
      </c>
      <c r="AL3879">
        <v>21535.17</v>
      </c>
      <c r="AM3879">
        <v>64865.15</v>
      </c>
      <c r="AN3879" s="10" cm="1">
        <f t="array" ref="AN3879">Lair(100000000/($AM3879-$AL3879))</f>
        <v>2307.1610144309357</v>
      </c>
      <c r="AO3879" s="10">
        <f t="shared" si="3539"/>
        <v>2307.8709013943694</v>
      </c>
      <c r="AP3879" s="12">
        <v>22700000</v>
      </c>
      <c r="AQ3879" s="3">
        <v>9.0999999999999998E-2</v>
      </c>
      <c r="AR3879" s="3">
        <f>LN(AU3879*100000000/($AM3879-$AL3879)/AP3879)</f>
        <v>-6.7712917390432263</v>
      </c>
      <c r="AS3879" s="13">
        <f t="shared" si="3541"/>
        <v>6.6865023981183898</v>
      </c>
      <c r="AT3879" s="3">
        <f t="shared" si="3542"/>
        <v>1.2069437464214769</v>
      </c>
      <c r="AU3879" s="13" cm="1">
        <f t="array" ref="AU3879">$C3879*EXP(poly_from_str(100000000/$E3879,AU$4343))</f>
        <v>11.274043551056126</v>
      </c>
      <c r="AV3879" s="13">
        <f>LN(AS3879/AU3879)</f>
        <v>-0.5224121256344989</v>
      </c>
      <c r="AW3879" s="13"/>
      <c r="AX3879" s="13"/>
      <c r="AY3879" s="13"/>
    </row>
    <row r="3880" spans="1:51" x14ac:dyDescent="0.25">
      <c r="A3880" t="s">
        <v>4325</v>
      </c>
      <c r="B3880" s="2" t="str">
        <f t="shared" si="3494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3495"/>
        <v>2307.0680000000002</v>
      </c>
      <c r="AB3880" s="3">
        <f t="shared" si="3496"/>
        <v>43331.73</v>
      </c>
      <c r="AC3880" s="3" cm="1">
        <f t="array" ref="AC3880">100000000/LvacE(AA3880)</f>
        <v>43331.726690072581</v>
      </c>
      <c r="AD3880" s="10">
        <f t="shared" si="3497"/>
        <v>1.4391081383399316E-2</v>
      </c>
      <c r="AE3880" s="10" t="b">
        <f t="shared" si="3498"/>
        <v>1</v>
      </c>
      <c r="AP3880"/>
      <c r="AQ3880"/>
      <c r="AU3880" s="13" cm="1">
        <f t="array" ref="AU3880">$C3880*EXP(poly_from_str(100000000/$E3880,AU$4343))</f>
        <v>5.6399222016245361</v>
      </c>
    </row>
    <row r="3881" spans="1:51" x14ac:dyDescent="0.25">
      <c r="A3881" t="s">
        <v>4326</v>
      </c>
      <c r="B3881" s="2" t="str">
        <f t="shared" si="3494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3544">$G3881&amp;""</f>
        <v>e</v>
      </c>
      <c r="N3881" t="str">
        <f t="shared" ref="N3881:N3882" si="3545">$H3881&amp;""</f>
        <v>5/2</v>
      </c>
      <c r="O3881">
        <v>66867.09</v>
      </c>
      <c r="P3881" t="str">
        <f t="shared" ref="P3881:P3882" si="3546">$J3881&amp;""</f>
        <v>o</v>
      </c>
      <c r="Q3881" t="str">
        <f t="shared" ref="Q3881:Q3882" si="3547">$K3881&amp;""</f>
        <v>3/2</v>
      </c>
      <c r="R3881">
        <v>35</v>
      </c>
      <c r="AA3881" s="10">
        <f t="shared" si="3495"/>
        <v>2306.9340000000002</v>
      </c>
      <c r="AB3881" s="3">
        <f t="shared" si="3496"/>
        <v>43334.239999999998</v>
      </c>
      <c r="AC3881" s="3" cm="1">
        <f t="array" ref="AC3881">100000000/LvacE(AA3881)</f>
        <v>43334.243424963774</v>
      </c>
      <c r="AD3881" s="10">
        <f t="shared" si="3497"/>
        <v>1.4392172343240806E-2</v>
      </c>
      <c r="AE3881" s="10" t="b">
        <f t="shared" si="3498"/>
        <v>1</v>
      </c>
      <c r="AJ3881" t="s">
        <v>4756</v>
      </c>
      <c r="AK3881" t="s">
        <v>4867</v>
      </c>
      <c r="AL3881">
        <v>23532.86</v>
      </c>
      <c r="AM3881">
        <v>66867.09</v>
      </c>
      <c r="AN3881" s="10" cm="1">
        <f t="array" ref="AN3881">Lair(100000000/($AM3881-$AL3881))</f>
        <v>2306.934719989566</v>
      </c>
      <c r="AO3881" s="10">
        <f t="shared" ref="AO3881:AO3882" si="3548">100000000/($AM3881-$AL3881)</f>
        <v>2307.6445572010857</v>
      </c>
      <c r="AP3881" s="12">
        <v>310000000</v>
      </c>
      <c r="AQ3881" s="3">
        <v>0.495</v>
      </c>
      <c r="AR3881" s="3">
        <f>LN(AU3881*100000000/($AM3881-$AL3881)/AP3881)</f>
        <v>-7.880283377759107</v>
      </c>
      <c r="AS3881" s="13">
        <f t="shared" ref="AS3881:AS3882" si="3549">EXP(AR$4341*$AM3881+AR$4342)*$AP3881/(100000000/($AM3881-$AL3881))</f>
        <v>78.583147590008977</v>
      </c>
      <c r="AT3881" s="3">
        <f t="shared" ref="AT3881" si="3550">LN(AS3881/$C3881)</f>
        <v>2.1669326918586265</v>
      </c>
      <c r="AU3881" s="13" cm="1">
        <f t="array" ref="AU3881">$C3881*EXP(poly_from_str(100000000/$E3881,AU$4343))</f>
        <v>50.795962170629039</v>
      </c>
      <c r="AV3881" s="13">
        <f>LN(AS3881/AU3881)</f>
        <v>0.43634040259963319</v>
      </c>
      <c r="AW3881" s="13"/>
      <c r="AX3881" s="13"/>
      <c r="AY3881" s="13"/>
    </row>
    <row r="3882" spans="1:51" x14ac:dyDescent="0.25">
      <c r="A3882" t="s">
        <v>4327</v>
      </c>
      <c r="B3882" s="2" t="str">
        <f t="shared" si="3494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3544"/>
        <v>e</v>
      </c>
      <c r="N3882" t="str">
        <f t="shared" si="3545"/>
        <v>9/2</v>
      </c>
      <c r="O3882">
        <v>68374.539999999994</v>
      </c>
      <c r="P3882" t="str">
        <f t="shared" si="3546"/>
        <v>o</v>
      </c>
      <c r="Q3882" t="str">
        <f t="shared" si="3547"/>
        <v>9/2</v>
      </c>
      <c r="R3882">
        <v>35</v>
      </c>
      <c r="AA3882" s="10">
        <f t="shared" si="3495"/>
        <v>2306.596</v>
      </c>
      <c r="AB3882" s="3">
        <f t="shared" si="3496"/>
        <v>43340.59</v>
      </c>
      <c r="AC3882" s="3" cm="1">
        <f t="array" ref="AC3882">100000000/LvacE(AA3882)</f>
        <v>43340.592905795478</v>
      </c>
      <c r="AD3882" s="10">
        <f t="shared" si="3497"/>
        <v>1.4394925011964706E-2</v>
      </c>
      <c r="AE3882" s="10" t="b">
        <f t="shared" si="3498"/>
        <v>1</v>
      </c>
      <c r="AJ3882" t="s">
        <v>4746</v>
      </c>
      <c r="AK3882" t="s">
        <v>4739</v>
      </c>
      <c r="AL3882">
        <v>25033.91</v>
      </c>
      <c r="AM3882">
        <v>68374.539999999994</v>
      </c>
      <c r="AN3882" s="10" cm="1">
        <f t="array" ref="AN3882">Lair(100000000/($AM3882-$AL3882))</f>
        <v>2306.5940309130542</v>
      </c>
      <c r="AO3882" s="10">
        <f t="shared" si="3548"/>
        <v>2307.3037932305097</v>
      </c>
      <c r="AP3882" s="12">
        <v>4260000</v>
      </c>
      <c r="AQ3882" s="3">
        <v>7.0000000000000001E-3</v>
      </c>
      <c r="AR3882" s="3"/>
      <c r="AS3882" s="13">
        <f t="shared" si="3549"/>
        <v>0.96451737928256787</v>
      </c>
      <c r="AT3882" s="3"/>
      <c r="AU3882" s="13" cm="1">
        <f t="array" ref="AU3882">$C3882*EXP(poly_from_str(100000000/$E3882,AU$4343))</f>
        <v>16.963006715817986</v>
      </c>
      <c r="AV3882" s="13"/>
      <c r="AW3882" s="13"/>
      <c r="AX3882" s="13"/>
      <c r="AY3882" s="13"/>
    </row>
    <row r="3883" spans="1:51" x14ac:dyDescent="0.25">
      <c r="A3883" t="s">
        <v>4328</v>
      </c>
      <c r="B3883" s="2" t="str">
        <f t="shared" si="3494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3495"/>
        <v>2305.5830000000001</v>
      </c>
      <c r="AB3883" s="3">
        <f t="shared" si="3496"/>
        <v>43359.63</v>
      </c>
      <c r="AC3883" s="3" cm="1">
        <f t="array" ref="AC3883">100000000/LvacE(AA3883)</f>
        <v>43359.633711576229</v>
      </c>
      <c r="AD3883" s="10">
        <f t="shared" si="3497"/>
        <v>1.4403182126077489E-2</v>
      </c>
      <c r="AE3883" s="10" t="b">
        <f t="shared" si="3498"/>
        <v>1</v>
      </c>
      <c r="AP3883"/>
      <c r="AQ3883"/>
      <c r="AU3883" s="13" cm="1">
        <f t="array" ref="AU3883">$C3883*EXP(poly_from_str(100000000/$E3883,AU$4343))</f>
        <v>17.056900397826521</v>
      </c>
    </row>
    <row r="3884" spans="1:51" x14ac:dyDescent="0.25">
      <c r="A3884" t="s">
        <v>4329</v>
      </c>
      <c r="B3884" s="2" t="str">
        <f t="shared" si="3494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3495"/>
        <v>2305.2979999999998</v>
      </c>
      <c r="AB3884" s="3">
        <f t="shared" si="3496"/>
        <v>43364.99</v>
      </c>
      <c r="AC3884" s="3" cm="1">
        <f t="array" ref="AC3884">100000000/LvacE(AA3884)</f>
        <v>43364.993716069912</v>
      </c>
      <c r="AD3884" s="10">
        <f t="shared" si="3497"/>
        <v>1.4405507165683118E-2</v>
      </c>
      <c r="AE3884" s="10" t="b">
        <f t="shared" si="3498"/>
        <v>1</v>
      </c>
      <c r="AP3884"/>
      <c r="AQ3884"/>
      <c r="AU3884" s="13" cm="1">
        <f t="array" ref="AU3884">$C3884*EXP(poly_from_str(100000000/$E3884,AU$4343))</f>
        <v>5.694524626458267</v>
      </c>
    </row>
    <row r="3885" spans="1:51" x14ac:dyDescent="0.25">
      <c r="A3885" t="s">
        <v>4330</v>
      </c>
      <c r="B3885" s="2" t="str">
        <f t="shared" si="3494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3551">$G3885&amp;""</f>
        <v>e</v>
      </c>
      <c r="N3885" t="str">
        <f t="shared" ref="N3885:N3896" si="3552">$H3885&amp;""</f>
        <v>5/2</v>
      </c>
      <c r="O3885">
        <v>64979.55</v>
      </c>
      <c r="P3885" t="str">
        <f t="shared" ref="P3885:P3896" si="3553">$J3885&amp;""</f>
        <v>o</v>
      </c>
      <c r="Q3885" t="str">
        <f t="shared" ref="Q3885:Q3896" si="3554">$K3885&amp;""</f>
        <v>7/2</v>
      </c>
      <c r="R3885">
        <v>36</v>
      </c>
      <c r="AA3885" s="10">
        <f t="shared" si="3495"/>
        <v>2305.1179999999999</v>
      </c>
      <c r="AB3885" s="3">
        <f t="shared" si="3496"/>
        <v>43368.38</v>
      </c>
      <c r="AC3885" s="3" cm="1">
        <f t="array" ref="AC3885">100000000/LvacE(AA3885)</f>
        <v>43368.379664832682</v>
      </c>
      <c r="AD3885" s="10">
        <f t="shared" si="3497"/>
        <v>1.4406976056070164E-2</v>
      </c>
      <c r="AE3885" s="10" t="b">
        <f t="shared" si="3498"/>
        <v>1</v>
      </c>
      <c r="AJ3885" t="s">
        <v>4796</v>
      </c>
      <c r="AK3885" t="s">
        <v>4912</v>
      </c>
      <c r="AL3885">
        <v>21611.19</v>
      </c>
      <c r="AM3885">
        <v>64979.55</v>
      </c>
      <c r="AN3885" s="10" cm="1">
        <f t="array" ref="AN3885">Lair(100000000/($AM3885-$AL3885))</f>
        <v>2305.1190506049061</v>
      </c>
      <c r="AO3885" s="10">
        <f t="shared" ref="AO3885:AO3896" si="3555">100000000/($AM3885-$AL3885)</f>
        <v>2305.8284887876785</v>
      </c>
      <c r="AP3885" s="12">
        <v>525000000</v>
      </c>
      <c r="AQ3885" s="3">
        <v>0.628</v>
      </c>
      <c r="AR3885" s="3">
        <f t="shared" ref="AR3885:AR3886" si="3556">LN(AU3885*100000000/($AM3885-$AL3885)/AP3885)</f>
        <v>-8.5157766029505559</v>
      </c>
      <c r="AS3885" s="13">
        <f t="shared" ref="AS3885:AS3896" si="3557">EXP(AR$4341*$AM3885+AR$4342)*$AP3885/(100000000/($AM3885-$AL3885))</f>
        <v>153.45759649803514</v>
      </c>
      <c r="AT3885" s="3">
        <f t="shared" ref="AT3885:AT3895" si="3558">LN(AS3885/$C3885)</f>
        <v>2.9539827428724528</v>
      </c>
      <c r="AU3885" s="13" cm="1">
        <f t="array" ref="AU3885">$C3885*EXP(poly_from_str(100000000/$E3885,AU$4343))</f>
        <v>45.601330585908492</v>
      </c>
      <c r="AV3885" s="13">
        <f t="shared" ref="AV3885:AV3886" si="3559">LN(AS3885/AU3885)</f>
        <v>1.2134873889421252</v>
      </c>
      <c r="AW3885" s="13"/>
      <c r="AX3885" s="13"/>
      <c r="AY3885" s="13"/>
    </row>
    <row r="3886" spans="1:51" x14ac:dyDescent="0.25">
      <c r="A3886" t="s">
        <v>4331</v>
      </c>
      <c r="B3886" s="2" t="str">
        <f t="shared" si="3494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3551"/>
        <v>e</v>
      </c>
      <c r="N3886" t="str">
        <f t="shared" si="3552"/>
        <v>11/2</v>
      </c>
      <c r="O3886">
        <v>62678.7</v>
      </c>
      <c r="P3886" t="str">
        <f t="shared" si="3553"/>
        <v>o</v>
      </c>
      <c r="Q3886" t="str">
        <f t="shared" si="3554"/>
        <v>13/2</v>
      </c>
      <c r="R3886">
        <v>36</v>
      </c>
      <c r="S3886" t="s">
        <v>159</v>
      </c>
      <c r="AA3886" s="10">
        <f t="shared" si="3495"/>
        <v>2305.0459999999998</v>
      </c>
      <c r="AB3886" s="3">
        <f t="shared" si="3496"/>
        <v>43369.73</v>
      </c>
      <c r="AC3886" s="3" cm="1">
        <f t="array" ref="AC3886">100000000/LvacE(AA3886)</f>
        <v>43369.73419237847</v>
      </c>
      <c r="AD3886" s="10">
        <f t="shared" si="3497"/>
        <v>1.4407563708572078E-2</v>
      </c>
      <c r="AE3886" s="10" t="b">
        <f t="shared" si="3498"/>
        <v>1</v>
      </c>
      <c r="AJ3886" t="s">
        <v>4813</v>
      </c>
      <c r="AK3886" t="s">
        <v>4888</v>
      </c>
      <c r="AL3886">
        <v>19308.93</v>
      </c>
      <c r="AM3886">
        <v>62678.7</v>
      </c>
      <c r="AN3886" s="10" cm="1">
        <f t="array" ref="AN3886">Lair(100000000/($AM3886-$AL3886))</f>
        <v>2305.0441019928953</v>
      </c>
      <c r="AO3886" s="10">
        <f t="shared" si="3555"/>
        <v>2305.7535237101788</v>
      </c>
      <c r="AP3886" s="12">
        <v>258000000</v>
      </c>
      <c r="AQ3886" s="3">
        <v>0.47599999999999998</v>
      </c>
      <c r="AR3886" s="3">
        <f t="shared" si="3556"/>
        <v>-7.8049756725861705</v>
      </c>
      <c r="AS3886" s="13">
        <f t="shared" si="3557"/>
        <v>89.629943590911807</v>
      </c>
      <c r="AT3886" s="3">
        <f t="shared" si="3558"/>
        <v>2.4162479143342415</v>
      </c>
      <c r="AU3886" s="13" cm="1">
        <f t="array" ref="AU3886">$C3886*EXP(poly_from_str(100000000/$E3886,AU$4343))</f>
        <v>45.619335919123145</v>
      </c>
      <c r="AV3886" s="13">
        <f t="shared" si="3559"/>
        <v>0.67535779605635238</v>
      </c>
      <c r="AW3886" s="13"/>
      <c r="AX3886" s="13"/>
      <c r="AY3886" s="13"/>
    </row>
    <row r="3887" spans="1:51" x14ac:dyDescent="0.25">
      <c r="A3887" t="s">
        <v>4332</v>
      </c>
      <c r="B3887" s="2" t="str">
        <f t="shared" si="3494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3551"/>
        <v>e</v>
      </c>
      <c r="N3887" t="str">
        <f t="shared" si="3552"/>
        <v>7/2</v>
      </c>
      <c r="O3887">
        <v>65909.440000000002</v>
      </c>
      <c r="P3887" t="str">
        <f t="shared" si="3553"/>
        <v>o</v>
      </c>
      <c r="Q3887" t="str">
        <f t="shared" si="3554"/>
        <v>5/2</v>
      </c>
      <c r="R3887">
        <v>36</v>
      </c>
      <c r="AA3887" s="10">
        <f t="shared" si="3495"/>
        <v>2304.4079999999999</v>
      </c>
      <c r="AB3887" s="3">
        <f t="shared" si="3496"/>
        <v>43381.74</v>
      </c>
      <c r="AC3887" s="3" cm="1">
        <f t="array" ref="AC3887">100000000/LvacE(AA3887)</f>
        <v>43381.740508849987</v>
      </c>
      <c r="AD3887" s="10">
        <f t="shared" si="3497"/>
        <v>1.4412773369310034E-2</v>
      </c>
      <c r="AE3887" s="10" t="b">
        <f t="shared" si="3498"/>
        <v>1</v>
      </c>
      <c r="AJ3887" t="s">
        <v>4799</v>
      </c>
      <c r="AK3887" t="s">
        <v>4907</v>
      </c>
      <c r="AL3887">
        <v>22527.7</v>
      </c>
      <c r="AM3887">
        <v>65909.440000000002</v>
      </c>
      <c r="AN3887" s="10" cm="1">
        <f t="array" ref="AN3887">Lair(100000000/($AM3887-$AL3887))</f>
        <v>2304.4080323376097</v>
      </c>
      <c r="AO3887" s="10">
        <f t="shared" si="3555"/>
        <v>2305.1173143354781</v>
      </c>
      <c r="AP3887" s="12">
        <v>15800000</v>
      </c>
      <c r="AQ3887" s="3">
        <v>2.3E-2</v>
      </c>
      <c r="AR3887" s="3"/>
      <c r="AS3887" s="13">
        <f t="shared" si="3557"/>
        <v>4.3083681059811765</v>
      </c>
      <c r="AT3887" s="3"/>
      <c r="AU3887" s="13" cm="1">
        <f t="array" ref="AU3887">$C3887*EXP(poly_from_str(100000000/$E3887,AU$4343))</f>
        <v>11.445079304123823</v>
      </c>
      <c r="AV3887" s="13"/>
      <c r="AW3887" s="13"/>
      <c r="AX3887" s="13"/>
      <c r="AY3887" s="13"/>
    </row>
    <row r="3888" spans="1:51" x14ac:dyDescent="0.25">
      <c r="A3888" t="s">
        <v>4333</v>
      </c>
      <c r="B3888" s="2" t="str">
        <f t="shared" si="3494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3551"/>
        <v>o</v>
      </c>
      <c r="N3888" t="str">
        <f t="shared" si="3552"/>
        <v>11/2</v>
      </c>
      <c r="O3888">
        <v>103805.38</v>
      </c>
      <c r="P3888" t="str">
        <f t="shared" si="3553"/>
        <v>e</v>
      </c>
      <c r="Q3888" t="str">
        <f t="shared" si="3554"/>
        <v>13/2</v>
      </c>
      <c r="R3888">
        <v>36</v>
      </c>
      <c r="AA3888" s="10">
        <f t="shared" si="3495"/>
        <v>2304.201</v>
      </c>
      <c r="AB3888" s="3">
        <f t="shared" si="3496"/>
        <v>43385.64</v>
      </c>
      <c r="AC3888" s="3" cm="1">
        <f t="array" ref="AC3888">100000000/LvacE(AA3888)</f>
        <v>43385.6374034529</v>
      </c>
      <c r="AD3888" s="10">
        <f t="shared" si="3497"/>
        <v>1.4414464580879208E-2</v>
      </c>
      <c r="AE3888" s="10" t="b">
        <f t="shared" si="3498"/>
        <v>1</v>
      </c>
      <c r="AJ3888" t="s">
        <v>4849</v>
      </c>
      <c r="AK3888" t="s">
        <v>4910</v>
      </c>
      <c r="AL3888">
        <v>60419.73</v>
      </c>
      <c r="AM3888">
        <v>103805.38</v>
      </c>
      <c r="AN3888" s="10" cm="1">
        <f t="array" ref="AN3888">Lair(100000000/($AM3888-$AL3888))</f>
        <v>2304.2003362526034</v>
      </c>
      <c r="AO3888" s="10">
        <f t="shared" si="3555"/>
        <v>2304.9095726351916</v>
      </c>
      <c r="AP3888" s="12">
        <v>2130000000</v>
      </c>
      <c r="AQ3888" s="3">
        <v>0.314</v>
      </c>
      <c r="AR3888" s="3">
        <f t="shared" ref="AR3888:AR3890" si="3560">LN(AU3888*100000000/($AM3888-$AL3888)/AP3888)</f>
        <v>-10.199270914300234</v>
      </c>
      <c r="AS3888" s="13">
        <f t="shared" si="3557"/>
        <v>33.80298586066526</v>
      </c>
      <c r="AT3888" s="3">
        <f t="shared" si="3558"/>
        <v>1.7287896684321886</v>
      </c>
      <c r="AU3888" s="13" cm="1">
        <f t="array" ref="AU3888">$C3888*EXP(poly_from_str(100000000/$E3888,AU$4343))</f>
        <v>34.37467765615191</v>
      </c>
      <c r="AV3888" s="13">
        <f t="shared" ref="AV3888:AV3890" si="3561">LN(AS3888/AU3888)</f>
        <v>-1.6771041006943956E-2</v>
      </c>
      <c r="AW3888" s="13"/>
      <c r="AX3888" s="13"/>
      <c r="AY3888" s="13"/>
    </row>
    <row r="3889" spans="1:51" x14ac:dyDescent="0.25">
      <c r="A3889" t="s">
        <v>4334</v>
      </c>
      <c r="B3889" s="2" t="str">
        <f t="shared" si="3494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3551"/>
        <v>e</v>
      </c>
      <c r="N3889" t="str">
        <f t="shared" si="3552"/>
        <v>7/2</v>
      </c>
      <c r="O3889">
        <v>68801.67</v>
      </c>
      <c r="P3889" t="str">
        <f t="shared" si="3553"/>
        <v>o</v>
      </c>
      <c r="Q3889" t="str">
        <f t="shared" si="3554"/>
        <v>7/2</v>
      </c>
      <c r="R3889">
        <v>36</v>
      </c>
      <c r="AA3889" s="10">
        <f t="shared" si="3495"/>
        <v>2303.8690000000001</v>
      </c>
      <c r="AB3889" s="3">
        <f t="shared" si="3496"/>
        <v>43391.89</v>
      </c>
      <c r="AC3889" s="3" cm="1">
        <f t="array" ref="AC3889">100000000/LvacE(AA3889)</f>
        <v>43391.88895724481</v>
      </c>
      <c r="AD3889" s="10">
        <f t="shared" si="3497"/>
        <v>1.4417178007353024E-2</v>
      </c>
      <c r="AE3889" s="10" t="b">
        <f t="shared" si="3498"/>
        <v>1</v>
      </c>
      <c r="AJ3889" t="s">
        <v>4720</v>
      </c>
      <c r="AK3889" t="s">
        <v>4857</v>
      </c>
      <c r="AL3889">
        <v>25409.74</v>
      </c>
      <c r="AM3889">
        <v>68801.67</v>
      </c>
      <c r="AN3889" s="10" cm="1">
        <f t="array" ref="AN3889">Lair(100000000/($AM3889-$AL3889))</f>
        <v>2303.8668259868386</v>
      </c>
      <c r="AO3889" s="10">
        <f t="shared" si="3555"/>
        <v>2304.5759891297762</v>
      </c>
      <c r="AP3889" s="12">
        <v>335000000</v>
      </c>
      <c r="AQ3889" s="3">
        <v>0.29299999999999998</v>
      </c>
      <c r="AR3889" s="3">
        <f t="shared" si="3560"/>
        <v>-8.1936742698201606</v>
      </c>
      <c r="AS3889" s="13">
        <f t="shared" si="3557"/>
        <v>73.542404221229233</v>
      </c>
      <c r="AT3889" s="3">
        <f t="shared" si="3558"/>
        <v>2.3519520189843868</v>
      </c>
      <c r="AU3889" s="13" cm="1">
        <f t="array" ref="AU3889">$C3889*EXP(poly_from_str(100000000/$E3889,AU$4343))</f>
        <v>40.177809234305784</v>
      </c>
      <c r="AV3889" s="13">
        <f t="shared" si="3561"/>
        <v>0.60454733392470861</v>
      </c>
      <c r="AW3889" s="13"/>
      <c r="AX3889" s="13"/>
      <c r="AY3889" s="13"/>
    </row>
    <row r="3890" spans="1:51" x14ac:dyDescent="0.25">
      <c r="A3890" t="s">
        <v>4335</v>
      </c>
      <c r="B3890" s="2" t="str">
        <f t="shared" si="3494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3551"/>
        <v>e</v>
      </c>
      <c r="N3890" t="str">
        <f t="shared" si="3552"/>
        <v>5/2</v>
      </c>
      <c r="O3890">
        <v>61605.66</v>
      </c>
      <c r="P3890" t="str">
        <f t="shared" si="3553"/>
        <v>o</v>
      </c>
      <c r="Q3890" t="str">
        <f t="shared" si="3554"/>
        <v>7/2</v>
      </c>
      <c r="R3890">
        <v>36</v>
      </c>
      <c r="S3890" t="s">
        <v>159</v>
      </c>
      <c r="AA3890" s="10">
        <f t="shared" si="3495"/>
        <v>2303.7629999999999</v>
      </c>
      <c r="AB3890" s="3">
        <f t="shared" si="3496"/>
        <v>43393.88</v>
      </c>
      <c r="AC3890" s="3" cm="1">
        <f t="array" ref="AC3890">100000000/LvacE(AA3890)</f>
        <v>43393.885314675223</v>
      </c>
      <c r="AD3890" s="10">
        <f t="shared" si="3497"/>
        <v>1.4418044589368618E-2</v>
      </c>
      <c r="AE3890" s="10" t="b">
        <f t="shared" si="3498"/>
        <v>1</v>
      </c>
      <c r="AJ3890" t="s">
        <v>4970</v>
      </c>
      <c r="AK3890" t="s">
        <v>4822</v>
      </c>
      <c r="AL3890">
        <v>18211.759999999998</v>
      </c>
      <c r="AM3890">
        <v>61605.66</v>
      </c>
      <c r="AN3890" s="10" cm="1">
        <f t="array" ref="AN3890">Lair(100000000/($AM3890-$AL3890))</f>
        <v>2303.7622256166705</v>
      </c>
      <c r="AO3890" s="10">
        <f t="shared" si="3555"/>
        <v>2304.4713657910438</v>
      </c>
      <c r="AP3890" s="12">
        <v>509000000</v>
      </c>
      <c r="AQ3890" s="3">
        <v>0.55100000000000005</v>
      </c>
      <c r="AR3890" s="3">
        <f t="shared" si="3560"/>
        <v>-8.3601345117580088</v>
      </c>
      <c r="AS3890" s="13">
        <f t="shared" si="3557"/>
        <v>191.7633934814865</v>
      </c>
      <c r="AT3890" s="3">
        <f t="shared" si="3558"/>
        <v>3.0590377091366996</v>
      </c>
      <c r="AU3890" s="13" cm="1">
        <f t="array" ref="AU3890">$C3890*EXP(poly_from_str(100000000/$E3890,AU$4343))</f>
        <v>51.687577698523626</v>
      </c>
      <c r="AV3890" s="13">
        <f t="shared" si="3561"/>
        <v>1.3110448104538897</v>
      </c>
      <c r="AW3890" s="13"/>
      <c r="AX3890" s="13"/>
      <c r="AY3890" s="13"/>
    </row>
    <row r="3891" spans="1:51" x14ac:dyDescent="0.25">
      <c r="A3891" t="s">
        <v>4336</v>
      </c>
      <c r="B3891" s="2" t="str">
        <f t="shared" si="3494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3551"/>
        <v>e</v>
      </c>
      <c r="N3891" t="str">
        <f t="shared" si="3552"/>
        <v>9/2</v>
      </c>
      <c r="O3891">
        <v>67240.350000000006</v>
      </c>
      <c r="P3891" t="str">
        <f t="shared" si="3553"/>
        <v>o</v>
      </c>
      <c r="Q3891" t="str">
        <f t="shared" si="3554"/>
        <v>7/2</v>
      </c>
      <c r="R3891">
        <v>36</v>
      </c>
      <c r="S3891" t="s">
        <v>2205</v>
      </c>
      <c r="AA3891" s="10">
        <f t="shared" si="3495"/>
        <v>2303.6680000000001</v>
      </c>
      <c r="AB3891" s="3">
        <f t="shared" si="3496"/>
        <v>43395.67</v>
      </c>
      <c r="AC3891" s="3" cm="1">
        <f t="array" ref="AC3891">100000000/LvacE(AA3891)</f>
        <v>43395.674659019933</v>
      </c>
      <c r="AD3891" s="10">
        <f t="shared" si="3497"/>
        <v>1.4418821344703302E-2</v>
      </c>
      <c r="AE3891" s="10" t="b">
        <f t="shared" si="3498"/>
        <v>1</v>
      </c>
      <c r="AJ3891" t="s">
        <v>4763</v>
      </c>
      <c r="AK3891" t="s">
        <v>4852</v>
      </c>
      <c r="AL3891">
        <v>23844.58</v>
      </c>
      <c r="AM3891">
        <v>67240.350000000006</v>
      </c>
      <c r="AN3891" s="10" cm="1">
        <f t="array" ref="AN3891">Lair(100000000/($AM3891-$AL3891))</f>
        <v>2303.6629436951366</v>
      </c>
      <c r="AO3891" s="10">
        <f t="shared" si="3555"/>
        <v>2304.372062069644</v>
      </c>
      <c r="AP3891" s="12">
        <v>44100000</v>
      </c>
      <c r="AQ3891" s="3">
        <v>4.8000000000000001E-2</v>
      </c>
      <c r="AR3891" s="3"/>
      <c r="AS3891" s="13">
        <f t="shared" si="3557"/>
        <v>10.885720860408679</v>
      </c>
      <c r="AT3891" s="3"/>
      <c r="AU3891" s="13" cm="1">
        <f t="array" ref="AU3891">$C3891*EXP(poly_from_str(100000000/$E3891,AU$4343))</f>
        <v>34.476637316743279</v>
      </c>
      <c r="AV3891" s="13"/>
      <c r="AW3891" s="13"/>
      <c r="AX3891" s="13"/>
      <c r="AY3891" s="13"/>
    </row>
    <row r="3892" spans="1:51" x14ac:dyDescent="0.25">
      <c r="A3892" t="s">
        <v>4337</v>
      </c>
      <c r="B3892" s="2" t="str">
        <f t="shared" si="3494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3551"/>
        <v>e</v>
      </c>
      <c r="N3892" t="str">
        <f t="shared" si="3552"/>
        <v>7/2</v>
      </c>
      <c r="O3892">
        <v>67049.179999999993</v>
      </c>
      <c r="P3892" t="str">
        <f t="shared" si="3553"/>
        <v>o</v>
      </c>
      <c r="Q3892" t="str">
        <f t="shared" si="3554"/>
        <v>9/2</v>
      </c>
      <c r="R3892">
        <v>36</v>
      </c>
      <c r="S3892" t="s">
        <v>159</v>
      </c>
      <c r="AA3892" s="10">
        <f t="shared" si="3495"/>
        <v>2303.5859999999998</v>
      </c>
      <c r="AB3892" s="3">
        <f t="shared" si="3496"/>
        <v>43397.22</v>
      </c>
      <c r="AC3892" s="3" cm="1">
        <f t="array" ref="AC3892">100000000/LvacE(AA3892)</f>
        <v>43397.219264368789</v>
      </c>
      <c r="AD3892" s="10">
        <f t="shared" si="3497"/>
        <v>1.4419491884472467E-2</v>
      </c>
      <c r="AE3892" s="10" t="b">
        <f t="shared" si="3498"/>
        <v>1</v>
      </c>
      <c r="AJ3892" t="s">
        <v>4759</v>
      </c>
      <c r="AK3892" t="s">
        <v>4862</v>
      </c>
      <c r="AL3892">
        <v>23651.88</v>
      </c>
      <c r="AM3892">
        <v>67049.179999999993</v>
      </c>
      <c r="AN3892" s="10" cm="1">
        <f t="array" ref="AN3892">Lair(100000000/($AM3892-$AL3892))</f>
        <v>2303.5817193955354</v>
      </c>
      <c r="AO3892" s="10">
        <f t="shared" si="3555"/>
        <v>2304.290819935803</v>
      </c>
      <c r="AP3892" s="12">
        <v>19400000</v>
      </c>
      <c r="AQ3892" s="3">
        <v>2.9000000000000001E-2</v>
      </c>
      <c r="AR3892" s="3"/>
      <c r="AS3892" s="13">
        <f t="shared" si="3557"/>
        <v>4.8580986961605817</v>
      </c>
      <c r="AT3892" s="3"/>
      <c r="AU3892" s="13" cm="1">
        <f t="array" ref="AU3892">$C3892*EXP(poly_from_str(100000000/$E3892,AU$4343))</f>
        <v>28.743718328212307</v>
      </c>
      <c r="AV3892" s="13"/>
      <c r="AW3892" s="13"/>
      <c r="AX3892" s="13"/>
      <c r="AY3892" s="13"/>
    </row>
    <row r="3893" spans="1:51" x14ac:dyDescent="0.25">
      <c r="A3893" t="s">
        <v>4338</v>
      </c>
      <c r="B3893" s="2" t="str">
        <f t="shared" si="3494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3551"/>
        <v>e</v>
      </c>
      <c r="N3893" t="str">
        <f t="shared" si="3552"/>
        <v>5/2</v>
      </c>
      <c r="O3893">
        <v>64817.53</v>
      </c>
      <c r="P3893" t="str">
        <f t="shared" si="3553"/>
        <v>o</v>
      </c>
      <c r="Q3893" t="str">
        <f t="shared" si="3554"/>
        <v>5/2</v>
      </c>
      <c r="R3893">
        <v>36</v>
      </c>
      <c r="AA3893" s="10">
        <f t="shared" si="3495"/>
        <v>2303.5100000000002</v>
      </c>
      <c r="AB3893" s="3">
        <f t="shared" si="3496"/>
        <v>43398.65</v>
      </c>
      <c r="AC3893" s="3" cm="1">
        <f t="array" ref="AC3893">100000000/LvacE(AA3893)</f>
        <v>43398.650947989707</v>
      </c>
      <c r="AD3893" s="10">
        <f t="shared" si="3497"/>
        <v>1.442011342429373E-2</v>
      </c>
      <c r="AE3893" s="10" t="b">
        <f t="shared" si="3498"/>
        <v>1</v>
      </c>
      <c r="AJ3893" t="s">
        <v>4792</v>
      </c>
      <c r="AK3893" t="s">
        <v>4882</v>
      </c>
      <c r="AL3893">
        <v>21418.84</v>
      </c>
      <c r="AM3893">
        <v>64817.53</v>
      </c>
      <c r="AN3893" s="10" cm="1">
        <f t="array" ref="AN3893">Lair(100000000/($AM3893-$AL3893))</f>
        <v>2303.5079323492623</v>
      </c>
      <c r="AO3893" s="10">
        <f t="shared" si="3555"/>
        <v>2304.2170166887527</v>
      </c>
      <c r="AP3893" s="12">
        <v>44800000</v>
      </c>
      <c r="AQ3893" s="3">
        <v>8.5999999999999993E-2</v>
      </c>
      <c r="AR3893" s="3">
        <f t="shared" ref="AR3893:AR3895" si="3562">LN(AU3893*100000000/($AM3893-$AL3893)/AP3893)</f>
        <v>-6.3340580326526581</v>
      </c>
      <c r="AS3893" s="13">
        <f t="shared" si="3557"/>
        <v>13.264514021382029</v>
      </c>
      <c r="AT3893" s="3">
        <f t="shared" si="3558"/>
        <v>0.79333288153387693</v>
      </c>
      <c r="AU3893" s="13" cm="1">
        <f t="array" ref="AU3893">$C3893*EXP(poly_from_str(100000000/$E3893,AU$4343))</f>
        <v>34.507077781433736</v>
      </c>
      <c r="AV3893" s="13">
        <f t="shared" ref="AV3893:AV3895" si="3563">LN(AS3893/AU3893)</f>
        <v>-0.95607210531940157</v>
      </c>
      <c r="AW3893" s="13"/>
      <c r="AX3893" s="13"/>
      <c r="AY3893" s="13"/>
    </row>
    <row r="3894" spans="1:51" x14ac:dyDescent="0.25">
      <c r="A3894" t="s">
        <v>4339</v>
      </c>
      <c r="B3894" s="2" t="str">
        <f t="shared" si="3494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3551"/>
        <v>e</v>
      </c>
      <c r="N3894" t="str">
        <f t="shared" si="3552"/>
        <v>7/2</v>
      </c>
      <c r="O3894">
        <v>67870.759999999995</v>
      </c>
      <c r="P3894" t="str">
        <f t="shared" si="3553"/>
        <v>o</v>
      </c>
      <c r="Q3894" t="str">
        <f t="shared" si="3554"/>
        <v>9/2</v>
      </c>
      <c r="R3894">
        <v>36</v>
      </c>
      <c r="S3894" t="s">
        <v>159</v>
      </c>
      <c r="AA3894" s="10">
        <f t="shared" si="3495"/>
        <v>2303.4499999999998</v>
      </c>
      <c r="AB3894" s="3">
        <f t="shared" si="3496"/>
        <v>43399.78</v>
      </c>
      <c r="AC3894" s="3" cm="1">
        <f t="array" ref="AC3894">100000000/LvacE(AA3894)</f>
        <v>43399.781291253828</v>
      </c>
      <c r="AD3894" s="10">
        <f t="shared" si="3497"/>
        <v>1.4420604157080429E-2</v>
      </c>
      <c r="AE3894" s="10" t="b">
        <f t="shared" si="3498"/>
        <v>1</v>
      </c>
      <c r="AJ3894" t="s">
        <v>4747</v>
      </c>
      <c r="AK3894" t="s">
        <v>4755</v>
      </c>
      <c r="AL3894">
        <v>24470.9</v>
      </c>
      <c r="AM3894">
        <v>67870.759999999995</v>
      </c>
      <c r="AN3894" s="10" cm="1">
        <f t="array" ref="AN3894">Lair(100000000/($AM3894-$AL3894))</f>
        <v>2303.4458274914996</v>
      </c>
      <c r="AO3894" s="10">
        <f t="shared" si="3555"/>
        <v>2304.1548981955243</v>
      </c>
      <c r="AP3894" s="12">
        <v>46800000</v>
      </c>
      <c r="AQ3894" s="3">
        <v>0.21199999999999999</v>
      </c>
      <c r="AR3894" s="3">
        <f t="shared" si="3562"/>
        <v>-7.4760373793828165</v>
      </c>
      <c r="AS3894" s="13">
        <f t="shared" si="3557"/>
        <v>11.01942202536501</v>
      </c>
      <c r="AT3894" s="3">
        <f t="shared" si="3558"/>
        <v>1.7065121740003708</v>
      </c>
      <c r="AU3894" s="13" cm="1">
        <f t="array" ref="AU3894">$C3894*EXP(poly_from_str(100000000/$E3894,AU$4343))</f>
        <v>11.506212786894878</v>
      </c>
      <c r="AV3894" s="13">
        <f t="shared" si="3563"/>
        <v>-4.3227777269218517E-2</v>
      </c>
      <c r="AW3894" s="13"/>
      <c r="AX3894" s="13"/>
      <c r="AY3894" s="13"/>
    </row>
    <row r="3895" spans="1:51" x14ac:dyDescent="0.25">
      <c r="A3895" t="s">
        <v>4340</v>
      </c>
      <c r="B3895" s="2" t="str">
        <f t="shared" si="3494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3551"/>
        <v>e</v>
      </c>
      <c r="N3895" t="str">
        <f t="shared" si="3552"/>
        <v>7/2</v>
      </c>
      <c r="O3895">
        <v>84430.98</v>
      </c>
      <c r="P3895" t="str">
        <f t="shared" si="3553"/>
        <v>o</v>
      </c>
      <c r="Q3895" t="str">
        <f t="shared" si="3554"/>
        <v>7/2</v>
      </c>
      <c r="R3895">
        <v>36</v>
      </c>
      <c r="S3895" t="s">
        <v>4341</v>
      </c>
      <c r="AA3895" s="10">
        <f t="shared" si="3495"/>
        <v>2303.1210000000001</v>
      </c>
      <c r="AB3895" s="3">
        <f t="shared" si="3496"/>
        <v>43405.98</v>
      </c>
      <c r="AC3895" s="3" cm="1">
        <f t="array" ref="AC3895">100000000/LvacE(AA3895)</f>
        <v>43405.980386816125</v>
      </c>
      <c r="AD3895" s="10">
        <f t="shared" si="3497"/>
        <v>1.4423295690242963E-2</v>
      </c>
      <c r="AE3895" s="10" t="b">
        <f t="shared" si="3498"/>
        <v>1</v>
      </c>
      <c r="AJ3895" t="s">
        <v>4711</v>
      </c>
      <c r="AK3895" t="s">
        <v>4915</v>
      </c>
      <c r="AL3895">
        <v>41023.980000000003</v>
      </c>
      <c r="AM3895">
        <v>84430.98</v>
      </c>
      <c r="AN3895" s="10" cm="1">
        <f t="array" ref="AN3895">Lair(100000000/($AM3895-$AL3895))</f>
        <v>2303.0669011658588</v>
      </c>
      <c r="AO3895" s="10">
        <f t="shared" si="3555"/>
        <v>2303.7758886815495</v>
      </c>
      <c r="AP3895" s="12">
        <v>465000000</v>
      </c>
      <c r="AQ3895" s="3">
        <v>0.82199999999999995</v>
      </c>
      <c r="AR3895" s="3">
        <f t="shared" si="3562"/>
        <v>-8.5177522256763414</v>
      </c>
      <c r="AS3895" s="13">
        <f t="shared" si="3557"/>
        <v>31.600950725482416</v>
      </c>
      <c r="AT3895" s="3">
        <f t="shared" si="3558"/>
        <v>1.5072770573344145</v>
      </c>
      <c r="AU3895" s="13" cm="1">
        <f t="array" ref="AU3895">$C3895*EXP(poly_from_str(100000000/$E3895,AU$4343))</f>
        <v>40.34594892667468</v>
      </c>
      <c r="AV3895" s="13">
        <f t="shared" si="3563"/>
        <v>-0.24430378493838698</v>
      </c>
      <c r="AW3895" s="13"/>
      <c r="AX3895" s="13"/>
      <c r="AY3895" s="13"/>
    </row>
    <row r="3896" spans="1:51" x14ac:dyDescent="0.25">
      <c r="A3896" t="s">
        <v>4342</v>
      </c>
      <c r="B3896" s="2" t="str">
        <f t="shared" si="3494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3551"/>
        <v>e</v>
      </c>
      <c r="N3896" t="str">
        <f t="shared" si="3552"/>
        <v>7/2</v>
      </c>
      <c r="O3896">
        <v>65935.25</v>
      </c>
      <c r="P3896" t="str">
        <f t="shared" si="3553"/>
        <v>o</v>
      </c>
      <c r="Q3896" t="str">
        <f t="shared" si="3554"/>
        <v>7/2</v>
      </c>
      <c r="R3896">
        <v>36</v>
      </c>
      <c r="AA3896" s="10">
        <f t="shared" si="3495"/>
        <v>2303.0419999999999</v>
      </c>
      <c r="AB3896" s="3">
        <f t="shared" si="3496"/>
        <v>43407.47</v>
      </c>
      <c r="AC3896" s="3" cm="1">
        <f t="array" ref="AC3896">100000000/LvacE(AA3896)</f>
        <v>43407.469187096285</v>
      </c>
      <c r="AD3896" s="10">
        <f t="shared" si="3497"/>
        <v>1.4423942157176527E-2</v>
      </c>
      <c r="AE3896" s="10" t="b">
        <f t="shared" si="3498"/>
        <v>1</v>
      </c>
      <c r="AJ3896" t="s">
        <v>4799</v>
      </c>
      <c r="AK3896" t="s">
        <v>4858</v>
      </c>
      <c r="AL3896">
        <v>22527.7</v>
      </c>
      <c r="AM3896">
        <v>65935.25</v>
      </c>
      <c r="AN3896" s="10" cm="1">
        <f t="array" ref="AN3896">Lair(100000000/($AM3896-$AL3896))</f>
        <v>2303.0377173337497</v>
      </c>
      <c r="AO3896" s="10">
        <f t="shared" si="3555"/>
        <v>2303.7466984430125</v>
      </c>
      <c r="AP3896" s="12">
        <v>7920000</v>
      </c>
      <c r="AQ3896" s="3">
        <v>6.0000000000000001E-3</v>
      </c>
      <c r="AR3896" s="3"/>
      <c r="AS3896" s="13">
        <f t="shared" si="3557"/>
        <v>2.1567409988800965</v>
      </c>
      <c r="AT3896" s="3"/>
      <c r="AU3896" s="13" cm="1">
        <f t="array" ref="AU3896">$C3896*EXP(poly_from_str(100000000/$E3896,AU$4343))</f>
        <v>5.7662618743370073</v>
      </c>
      <c r="AV3896" s="13"/>
      <c r="AW3896" s="13"/>
      <c r="AX3896" s="13"/>
      <c r="AY3896" s="13"/>
    </row>
    <row r="3897" spans="1:51" x14ac:dyDescent="0.25">
      <c r="A3897" t="s">
        <v>4343</v>
      </c>
      <c r="B3897" s="2" t="str">
        <f t="shared" si="3494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3495"/>
        <v>2302.9540000000002</v>
      </c>
      <c r="AB3897" s="3">
        <f t="shared" si="3496"/>
        <v>43409.13</v>
      </c>
      <c r="AC3897" s="3" cm="1">
        <f t="array" ref="AC3897">100000000/LvacE(AA3897)</f>
        <v>43409.12771777319</v>
      </c>
      <c r="AD3897" s="10">
        <f t="shared" si="3497"/>
        <v>1.4424662350566532E-2</v>
      </c>
      <c r="AE3897" s="10" t="b">
        <f t="shared" si="3498"/>
        <v>1</v>
      </c>
      <c r="AP3897"/>
      <c r="AQ3897"/>
      <c r="AU3897" s="13" cm="1">
        <f t="array" ref="AU3897">$C3897*EXP(poly_from_str(100000000/$E3897,AU$4343))</f>
        <v>28.845558029073505</v>
      </c>
    </row>
    <row r="3898" spans="1:51" x14ac:dyDescent="0.25">
      <c r="A3898" t="s">
        <v>4344</v>
      </c>
      <c r="B3898" s="2" t="str">
        <f t="shared" si="3494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3564">$G3898&amp;""</f>
        <v>e</v>
      </c>
      <c r="N3898" t="str">
        <f t="shared" ref="N3898:N3899" si="3565">$H3898&amp;""</f>
        <v>5/2</v>
      </c>
      <c r="O3898">
        <v>66943.039999999994</v>
      </c>
      <c r="P3898" t="str">
        <f t="shared" ref="P3898:P3899" si="3566">$J3898&amp;""</f>
        <v>o</v>
      </c>
      <c r="Q3898" t="str">
        <f t="shared" ref="Q3898:Q3899" si="3567">$K3898&amp;""</f>
        <v>5/2</v>
      </c>
      <c r="R3898">
        <v>36</v>
      </c>
      <c r="S3898" t="s">
        <v>3698</v>
      </c>
      <c r="AA3898" s="10">
        <f t="shared" si="3495"/>
        <v>2302.8989999999999</v>
      </c>
      <c r="AB3898" s="3">
        <f t="shared" si="3496"/>
        <v>43410.16</v>
      </c>
      <c r="AC3898" s="3" cm="1">
        <f t="array" ref="AC3898">100000000/LvacE(AA3898)</f>
        <v>43410.164363801538</v>
      </c>
      <c r="AD3898" s="10">
        <f t="shared" si="3497"/>
        <v>1.4425112513358498E-2</v>
      </c>
      <c r="AE3898" s="10" t="b">
        <f t="shared" si="3498"/>
        <v>1</v>
      </c>
      <c r="AJ3898" t="s">
        <v>4756</v>
      </c>
      <c r="AK3898" t="s">
        <v>4847</v>
      </c>
      <c r="AL3898">
        <v>23532.86</v>
      </c>
      <c r="AM3898">
        <v>66943.039999999994</v>
      </c>
      <c r="AN3898" s="10" cm="1">
        <f t="array" ref="AN3898">Lair(100000000/($AM3898-$AL3898))</f>
        <v>2302.8981757765914</v>
      </c>
      <c r="AO3898" s="10">
        <f t="shared" ref="AO3898:AO3899" si="3568">100000000/($AM3898-$AL3898)</f>
        <v>2303.6071262547175</v>
      </c>
      <c r="AP3898" s="12">
        <v>12800000</v>
      </c>
      <c r="AQ3898" s="3">
        <v>1.7000000000000001E-2</v>
      </c>
      <c r="AR3898" s="3"/>
      <c r="AS3898" s="13">
        <f t="shared" ref="AS3898:AS3899" si="3569">EXP(AR$4341*$AM3898+AR$4342)*$AP3898/(100000000/($AM3898-$AL3898))</f>
        <v>3.2319364029491</v>
      </c>
      <c r="AT3898" s="3"/>
      <c r="AU3898" s="13" cm="1">
        <f t="array" ref="AU3898">$C3898*EXP(poly_from_str(100000000/$E3898,AU$4343))</f>
        <v>28.85440794783932</v>
      </c>
      <c r="AV3898" s="13"/>
      <c r="AW3898" s="13"/>
      <c r="AX3898" s="13"/>
      <c r="AY3898" s="13"/>
    </row>
    <row r="3899" spans="1:51" x14ac:dyDescent="0.25">
      <c r="A3899" t="s">
        <v>4345</v>
      </c>
      <c r="B3899" s="2" t="str">
        <f t="shared" si="3494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3564"/>
        <v>e</v>
      </c>
      <c r="N3899" t="str">
        <f t="shared" si="3565"/>
        <v>3/2</v>
      </c>
      <c r="O3899">
        <v>63576.27</v>
      </c>
      <c r="P3899" t="str">
        <f t="shared" si="3566"/>
        <v>o</v>
      </c>
      <c r="Q3899" t="str">
        <f t="shared" si="3567"/>
        <v>5/2</v>
      </c>
      <c r="R3899">
        <v>36</v>
      </c>
      <c r="AA3899" s="10">
        <f t="shared" si="3495"/>
        <v>2302.596</v>
      </c>
      <c r="AB3899" s="3">
        <f t="shared" si="3496"/>
        <v>43415.88</v>
      </c>
      <c r="AC3899" s="3" cm="1">
        <f t="array" ref="AC3899">100000000/LvacE(AA3899)</f>
        <v>43415.876228771223</v>
      </c>
      <c r="AD3899" s="10">
        <f t="shared" si="3497"/>
        <v>1.4427593079457103E-2</v>
      </c>
      <c r="AE3899" s="10" t="b">
        <f t="shared" si="3498"/>
        <v>1</v>
      </c>
      <c r="AJ3899" t="s">
        <v>4786</v>
      </c>
      <c r="AK3899" t="s">
        <v>4843</v>
      </c>
      <c r="AL3899">
        <v>20160.36</v>
      </c>
      <c r="AM3899">
        <v>63576.27</v>
      </c>
      <c r="AN3899" s="10" cm="1">
        <f t="array" ref="AN3899">Lair(100000000/($AM3899-$AL3899))</f>
        <v>2302.5942141131841</v>
      </c>
      <c r="AO3899" s="10">
        <f t="shared" si="3568"/>
        <v>2303.3030978735678</v>
      </c>
      <c r="AP3899" s="12">
        <v>64900000</v>
      </c>
      <c r="AQ3899" s="3">
        <v>0.16300000000000001</v>
      </c>
      <c r="AR3899" s="3">
        <f>LN(AU3899*100000000/($AM3899-$AL3899)/AP3899)</f>
        <v>-6.5458175507153697</v>
      </c>
      <c r="AS3899" s="13">
        <f t="shared" si="3569"/>
        <v>21.100169712494214</v>
      </c>
      <c r="AT3899" s="3">
        <f t="shared" ref="AT3899" si="3570">LN(AS3899/$C3899)</f>
        <v>1.103370934640532</v>
      </c>
      <c r="AU3899" s="13" cm="1">
        <f t="array" ref="AU3899">$C3899*EXP(poly_from_str(100000000/$E3899,AU$4343))</f>
        <v>40.46515080651843</v>
      </c>
      <c r="AV3899" s="13">
        <f>LN(AS3899/AU3899)</f>
        <v>-0.65116004608333877</v>
      </c>
      <c r="AW3899" s="13"/>
      <c r="AX3899" s="13"/>
      <c r="AY3899" s="13"/>
    </row>
    <row r="3900" spans="1:51" x14ac:dyDescent="0.25">
      <c r="A3900" t="s">
        <v>4346</v>
      </c>
      <c r="B3900" s="2" t="str">
        <f t="shared" si="3494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3495"/>
        <v>2302.5369999999998</v>
      </c>
      <c r="AB3900" s="3">
        <f t="shared" si="3496"/>
        <v>43416.99</v>
      </c>
      <c r="AC3900" s="3" cm="1">
        <f t="array" ref="AC3900">100000000/LvacE(AA3900)</f>
        <v>43416.988614929011</v>
      </c>
      <c r="AD3900" s="10">
        <f t="shared" si="3497"/>
        <v>1.4428076207880485E-2</v>
      </c>
      <c r="AE3900" s="10" t="b">
        <f t="shared" si="3498"/>
        <v>1</v>
      </c>
      <c r="AP3900"/>
      <c r="AQ3900"/>
      <c r="AU3900" s="13" cm="1">
        <f t="array" ref="AU3900">$C3900*EXP(poly_from_str(100000000/$E3900,AU$4343))</f>
        <v>5.7826529860643765</v>
      </c>
    </row>
    <row r="3901" spans="1:51" x14ac:dyDescent="0.25">
      <c r="A3901" t="s">
        <v>4347</v>
      </c>
      <c r="B3901" s="2" t="str">
        <f t="shared" si="3494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3495"/>
        <v>2302.36</v>
      </c>
      <c r="AB3901" s="3">
        <f t="shared" si="3496"/>
        <v>43420.33</v>
      </c>
      <c r="AC3901" s="3" cm="1">
        <f t="array" ref="AC3901">100000000/LvacE(AA3901)</f>
        <v>43420.326115409334</v>
      </c>
      <c r="AD3901" s="10">
        <f t="shared" si="3497"/>
        <v>1.4429525815990839E-2</v>
      </c>
      <c r="AE3901" s="10" t="b">
        <f t="shared" si="3498"/>
        <v>1</v>
      </c>
      <c r="AP3901"/>
      <c r="AQ3901"/>
      <c r="AU3901" s="13" cm="1">
        <f t="array" ref="AU3901">$C3901*EXP(poly_from_str(100000000/$E3901,AU$4343))</f>
        <v>5.7884313254933515</v>
      </c>
    </row>
    <row r="3902" spans="1:51" x14ac:dyDescent="0.25">
      <c r="A3902" t="s">
        <v>4348</v>
      </c>
      <c r="B3902" s="2" t="str">
        <f t="shared" si="3494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3495"/>
        <v>2302.23</v>
      </c>
      <c r="AB3902" s="3">
        <f t="shared" si="3496"/>
        <v>43422.78</v>
      </c>
      <c r="AC3902" s="3" cm="1">
        <f t="array" ref="AC3902">100000000/LvacE(AA3902)</f>
        <v>43422.777713762385</v>
      </c>
      <c r="AD3902" s="10">
        <f t="shared" si="3497"/>
        <v>1.4430590712865871E-2</v>
      </c>
      <c r="AE3902" s="10" t="b">
        <f t="shared" si="3498"/>
        <v>1</v>
      </c>
      <c r="AP3902"/>
      <c r="AQ3902"/>
      <c r="AU3902" s="13" cm="1">
        <f t="array" ref="AU3902">$C3902*EXP(poly_from_str(100000000/$E3902,AU$4343))</f>
        <v>5.7926791049010404</v>
      </c>
    </row>
    <row r="3903" spans="1:51" x14ac:dyDescent="0.25">
      <c r="A3903" t="s">
        <v>4349</v>
      </c>
      <c r="B3903" s="2" t="str">
        <f t="shared" si="3494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3571">$G3903&amp;""</f>
        <v>e</v>
      </c>
      <c r="N3903" t="str">
        <f t="shared" ref="N3903:N3905" si="3572">$H3903&amp;""</f>
        <v>9/2</v>
      </c>
      <c r="O3903">
        <v>64979.55</v>
      </c>
      <c r="P3903" t="str">
        <f t="shared" ref="P3903:P3905" si="3573">$J3903&amp;""</f>
        <v>o</v>
      </c>
      <c r="Q3903" t="str">
        <f t="shared" ref="Q3903:Q3905" si="3574">$K3903&amp;""</f>
        <v>7/2</v>
      </c>
      <c r="R3903">
        <v>36</v>
      </c>
      <c r="S3903" t="s">
        <v>159</v>
      </c>
      <c r="AA3903" s="10">
        <f t="shared" si="3495"/>
        <v>2301.0839999999998</v>
      </c>
      <c r="AB3903" s="3">
        <f t="shared" si="3496"/>
        <v>43444.4</v>
      </c>
      <c r="AC3903" s="3" cm="1">
        <f t="array" ref="AC3903">100000000/LvacE(AA3903)</f>
        <v>43444.401478131185</v>
      </c>
      <c r="AD3903" s="10">
        <f t="shared" si="3497"/>
        <v>1.4439985997497524E-2</v>
      </c>
      <c r="AE3903" s="10" t="b">
        <f t="shared" si="3498"/>
        <v>1</v>
      </c>
      <c r="AJ3903" t="s">
        <v>4798</v>
      </c>
      <c r="AK3903" t="s">
        <v>4912</v>
      </c>
      <c r="AL3903">
        <v>21535.17</v>
      </c>
      <c r="AM3903">
        <v>64979.55</v>
      </c>
      <c r="AN3903" s="10" cm="1">
        <f t="array" ref="AN3903">Lair(100000000/($AM3903-$AL3903))</f>
        <v>2301.0851431112746</v>
      </c>
      <c r="AO3903" s="10">
        <f t="shared" ref="AO3903:AO3905" si="3575">100000000/($AM3903-$AL3903)</f>
        <v>2301.7936957553543</v>
      </c>
      <c r="AP3903" s="12">
        <v>243000000</v>
      </c>
      <c r="AQ3903" s="3">
        <v>0.217</v>
      </c>
      <c r="AR3903" s="3">
        <f t="shared" ref="AR3903:AR3905" si="3576">LN(AU3903*100000000/($AM3903-$AL3903)/AP3903)</f>
        <v>-7.6068002375824815</v>
      </c>
      <c r="AS3903" s="13">
        <f t="shared" ref="AS3903:AS3905" si="3577">EXP(AR$4341*$AM3903+AR$4342)*$AP3903/(100000000/($AM3903-$AL3903))</f>
        <v>71.153450649661508</v>
      </c>
      <c r="AT3903" s="3">
        <f t="shared" ref="AT3903:AT3905" si="3578">LN(AS3903/$C3903)</f>
        <v>2.0676142442620313</v>
      </c>
      <c r="AU3903" s="13" cm="1">
        <f t="array" ref="AU3903">$C3903*EXP(poly_from_str(100000000/$E3903,AU$4343))</f>
        <v>52.474524175518312</v>
      </c>
      <c r="AV3903" s="13">
        <f t="shared" ref="AV3903:AV3905" si="3579">LN(AS3903/AU3903)</f>
        <v>0.30451102357405052</v>
      </c>
      <c r="AW3903" s="13"/>
      <c r="AX3903" s="13"/>
      <c r="AY3903" s="13"/>
    </row>
    <row r="3904" spans="1:51" x14ac:dyDescent="0.25">
      <c r="A3904" t="s">
        <v>4350</v>
      </c>
      <c r="B3904" s="2" t="str">
        <f t="shared" si="3494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3571"/>
        <v>e</v>
      </c>
      <c r="N3904" t="str">
        <f t="shared" si="3572"/>
        <v>9/2</v>
      </c>
      <c r="O3904">
        <v>63768.66</v>
      </c>
      <c r="P3904" t="str">
        <f t="shared" si="3573"/>
        <v>o</v>
      </c>
      <c r="Q3904" t="str">
        <f t="shared" si="3574"/>
        <v>7/2</v>
      </c>
      <c r="R3904">
        <v>36</v>
      </c>
      <c r="S3904" t="s">
        <v>159</v>
      </c>
      <c r="AA3904" s="10">
        <f t="shared" si="3495"/>
        <v>2300.627</v>
      </c>
      <c r="AB3904" s="3">
        <f t="shared" si="3496"/>
        <v>43453.03</v>
      </c>
      <c r="AC3904" s="3" cm="1">
        <f t="array" ref="AC3904">100000000/LvacE(AA3904)</f>
        <v>43453.03057457455</v>
      </c>
      <c r="AD3904" s="10">
        <f t="shared" si="3497"/>
        <v>1.4443736549769815E-2</v>
      </c>
      <c r="AE3904" s="10" t="b">
        <f t="shared" si="3498"/>
        <v>1</v>
      </c>
      <c r="AJ3904" t="s">
        <v>4964</v>
      </c>
      <c r="AK3904" t="s">
        <v>4850</v>
      </c>
      <c r="AL3904">
        <v>20315.650000000001</v>
      </c>
      <c r="AM3904">
        <v>63768.66</v>
      </c>
      <c r="AN3904" s="10" cm="1">
        <f t="array" ref="AN3904">Lair(100000000/($AM3904-$AL3904))</f>
        <v>2300.6280948286994</v>
      </c>
      <c r="AO3904" s="10">
        <f t="shared" si="3575"/>
        <v>2301.3365472265327</v>
      </c>
      <c r="AP3904" s="12">
        <v>401000000</v>
      </c>
      <c r="AQ3904" s="3">
        <v>0.29599999999999999</v>
      </c>
      <c r="AR3904" s="3">
        <f t="shared" si="3576"/>
        <v>-8.10528336738283</v>
      </c>
      <c r="AS3904" s="13">
        <f t="shared" si="3577"/>
        <v>128.61337379715505</v>
      </c>
      <c r="AT3904" s="3">
        <f t="shared" si="3578"/>
        <v>2.6595862243724095</v>
      </c>
      <c r="AU3904" s="13" cm="1">
        <f t="array" ref="AU3904">$C3904*EXP(poly_from_str(100000000/$E3904,AU$4343))</f>
        <v>52.611949842479909</v>
      </c>
      <c r="AV3904" s="13">
        <f t="shared" si="3579"/>
        <v>0.89386752445007822</v>
      </c>
      <c r="AW3904" s="13"/>
      <c r="AX3904" s="13"/>
      <c r="AY3904" s="13"/>
    </row>
    <row r="3905" spans="1:51" x14ac:dyDescent="0.25">
      <c r="A3905" t="s">
        <v>4351</v>
      </c>
      <c r="B3905" s="2" t="str">
        <f t="shared" si="3494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3571"/>
        <v>e</v>
      </c>
      <c r="N3905" t="str">
        <f t="shared" si="3572"/>
        <v>9/2</v>
      </c>
      <c r="O3905">
        <v>68492.429999999993</v>
      </c>
      <c r="P3905" t="str">
        <f t="shared" si="3573"/>
        <v>o</v>
      </c>
      <c r="Q3905" t="str">
        <f t="shared" si="3574"/>
        <v>7/2</v>
      </c>
      <c r="R3905">
        <v>36</v>
      </c>
      <c r="AA3905" s="10">
        <f t="shared" si="3495"/>
        <v>2300.337</v>
      </c>
      <c r="AB3905" s="3">
        <f t="shared" si="3496"/>
        <v>43458.51</v>
      </c>
      <c r="AC3905" s="3" cm="1">
        <f t="array" ref="AC3905">100000000/LvacE(AA3905)</f>
        <v>43458.508146667329</v>
      </c>
      <c r="AD3905" s="10">
        <f t="shared" si="3497"/>
        <v>1.4446117709419823E-2</v>
      </c>
      <c r="AE3905" s="10" t="b">
        <f t="shared" si="3498"/>
        <v>1</v>
      </c>
      <c r="AJ3905" t="s">
        <v>4746</v>
      </c>
      <c r="AK3905" t="s">
        <v>4831</v>
      </c>
      <c r="AL3905">
        <v>25033.91</v>
      </c>
      <c r="AM3905">
        <v>68492.429999999993</v>
      </c>
      <c r="AN3905" s="10" cm="1">
        <f t="array" ref="AN3905">Lair(100000000/($AM3905-$AL3905))</f>
        <v>2300.3363779420602</v>
      </c>
      <c r="AO3905" s="10">
        <f t="shared" si="3575"/>
        <v>2301.0447663657214</v>
      </c>
      <c r="AP3905" s="12">
        <v>74600000</v>
      </c>
      <c r="AQ3905" s="3">
        <v>8.7999999999999995E-2</v>
      </c>
      <c r="AR3905" s="3">
        <f t="shared" si="3576"/>
        <v>-7.2328534282394719</v>
      </c>
      <c r="AS3905" s="13">
        <f t="shared" si="3577"/>
        <v>16.787138777697269</v>
      </c>
      <c r="AT3905" s="3">
        <f t="shared" si="3578"/>
        <v>1.4343186831604968</v>
      </c>
      <c r="AU3905" s="13" cm="1">
        <f t="array" ref="AU3905">$C3905*EXP(poly_from_str(100000000/$E3905,AU$4343))</f>
        <v>23.422078236402069</v>
      </c>
      <c r="AV3905" s="13">
        <f t="shared" si="3579"/>
        <v>-0.33306604762951636</v>
      </c>
      <c r="AW3905" s="13"/>
      <c r="AX3905" s="13"/>
      <c r="AY3905" s="13"/>
    </row>
    <row r="3906" spans="1:51" x14ac:dyDescent="0.25">
      <c r="A3906" t="s">
        <v>4352</v>
      </c>
      <c r="B3906" s="2" t="str">
        <f t="shared" ref="B3906:B3969" si="3580">IF(OR(A3906=A3905,A3906=A3907),IF(B3905="",1,B3905+1),"")</f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3495"/>
        <v>2299.7750000000001</v>
      </c>
      <c r="AB3906" s="3">
        <f t="shared" si="3496"/>
        <v>43469.13</v>
      </c>
      <c r="AC3906" s="3" cm="1">
        <f t="array" ref="AC3906">100000000/LvacE(AA3906)</f>
        <v>43469.127235494096</v>
      </c>
      <c r="AD3906" s="10">
        <f t="shared" si="3497"/>
        <v>1.4450734796989727E-2</v>
      </c>
      <c r="AE3906" s="10" t="b">
        <f t="shared" si="3498"/>
        <v>1</v>
      </c>
      <c r="AP3906"/>
      <c r="AQ3906"/>
      <c r="AU3906" s="13" cm="1">
        <f t="array" ref="AU3906">$C3906*EXP(poly_from_str(100000000/$E3906,AU$4343))</f>
        <v>5.8745236813757389</v>
      </c>
    </row>
    <row r="3907" spans="1:51" x14ac:dyDescent="0.25">
      <c r="A3907" t="s">
        <v>4353</v>
      </c>
      <c r="B3907" s="2" t="str">
        <f t="shared" si="3580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3581">ROUND($A3907,3)+0</f>
        <v>2299.6</v>
      </c>
      <c r="AB3907" s="3">
        <f t="shared" ref="AB3907:AB3970" si="3582">ROUND($E3907,2)+0</f>
        <v>43472.43</v>
      </c>
      <c r="AC3907" s="3" cm="1">
        <f t="array" ref="AC3907">100000000/LvacE(AA3907)</f>
        <v>43472.434950821604</v>
      </c>
      <c r="AD3907" s="10">
        <f t="shared" ref="AD3907:AD3970" si="3583">0.0005/$AA3907*AC3907+0.005</f>
        <v>1.445217319334267E-2</v>
      </c>
      <c r="AE3907" s="10" t="b">
        <f t="shared" ref="AE3907:AE3970" si="3584">ABS(AB3907-AC3907)&lt;AD3907</f>
        <v>1</v>
      </c>
      <c r="AP3907"/>
      <c r="AQ3907"/>
      <c r="AU3907" s="13" cm="1">
        <f t="array" ref="AU3907">$C3907*EXP(poly_from_str(100000000/$E3907,AU$4343))</f>
        <v>5.880459748908053</v>
      </c>
    </row>
    <row r="3908" spans="1:51" x14ac:dyDescent="0.25">
      <c r="A3908" t="s">
        <v>4354</v>
      </c>
      <c r="B3908" s="2" t="str">
        <f t="shared" si="3580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3581"/>
        <v>2299.4810000000002</v>
      </c>
      <c r="AB3908" s="3">
        <f t="shared" si="3582"/>
        <v>43474.68</v>
      </c>
      <c r="AC3908" s="3" cm="1">
        <f t="array" ref="AC3908">100000000/LvacE(AA3908)</f>
        <v>43474.684484767866</v>
      </c>
      <c r="AD3908" s="10">
        <f t="shared" si="3583"/>
        <v>1.4453151490438031E-2</v>
      </c>
      <c r="AE3908" s="10" t="b">
        <f t="shared" si="3584"/>
        <v>1</v>
      </c>
      <c r="AP3908"/>
      <c r="AQ3908"/>
      <c r="AU3908" s="13" cm="1">
        <f t="array" ref="AU3908">$C3908*EXP(poly_from_str(100000000/$E3908,AU$4343))</f>
        <v>35.307092909752669</v>
      </c>
    </row>
    <row r="3909" spans="1:51" x14ac:dyDescent="0.25">
      <c r="A3909" t="s">
        <v>4355</v>
      </c>
      <c r="B3909" s="2" t="str">
        <f t="shared" si="3580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3581"/>
        <v>2299.1619999999998</v>
      </c>
      <c r="AB3909" s="3">
        <f t="shared" si="3582"/>
        <v>43480.72</v>
      </c>
      <c r="AC3909" s="3" cm="1">
        <f t="array" ref="AC3909">100000000/LvacE(AA3909)</f>
        <v>43480.715896611422</v>
      </c>
      <c r="AD3909" s="10">
        <f t="shared" si="3583"/>
        <v>1.4455774733709809E-2</v>
      </c>
      <c r="AE3909" s="10" t="b">
        <f t="shared" si="3584"/>
        <v>1</v>
      </c>
      <c r="AP3909"/>
      <c r="AQ3909"/>
      <c r="AU3909" s="13" cm="1">
        <f t="array" ref="AU3909">$C3909*EXP(poly_from_str(100000000/$E3909,AU$4343))</f>
        <v>5.8954367375301269</v>
      </c>
    </row>
    <row r="3910" spans="1:51" x14ac:dyDescent="0.25">
      <c r="A3910" t="s">
        <v>4356</v>
      </c>
      <c r="B3910" s="2" t="str">
        <f t="shared" si="3580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3581"/>
        <v>2298.9389999999999</v>
      </c>
      <c r="AB3910" s="3">
        <f t="shared" si="3582"/>
        <v>43484.93</v>
      </c>
      <c r="AC3910" s="3" cm="1">
        <f t="array" ref="AC3910">100000000/LvacE(AA3910)</f>
        <v>43484.93320658461</v>
      </c>
      <c r="AD3910" s="10">
        <f t="shared" si="3583"/>
        <v>1.4457609185494835E-2</v>
      </c>
      <c r="AE3910" s="10" t="b">
        <f t="shared" si="3584"/>
        <v>1</v>
      </c>
      <c r="AJ3910" t="s">
        <v>4764</v>
      </c>
      <c r="AK3910" t="s">
        <v>4916</v>
      </c>
      <c r="AL3910">
        <v>37919.58</v>
      </c>
      <c r="AM3910">
        <v>81404.52</v>
      </c>
      <c r="AN3910" s="10" cm="1">
        <f t="array" ref="AN3910">Lair(100000000/($AM3910-$AL3910))</f>
        <v>2298.9386462712214</v>
      </c>
      <c r="AO3910" s="10">
        <f>100000000/($AM3910-$AL3910)</f>
        <v>2299.646728269603</v>
      </c>
      <c r="AP3910" s="12">
        <v>303000000</v>
      </c>
      <c r="AQ3910" s="3">
        <v>0.20799999999999999</v>
      </c>
      <c r="AR3910" s="3">
        <f>LN(AU3910*100000000/($AM3910-$AL3910)/AP3910)</f>
        <v>-8.2214991330913598</v>
      </c>
      <c r="AS3910" s="13">
        <f>EXP(AR$4341*$AM3910+AR$4342)*$AP3910/(100000000/($AM3910-$AL3910))</f>
        <v>25.88859634174117</v>
      </c>
      <c r="AT3910" s="3">
        <f>LN(AS3910/$C3910)</f>
        <v>1.4620431068331612</v>
      </c>
      <c r="AU3910" s="13" cm="1">
        <f t="array" ref="AU3910">$C3910*EXP(poly_from_str(100000000/$E3910,AU$4343))</f>
        <v>35.418470041775443</v>
      </c>
      <c r="AV3910" s="13">
        <f>LN(AS3910/AU3910)</f>
        <v>-0.31343086060548159</v>
      </c>
      <c r="AW3910" s="13"/>
      <c r="AX3910" s="13"/>
      <c r="AY3910" s="13"/>
    </row>
    <row r="3911" spans="1:51" x14ac:dyDescent="0.25">
      <c r="A3911" t="s">
        <v>4357</v>
      </c>
      <c r="B3911" s="2" t="str">
        <f t="shared" si="3580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3581"/>
        <v>2298.8049999999998</v>
      </c>
      <c r="AB3911" s="3">
        <f t="shared" si="3582"/>
        <v>43487.47</v>
      </c>
      <c r="AC3911" s="3" cm="1">
        <f t="array" ref="AC3911">100000000/LvacE(AA3911)</f>
        <v>43487.4677683872</v>
      </c>
      <c r="AD3911" s="10">
        <f t="shared" si="3583"/>
        <v>1.4458711758584833E-2</v>
      </c>
      <c r="AE3911" s="10" t="b">
        <f t="shared" si="3584"/>
        <v>1</v>
      </c>
      <c r="AP3911"/>
      <c r="AQ3911"/>
      <c r="AU3911" s="13" cm="1">
        <f t="array" ref="AU3911">$C3911*EXP(poly_from_str(100000000/$E3911,AU$4343))</f>
        <v>35.446202299237065</v>
      </c>
    </row>
    <row r="3912" spans="1:51" x14ac:dyDescent="0.25">
      <c r="A3912" t="s">
        <v>4358</v>
      </c>
      <c r="B3912" s="2" t="str">
        <f t="shared" si="3580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3581"/>
        <v>2298.5830000000001</v>
      </c>
      <c r="AB3912" s="3">
        <f t="shared" si="3582"/>
        <v>43491.67</v>
      </c>
      <c r="AC3912" s="3" cm="1">
        <f t="array" ref="AC3912">100000000/LvacE(AA3912)</f>
        <v>43491.667468756721</v>
      </c>
      <c r="AD3912" s="10">
        <f t="shared" si="3583"/>
        <v>1.4460538833872154E-2</v>
      </c>
      <c r="AE3912" s="10" t="b">
        <f t="shared" si="3584"/>
        <v>1</v>
      </c>
      <c r="AJ3912" t="s">
        <v>4746</v>
      </c>
      <c r="AK3912" t="s">
        <v>4869</v>
      </c>
      <c r="AL3912">
        <v>25033.91</v>
      </c>
      <c r="AM3912">
        <v>68525.62</v>
      </c>
      <c r="AN3912" s="10" cm="1">
        <f t="array" ref="AN3912">Lair(100000000/($AM3912-$AL3912))</f>
        <v>2298.5807574425144</v>
      </c>
      <c r="AO3912" s="10">
        <f>100000000/($AM3912-$AL3912)</f>
        <v>2299.2887610075582</v>
      </c>
      <c r="AP3912" s="12">
        <v>170000000</v>
      </c>
      <c r="AQ3912" s="3">
        <v>0.34100000000000003</v>
      </c>
      <c r="AR3912" s="3">
        <f>LN(AU3912*100000000/($AM3912-$AL3912)/AP3912)</f>
        <v>-7.6416416332228865</v>
      </c>
      <c r="AS3912" s="13">
        <f>EXP(AR$4341*$AM3912+AR$4342)*$AP3912/(100000000/($AM3912-$AL3912))</f>
        <v>38.188850353093748</v>
      </c>
      <c r="AT3912" s="3">
        <f>LN(AS3912/$C3912)</f>
        <v>1.850784128207047</v>
      </c>
      <c r="AU3912" s="13" cm="1">
        <f t="array" ref="AU3912">$C3912*EXP(poly_from_str(100000000/$E3912,AU$4343))</f>
        <v>35.492174729982835</v>
      </c>
      <c r="AV3912" s="13">
        <f>LN(AS3912/AU3912)</f>
        <v>7.3231355393354763E-2</v>
      </c>
      <c r="AW3912" s="13"/>
      <c r="AX3912" s="13"/>
      <c r="AY3912" s="13"/>
    </row>
    <row r="3913" spans="1:51" x14ac:dyDescent="0.25">
      <c r="A3913" t="s">
        <v>4359</v>
      </c>
      <c r="B3913" s="2" t="str">
        <f t="shared" si="3580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3581"/>
        <v>2298.5050000000001</v>
      </c>
      <c r="AB3913" s="3">
        <f t="shared" si="3582"/>
        <v>43493.14</v>
      </c>
      <c r="AC3913" s="3" cm="1">
        <f t="array" ref="AC3913">100000000/LvacE(AA3913)</f>
        <v>43493.143231711692</v>
      </c>
      <c r="AD3913" s="10">
        <f t="shared" si="3583"/>
        <v>1.4461180904916826E-2</v>
      </c>
      <c r="AE3913" s="10" t="b">
        <f t="shared" si="3584"/>
        <v>1</v>
      </c>
      <c r="AP3913"/>
      <c r="AQ3913"/>
      <c r="AU3913" s="13" cm="1">
        <f t="array" ref="AU3913">$C3913*EXP(poly_from_str(100000000/$E3913,AU$4343))</f>
        <v>47.344399056549982</v>
      </c>
    </row>
    <row r="3914" spans="1:51" x14ac:dyDescent="0.25">
      <c r="A3914" t="s">
        <v>4360</v>
      </c>
      <c r="B3914" s="2" t="str">
        <f t="shared" si="3580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3585">$G3914&amp;""</f>
        <v>e</v>
      </c>
      <c r="N3914" t="str">
        <f t="shared" ref="N3914:N3918" si="3586">$H3914&amp;""</f>
        <v>5/2</v>
      </c>
      <c r="O3914">
        <v>69431</v>
      </c>
      <c r="P3914" t="str">
        <f t="shared" ref="P3914:P3918" si="3587">$J3914&amp;""</f>
        <v>o</v>
      </c>
      <c r="Q3914" t="str">
        <f t="shared" ref="Q3914:Q3918" si="3588">$K3914&amp;""</f>
        <v>7/2</v>
      </c>
      <c r="R3914">
        <v>36</v>
      </c>
      <c r="AA3914" s="10">
        <f t="shared" si="3581"/>
        <v>2298.3519999999999</v>
      </c>
      <c r="AB3914" s="3">
        <f t="shared" si="3582"/>
        <v>43496.04</v>
      </c>
      <c r="AC3914" s="3" cm="1">
        <f t="array" ref="AC3914">100000000/LvacE(AA3914)</f>
        <v>43496.038288397162</v>
      </c>
      <c r="AD3914" s="10">
        <f t="shared" si="3583"/>
        <v>1.4462440541831097E-2</v>
      </c>
      <c r="AE3914" s="10" t="b">
        <f t="shared" si="3584"/>
        <v>1</v>
      </c>
      <c r="AJ3914" t="s">
        <v>4713</v>
      </c>
      <c r="AK3914" t="s">
        <v>4864</v>
      </c>
      <c r="AL3914">
        <v>25934.98</v>
      </c>
      <c r="AM3914">
        <v>69431</v>
      </c>
      <c r="AN3914" s="10" cm="1">
        <f t="array" ref="AN3914">Lair(100000000/($AM3914-$AL3914))</f>
        <v>2298.3529719240701</v>
      </c>
      <c r="AO3914" s="10">
        <f t="shared" ref="AO3914:AO3918" si="3589">100000000/($AM3914-$AL3914)</f>
        <v>2299.0609255743398</v>
      </c>
      <c r="AP3914" s="12">
        <v>26300000</v>
      </c>
      <c r="AQ3914" s="3">
        <v>6.2E-2</v>
      </c>
      <c r="AR3914" s="3">
        <f t="shared" ref="AR3914:AR3918" si="3590">LN(AU3914*100000000/($AM3914-$AL3914)/AP3914)</f>
        <v>-7.5659195660220719</v>
      </c>
      <c r="AS3914" s="13">
        <f t="shared" ref="AS3914:AS3918" si="3591">EXP(AR$4341*$AM3914+AR$4342)*$AP3914/(100000000/($AM3914-$AL3914))</f>
        <v>5.5204940524566721</v>
      </c>
      <c r="AT3914" s="3">
        <f t="shared" ref="AT3914:AT3918" si="3592">LN(AS3914/$C3914)</f>
        <v>1.7084673585405594</v>
      </c>
      <c r="AU3914" s="13" cm="1">
        <f t="array" ref="AU3914">$C3914*EXP(poly_from_str(100000000/$E3914,AU$4343))</f>
        <v>5.9233602982629519</v>
      </c>
      <c r="AV3914" s="13">
        <f t="shared" ref="AV3914:AV3918" si="3593">LN(AS3914/AU3914)</f>
        <v>-7.0436547271043662E-2</v>
      </c>
      <c r="AW3914" s="13"/>
      <c r="AX3914" s="13"/>
      <c r="AY3914" s="13"/>
    </row>
    <row r="3915" spans="1:51" x14ac:dyDescent="0.25">
      <c r="A3915" t="s">
        <v>4361</v>
      </c>
      <c r="B3915" s="2" t="str">
        <f t="shared" si="3580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3585"/>
        <v>e</v>
      </c>
      <c r="N3915" t="str">
        <f t="shared" si="3586"/>
        <v>5/2</v>
      </c>
      <c r="O3915">
        <v>67965.47</v>
      </c>
      <c r="P3915" t="str">
        <f t="shared" si="3587"/>
        <v>o</v>
      </c>
      <c r="Q3915" t="str">
        <f t="shared" si="3588"/>
        <v>3/2</v>
      </c>
      <c r="R3915">
        <v>36</v>
      </c>
      <c r="AA3915" s="10">
        <f t="shared" si="3581"/>
        <v>2297.92</v>
      </c>
      <c r="AB3915" s="3">
        <f t="shared" si="3582"/>
        <v>43504.21</v>
      </c>
      <c r="AC3915" s="3" cm="1">
        <f t="array" ref="AC3915">100000000/LvacE(AA3915)</f>
        <v>43504.214646699395</v>
      </c>
      <c r="AD3915" s="10">
        <f t="shared" si="3583"/>
        <v>1.4465998521858769E-2</v>
      </c>
      <c r="AE3915" s="10" t="b">
        <f t="shared" si="3584"/>
        <v>1</v>
      </c>
      <c r="AJ3915" t="s">
        <v>4717</v>
      </c>
      <c r="AK3915" t="s">
        <v>4835</v>
      </c>
      <c r="AL3915">
        <v>24461.24</v>
      </c>
      <c r="AM3915">
        <v>67965.47</v>
      </c>
      <c r="AN3915" s="10" cm="1">
        <f t="array" ref="AN3915">Lair(100000000/($AM3915-$AL3915))</f>
        <v>2297.9191944388658</v>
      </c>
      <c r="AO3915" s="10">
        <f t="shared" si="3589"/>
        <v>2298.6270530474853</v>
      </c>
      <c r="AP3915" s="12">
        <v>50000000</v>
      </c>
      <c r="AQ3915" s="3">
        <v>0.124</v>
      </c>
      <c r="AR3915" s="3">
        <f t="shared" si="3590"/>
        <v>-7.1074170698766119</v>
      </c>
      <c r="AS3915" s="13">
        <f t="shared" si="3591"/>
        <v>11.717617024114009</v>
      </c>
      <c r="AT3915" s="3">
        <f t="shared" si="3592"/>
        <v>1.3624811492197655</v>
      </c>
      <c r="AU3915" s="13" cm="1">
        <f t="array" ref="AU3915">$C3915*EXP(poly_from_str(100000000/$E3915,AU$4343))</f>
        <v>17.815149722059509</v>
      </c>
      <c r="AV3915" s="13">
        <f t="shared" si="3593"/>
        <v>-0.41895576540401691</v>
      </c>
      <c r="AW3915" s="13"/>
      <c r="AX3915" s="13"/>
      <c r="AY3915" s="13"/>
    </row>
    <row r="3916" spans="1:51" x14ac:dyDescent="0.25">
      <c r="A3916" t="s">
        <v>4362</v>
      </c>
      <c r="B3916" s="2" t="str">
        <f t="shared" si="3580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3585"/>
        <v>e</v>
      </c>
      <c r="N3916" t="str">
        <f t="shared" si="3586"/>
        <v>5/2</v>
      </c>
      <c r="O3916">
        <v>61717.98</v>
      </c>
      <c r="P3916" t="str">
        <f t="shared" si="3587"/>
        <v>o</v>
      </c>
      <c r="Q3916" t="str">
        <f t="shared" si="3588"/>
        <v>5/2</v>
      </c>
      <c r="R3916">
        <v>36</v>
      </c>
      <c r="S3916" t="s">
        <v>159</v>
      </c>
      <c r="AA3916" s="10">
        <f t="shared" si="3581"/>
        <v>2297.8150000000001</v>
      </c>
      <c r="AB3916" s="3">
        <f t="shared" si="3582"/>
        <v>43506.2</v>
      </c>
      <c r="AC3916" s="3" cm="1">
        <f t="array" ref="AC3916">100000000/LvacE(AA3916)</f>
        <v>43506.202420356705</v>
      </c>
      <c r="AD3916" s="10">
        <f t="shared" si="3583"/>
        <v>1.4466863611813114E-2</v>
      </c>
      <c r="AE3916" s="10" t="b">
        <f t="shared" si="3584"/>
        <v>1</v>
      </c>
      <c r="AJ3916" t="s">
        <v>4970</v>
      </c>
      <c r="AK3916" t="s">
        <v>4880</v>
      </c>
      <c r="AL3916">
        <v>18211.759999999998</v>
      </c>
      <c r="AM3916">
        <v>61717.98</v>
      </c>
      <c r="AN3916" s="10" cm="1">
        <f t="array" ref="AN3916">Lair(100000000/($AM3916-$AL3916))</f>
        <v>2297.8140769193983</v>
      </c>
      <c r="AO3916" s="10">
        <f t="shared" si="3589"/>
        <v>2298.5219124989485</v>
      </c>
      <c r="AP3916" s="12">
        <v>158000000</v>
      </c>
      <c r="AQ3916" s="3">
        <v>0.35599999999999998</v>
      </c>
      <c r="AR3916" s="3">
        <f t="shared" si="3590"/>
        <v>-7.2765872325203649</v>
      </c>
      <c r="AS3916" s="13">
        <f t="shared" si="3591"/>
        <v>59.178901750898191</v>
      </c>
      <c r="AT3916" s="3">
        <f t="shared" si="3592"/>
        <v>2.0011235473454136</v>
      </c>
      <c r="AU3916" s="13" cm="1">
        <f t="array" ref="AU3916">$C3916*EXP(poly_from_str(100000000/$E3916,AU$4343))</f>
        <v>47.536451173870503</v>
      </c>
      <c r="AV3916" s="13">
        <f t="shared" si="3593"/>
        <v>0.21906827914609858</v>
      </c>
      <c r="AW3916" s="13"/>
      <c r="AX3916" s="13"/>
      <c r="AY3916" s="13"/>
    </row>
    <row r="3917" spans="1:51" x14ac:dyDescent="0.25">
      <c r="A3917" t="s">
        <v>4363</v>
      </c>
      <c r="B3917" s="2" t="str">
        <f t="shared" si="3580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3585"/>
        <v>e</v>
      </c>
      <c r="N3917" t="str">
        <f t="shared" si="3586"/>
        <v>9/2</v>
      </c>
      <c r="O3917">
        <v>68544.19</v>
      </c>
      <c r="P3917" t="str">
        <f t="shared" si="3587"/>
        <v>o</v>
      </c>
      <c r="Q3917" t="str">
        <f t="shared" si="3588"/>
        <v>9/2</v>
      </c>
      <c r="R3917">
        <v>36</v>
      </c>
      <c r="AA3917" s="10">
        <f t="shared" si="3581"/>
        <v>2297.5990000000002</v>
      </c>
      <c r="AB3917" s="3">
        <f t="shared" si="3582"/>
        <v>43510.29</v>
      </c>
      <c r="AC3917" s="3" cm="1">
        <f t="array" ref="AC3917">100000000/LvacE(AA3917)</f>
        <v>43510.292125927728</v>
      </c>
      <c r="AD3917" s="10">
        <f t="shared" si="3583"/>
        <v>1.4468643598366759E-2</v>
      </c>
      <c r="AE3917" s="10" t="b">
        <f t="shared" si="3584"/>
        <v>1</v>
      </c>
      <c r="AJ3917" t="s">
        <v>4746</v>
      </c>
      <c r="AK3917" t="s">
        <v>4901</v>
      </c>
      <c r="AL3917">
        <v>25033.91</v>
      </c>
      <c r="AM3917">
        <v>68544.19</v>
      </c>
      <c r="AN3917" s="10" cm="1">
        <f t="array" ref="AN3917">Lair(100000000/($AM3917-$AL3917))</f>
        <v>2297.5996458678715</v>
      </c>
      <c r="AO3917" s="10">
        <f t="shared" si="3589"/>
        <v>2298.3074344729566</v>
      </c>
      <c r="AP3917" s="12">
        <v>39400000</v>
      </c>
      <c r="AQ3917" s="3">
        <v>8.2000000000000003E-2</v>
      </c>
      <c r="AR3917" s="3">
        <f t="shared" si="3590"/>
        <v>-6.3565823762503237</v>
      </c>
      <c r="AS3917" s="13">
        <f t="shared" si="3591"/>
        <v>8.8422754303564552</v>
      </c>
      <c r="AT3917" s="3">
        <f t="shared" si="3592"/>
        <v>0.57010633271737077</v>
      </c>
      <c r="AU3917" s="13" cm="1">
        <f t="array" ref="AU3917">$C3917*EXP(poly_from_str(100000000/$E3917,AU$4343))</f>
        <v>29.748114893562313</v>
      </c>
      <c r="AV3917" s="13">
        <f t="shared" si="3593"/>
        <v>-1.213221519910251</v>
      </c>
      <c r="AW3917" s="13"/>
      <c r="AX3917" s="13"/>
      <c r="AY3917" s="13"/>
    </row>
    <row r="3918" spans="1:51" x14ac:dyDescent="0.25">
      <c r="A3918" t="s">
        <v>4364</v>
      </c>
      <c r="B3918" s="2" t="str">
        <f t="shared" si="3580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3585"/>
        <v>e</v>
      </c>
      <c r="N3918" t="str">
        <f t="shared" si="3586"/>
        <v>5/2</v>
      </c>
      <c r="O3918">
        <v>80164.039999999994</v>
      </c>
      <c r="P3918" t="str">
        <f t="shared" si="3587"/>
        <v>o</v>
      </c>
      <c r="Q3918" t="str">
        <f t="shared" si="3588"/>
        <v>3/2</v>
      </c>
      <c r="R3918">
        <v>36</v>
      </c>
      <c r="S3918" t="s">
        <v>159</v>
      </c>
      <c r="AA3918" s="10">
        <f t="shared" si="3581"/>
        <v>2297.5219999999999</v>
      </c>
      <c r="AB3918" s="3">
        <f t="shared" si="3582"/>
        <v>43511.75</v>
      </c>
      <c r="AC3918" s="3" cm="1">
        <f t="array" ref="AC3918">100000000/LvacE(AA3918)</f>
        <v>43511.750216118307</v>
      </c>
      <c r="AD3918" s="10">
        <f t="shared" si="3583"/>
        <v>1.4469278251985903E-2</v>
      </c>
      <c r="AE3918" s="10" t="b">
        <f t="shared" si="3584"/>
        <v>1</v>
      </c>
      <c r="AJ3918" t="s">
        <v>4771</v>
      </c>
      <c r="AK3918" t="s">
        <v>4893</v>
      </c>
      <c r="AL3918">
        <v>36652.29</v>
      </c>
      <c r="AM3918">
        <v>80164.039999999994</v>
      </c>
      <c r="AN3918" s="10" cm="1">
        <f t="array" ref="AN3918">Lair(100000000/($AM3918-$AL3918))</f>
        <v>2297.5220169051827</v>
      </c>
      <c r="AO3918" s="10">
        <f t="shared" si="3589"/>
        <v>2298.229788505404</v>
      </c>
      <c r="AP3918" s="12">
        <v>474000000</v>
      </c>
      <c r="AQ3918" s="3">
        <v>0.49099999999999999</v>
      </c>
      <c r="AR3918" s="3">
        <f t="shared" si="3590"/>
        <v>-8.3735992115231284</v>
      </c>
      <c r="AS3918" s="13">
        <f t="shared" si="3591"/>
        <v>44.477677862712348</v>
      </c>
      <c r="AT3918" s="3">
        <f t="shared" si="3592"/>
        <v>1.7155459005757805</v>
      </c>
      <c r="AU3918" s="13" cm="1">
        <f t="array" ref="AU3918">$C3918*EXP(poly_from_str(100000000/$E3918,AU$4343))</f>
        <v>47.618637071768497</v>
      </c>
      <c r="AV3918" s="13">
        <f t="shared" si="3593"/>
        <v>-6.8236777473070928E-2</v>
      </c>
      <c r="AW3918" s="13"/>
      <c r="AX3918" s="13"/>
      <c r="AY3918" s="13"/>
    </row>
    <row r="3919" spans="1:51" x14ac:dyDescent="0.25">
      <c r="A3919" t="s">
        <v>4365</v>
      </c>
      <c r="B3919" s="2" t="str">
        <f t="shared" si="3580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3581"/>
        <v>2297.4090000000001</v>
      </c>
      <c r="AB3919" s="3">
        <f t="shared" si="3582"/>
        <v>43513.89</v>
      </c>
      <c r="AC3919" s="3" cm="1">
        <f t="array" ref="AC3919">100000000/LvacE(AA3919)</f>
        <v>43513.89018774539</v>
      </c>
      <c r="AD3919" s="10">
        <f t="shared" si="3583"/>
        <v>1.4470209742310877E-2</v>
      </c>
      <c r="AE3919" s="10" t="b">
        <f t="shared" si="3584"/>
        <v>1</v>
      </c>
      <c r="AP3919"/>
      <c r="AQ3919"/>
      <c r="AU3919" s="13" cm="1">
        <f t="array" ref="AU3919">$C3919*EXP(poly_from_str(100000000/$E3919,AU$4343))</f>
        <v>5.9563022830616301</v>
      </c>
    </row>
    <row r="3920" spans="1:51" x14ac:dyDescent="0.25">
      <c r="A3920" t="s">
        <v>4366</v>
      </c>
      <c r="B3920" s="2" t="str">
        <f t="shared" si="3580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3581"/>
        <v>2297.3679999999999</v>
      </c>
      <c r="AB3920" s="3">
        <f t="shared" si="3582"/>
        <v>43514.67</v>
      </c>
      <c r="AC3920" s="3" cm="1">
        <f t="array" ref="AC3920">100000000/LvacE(AA3920)</f>
        <v>43514.666689665974</v>
      </c>
      <c r="AD3920" s="10">
        <f t="shared" si="3583"/>
        <v>1.4470547750657703E-2</v>
      </c>
      <c r="AE3920" s="10" t="b">
        <f t="shared" si="3584"/>
        <v>1</v>
      </c>
      <c r="AP3920"/>
      <c r="AQ3920"/>
      <c r="AU3920" s="13" cm="1">
        <f t="array" ref="AU3920">$C3920*EXP(poly_from_str(100000000/$E3920,AU$4343))</f>
        <v>5.957751844391276</v>
      </c>
    </row>
    <row r="3921" spans="1:51" x14ac:dyDescent="0.25">
      <c r="A3921" t="s">
        <v>4367</v>
      </c>
      <c r="B3921" s="2" t="str">
        <f t="shared" si="3580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3594">$G3921&amp;""</f>
        <v>o</v>
      </c>
      <c r="N3921" t="str">
        <f t="shared" ref="N3921:N3926" si="3595">$H3921&amp;""</f>
        <v>7/2</v>
      </c>
      <c r="O3921">
        <v>107299.07</v>
      </c>
      <c r="P3921" t="str">
        <f t="shared" ref="P3921:P3926" si="3596">$J3921&amp;""</f>
        <v>e</v>
      </c>
      <c r="Q3921" t="str">
        <f t="shared" ref="Q3921:Q3926" si="3597">$K3921&amp;""</f>
        <v>7/2</v>
      </c>
      <c r="R3921">
        <v>36</v>
      </c>
      <c r="AA3921" s="10">
        <f t="shared" si="3581"/>
        <v>2296.5410000000002</v>
      </c>
      <c r="AB3921" s="3">
        <f t="shared" si="3582"/>
        <v>43530.34</v>
      </c>
      <c r="AC3921" s="3" cm="1">
        <f t="array" ref="AC3921">100000000/LvacE(AA3921)</f>
        <v>43530.335220301698</v>
      </c>
      <c r="AD3921" s="10">
        <f t="shared" si="3583"/>
        <v>1.4477369491836135E-2</v>
      </c>
      <c r="AE3921" s="10" t="b">
        <f t="shared" si="3584"/>
        <v>1</v>
      </c>
      <c r="AJ3921" t="s">
        <v>4850</v>
      </c>
      <c r="AK3921" t="s">
        <v>4891</v>
      </c>
      <c r="AL3921">
        <v>63768.66</v>
      </c>
      <c r="AM3921">
        <v>107299.07</v>
      </c>
      <c r="AN3921" s="10" cm="1">
        <f t="array" ref="AN3921">Lair(100000000/($AM3921-$AL3921))</f>
        <v>2296.5370600031279</v>
      </c>
      <c r="AO3921" s="10">
        <f t="shared" ref="AO3921:AO3926" si="3598">100000000/($AM3921-$AL3921)</f>
        <v>2297.2446158903626</v>
      </c>
      <c r="AP3921" s="15">
        <v>66200000</v>
      </c>
      <c r="AQ3921" s="3">
        <v>0.11600000000000001</v>
      </c>
      <c r="AR3921" s="14"/>
      <c r="AS3921" s="13">
        <f t="shared" ref="AS3921:AS3926" si="3599">EXP(AR$4341*$AM3921+AR$4342)*$AP3921/(100000000/($AM3921-$AL3921))</f>
        <v>0.81098417370811282</v>
      </c>
      <c r="AT3921" s="14"/>
      <c r="AU3921" s="13" cm="1">
        <f t="array" ref="AU3921">$C3921*EXP(poly_from_str(100000000/$E3921,AU$4343))</f>
        <v>11.974107188847951</v>
      </c>
      <c r="AV3921" s="13"/>
      <c r="AW3921" s="13"/>
      <c r="AX3921" s="13"/>
      <c r="AY3921" s="13"/>
    </row>
    <row r="3922" spans="1:51" x14ac:dyDescent="0.25">
      <c r="A3922" t="s">
        <v>4368</v>
      </c>
      <c r="B3922" s="2" t="str">
        <f t="shared" si="3580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3594"/>
        <v>e</v>
      </c>
      <c r="N3922" t="str">
        <f t="shared" si="3595"/>
        <v>9/2</v>
      </c>
      <c r="O3922">
        <v>73378.42</v>
      </c>
      <c r="P3922" t="str">
        <f t="shared" si="3596"/>
        <v>o</v>
      </c>
      <c r="Q3922" t="str">
        <f t="shared" si="3597"/>
        <v>7/2</v>
      </c>
      <c r="R3922">
        <v>36</v>
      </c>
      <c r="S3922" t="s">
        <v>159</v>
      </c>
      <c r="AA3922" s="10">
        <f t="shared" si="3581"/>
        <v>2295.8560000000002</v>
      </c>
      <c r="AB3922" s="3">
        <f t="shared" si="3582"/>
        <v>43543.32</v>
      </c>
      <c r="AC3922" s="3" cm="1">
        <f t="array" ref="AC3922">100000000/LvacE(AA3922)</f>
        <v>43543.321932075327</v>
      </c>
      <c r="AD3922" s="10">
        <f t="shared" si="3583"/>
        <v>1.4483025488548785E-2</v>
      </c>
      <c r="AE3922" s="10" t="b">
        <f t="shared" si="3584"/>
        <v>1</v>
      </c>
      <c r="AJ3922" t="s">
        <v>4697</v>
      </c>
      <c r="AK3922" t="s">
        <v>4919</v>
      </c>
      <c r="AL3922">
        <v>29835.09</v>
      </c>
      <c r="AM3922">
        <v>73378.42</v>
      </c>
      <c r="AN3922" s="10" cm="1">
        <f t="array" ref="AN3922">Lair(100000000/($AM3922-$AL3922))</f>
        <v>2295.8555801128232</v>
      </c>
      <c r="AO3922" s="10">
        <f t="shared" si="3598"/>
        <v>2296.5629867995854</v>
      </c>
      <c r="AP3922" s="12">
        <v>268000000</v>
      </c>
      <c r="AQ3922" s="3">
        <v>0.153</v>
      </c>
      <c r="AR3922" s="3">
        <f>LN(AU3922*100000000/($AM3922-$AL3922)/AP3922)</f>
        <v>-8.4873453748013326</v>
      </c>
      <c r="AS3922" s="13">
        <f t="shared" si="3599"/>
        <v>41.876776519415444</v>
      </c>
      <c r="AT3922" s="3">
        <f t="shared" ref="AT3922:AT3926" si="3600">LN(AS3922/$C3922)</f>
        <v>2.348437052469702</v>
      </c>
      <c r="AU3922" s="13" cm="1">
        <f t="array" ref="AU3922">$C3922*EXP(poly_from_str(100000000/$E3922,AU$4343))</f>
        <v>24.046350363091058</v>
      </c>
      <c r="AV3922" s="13">
        <f>LN(AS3922/AU3922)</f>
        <v>0.55474818060775655</v>
      </c>
      <c r="AW3922" s="13"/>
      <c r="AX3922" s="13"/>
      <c r="AY3922" s="13"/>
    </row>
    <row r="3923" spans="1:51" x14ac:dyDescent="0.25">
      <c r="A3923" t="s">
        <v>4369</v>
      </c>
      <c r="B3923" s="2" t="str">
        <f t="shared" si="3580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3594"/>
        <v>e</v>
      </c>
      <c r="N3923" t="str">
        <f t="shared" si="3595"/>
        <v>5/2</v>
      </c>
      <c r="O3923">
        <v>64401.03</v>
      </c>
      <c r="P3923" t="str">
        <f t="shared" si="3596"/>
        <v>o</v>
      </c>
      <c r="Q3923" t="str">
        <f t="shared" si="3597"/>
        <v>5/2</v>
      </c>
      <c r="R3923">
        <v>36</v>
      </c>
      <c r="AA3923" s="10">
        <f t="shared" si="3581"/>
        <v>2295.3649999999998</v>
      </c>
      <c r="AB3923" s="3">
        <f t="shared" si="3582"/>
        <v>43552.639999999999</v>
      </c>
      <c r="AC3923" s="3" cm="1">
        <f t="array" ref="AC3923">100000000/LvacE(AA3923)</f>
        <v>43552.635423709675</v>
      </c>
      <c r="AD3923" s="10">
        <f t="shared" si="3583"/>
        <v>1.4487082756709648E-2</v>
      </c>
      <c r="AE3923" s="10" t="b">
        <f t="shared" si="3584"/>
        <v>1</v>
      </c>
      <c r="AJ3923" t="s">
        <v>4800</v>
      </c>
      <c r="AK3923" t="s">
        <v>4837</v>
      </c>
      <c r="AL3923">
        <v>20848.39</v>
      </c>
      <c r="AM3923">
        <v>64401.03</v>
      </c>
      <c r="AN3923" s="10" cm="1">
        <f t="array" ref="AN3923">Lair(100000000/($AM3923-$AL3923))</f>
        <v>2295.3647643450759</v>
      </c>
      <c r="AO3923" s="10">
        <f t="shared" si="3598"/>
        <v>2296.0720635993594</v>
      </c>
      <c r="AP3923" s="12">
        <v>24700000</v>
      </c>
      <c r="AQ3923" s="3">
        <v>3.3000000000000002E-2</v>
      </c>
      <c r="AR3923" s="3"/>
      <c r="AS3923" s="13">
        <f t="shared" si="3599"/>
        <v>7.572214004695339</v>
      </c>
      <c r="AT3923" s="3"/>
      <c r="AU3923" s="13" cm="1">
        <f t="array" ref="AU3923">$C3923*EXP(poly_from_str(100000000/$E3923,AU$4343))</f>
        <v>42.20546252476538</v>
      </c>
      <c r="AV3923" s="13"/>
      <c r="AW3923" s="13"/>
      <c r="AX3923" s="13"/>
      <c r="AY3923" s="13"/>
    </row>
    <row r="3924" spans="1:51" x14ac:dyDescent="0.25">
      <c r="A3924" t="s">
        <v>4370</v>
      </c>
      <c r="B3924" s="2">
        <f t="shared" si="3580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3594"/>
        <v>e</v>
      </c>
      <c r="N3924" t="str">
        <f t="shared" si="3595"/>
        <v>5/2</v>
      </c>
      <c r="O3924">
        <v>64979.55</v>
      </c>
      <c r="P3924" t="str">
        <f t="shared" si="3596"/>
        <v>o</v>
      </c>
      <c r="Q3924" t="str">
        <f t="shared" si="3597"/>
        <v>7/2</v>
      </c>
      <c r="R3924">
        <v>36</v>
      </c>
      <c r="AA3924" s="10">
        <f t="shared" si="3581"/>
        <v>2294.9380000000001</v>
      </c>
      <c r="AB3924" s="3">
        <f t="shared" si="3582"/>
        <v>43560.74</v>
      </c>
      <c r="AC3924" s="3" cm="1">
        <f t="array" ref="AC3924">100000000/LvacE(AA3924)</f>
        <v>43560.738176083774</v>
      </c>
      <c r="AD3924" s="10">
        <f t="shared" si="3583"/>
        <v>1.4490613292403493E-2</v>
      </c>
      <c r="AE3924" s="10" t="b">
        <f t="shared" si="3584"/>
        <v>1</v>
      </c>
      <c r="AJ3924" t="s">
        <v>4792</v>
      </c>
      <c r="AK3924" t="s">
        <v>4912</v>
      </c>
      <c r="AL3924">
        <v>21418.84</v>
      </c>
      <c r="AM3924">
        <v>64979.55</v>
      </c>
      <c r="AN3924" s="10" cm="1">
        <f t="array" ref="AN3924">Lair(100000000/($AM3924-$AL3924))</f>
        <v>2294.9394901157161</v>
      </c>
      <c r="AO3924" s="10">
        <f t="shared" si="3598"/>
        <v>2295.6466963004045</v>
      </c>
      <c r="AP3924" s="12">
        <v>182000000</v>
      </c>
      <c r="AQ3924" s="3">
        <v>0.35399999999999998</v>
      </c>
      <c r="AR3924" s="3">
        <f t="shared" ref="AR3924:AR3926" si="3601">LN(AU3924*100000000/($AM3924-$AL3924)/AP3924)</f>
        <v>-7.2843091821050896</v>
      </c>
      <c r="AS3924" s="13">
        <f t="shared" si="3599"/>
        <v>53.434583282081242</v>
      </c>
      <c r="AT3924" s="3">
        <f t="shared" si="3600"/>
        <v>1.7812335860153263</v>
      </c>
      <c r="AU3924" s="13" cm="1">
        <f t="array" ref="AU3924">$C3924*EXP(poly_from_str(100000000/$E3924,AU$4343))</f>
        <v>54.404028000896204</v>
      </c>
      <c r="AV3924" s="13">
        <f t="shared" ref="AV3924:AV3926" si="3602">LN(AS3924/AU3924)</f>
        <v>-1.7980031903341114E-2</v>
      </c>
      <c r="AW3924" s="13"/>
      <c r="AX3924" s="13"/>
      <c r="AY3924" s="13"/>
    </row>
    <row r="3925" spans="1:51" x14ac:dyDescent="0.25">
      <c r="A3925" t="s">
        <v>4370</v>
      </c>
      <c r="B3925" s="2">
        <f t="shared" si="3580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3594"/>
        <v>e</v>
      </c>
      <c r="N3925" t="str">
        <f t="shared" si="3595"/>
        <v>13/2</v>
      </c>
      <c r="O3925">
        <v>66735.88</v>
      </c>
      <c r="P3925" t="str">
        <f t="shared" si="3596"/>
        <v>o</v>
      </c>
      <c r="Q3925" t="str">
        <f t="shared" si="3597"/>
        <v>13/2</v>
      </c>
      <c r="R3925">
        <v>36</v>
      </c>
      <c r="AA3925" s="10">
        <f t="shared" si="3581"/>
        <v>2294.9380000000001</v>
      </c>
      <c r="AB3925" s="3">
        <f t="shared" si="3582"/>
        <v>43560.74</v>
      </c>
      <c r="AC3925" s="3" cm="1">
        <f t="array" ref="AC3925">100000000/LvacE(AA3925)</f>
        <v>43560.738176083774</v>
      </c>
      <c r="AD3925" s="10">
        <f t="shared" si="3583"/>
        <v>1.4490613292403493E-2</v>
      </c>
      <c r="AE3925" s="10" t="b">
        <f t="shared" si="3584"/>
        <v>1</v>
      </c>
      <c r="AJ3925" t="s">
        <v>4969</v>
      </c>
      <c r="AK3925" t="s">
        <v>4909</v>
      </c>
      <c r="AL3925">
        <v>23175.09</v>
      </c>
      <c r="AM3925">
        <v>66735.88</v>
      </c>
      <c r="AN3925" s="10" cm="1">
        <f t="array" ref="AN3925">Lair(100000000/($AM3925-$AL3925))</f>
        <v>2294.9352750508274</v>
      </c>
      <c r="AO3925" s="10">
        <f t="shared" si="3598"/>
        <v>2295.6424803131436</v>
      </c>
      <c r="AP3925" s="12">
        <v>201000000</v>
      </c>
      <c r="AQ3925" s="3">
        <v>0.34200000000000003</v>
      </c>
      <c r="AR3925" s="3">
        <f t="shared" si="3601"/>
        <v>-7.3836092396030404</v>
      </c>
      <c r="AS3925" s="13">
        <f t="shared" si="3599"/>
        <v>51.725523533678164</v>
      </c>
      <c r="AT3925" s="3">
        <f t="shared" si="3600"/>
        <v>1.7487267677265854</v>
      </c>
      <c r="AU3925" s="13" cm="1">
        <f t="array" ref="AU3925">$C3925*EXP(poly_from_str(100000000/$E3925,AU$4343))</f>
        <v>54.404028000896204</v>
      </c>
      <c r="AV3925" s="13">
        <f t="shared" si="3602"/>
        <v>-5.0486850192082072E-2</v>
      </c>
      <c r="AW3925" s="13"/>
      <c r="AX3925" s="13"/>
      <c r="AY3925" s="13"/>
    </row>
    <row r="3926" spans="1:51" x14ac:dyDescent="0.25">
      <c r="A3926" t="s">
        <v>4371</v>
      </c>
      <c r="B3926" s="2" t="str">
        <f t="shared" si="3580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3594"/>
        <v>e</v>
      </c>
      <c r="N3926" t="str">
        <f t="shared" si="3595"/>
        <v>7/2</v>
      </c>
      <c r="O3926">
        <v>64857.15</v>
      </c>
      <c r="P3926" t="str">
        <f t="shared" si="3596"/>
        <v>o</v>
      </c>
      <c r="Q3926" t="str">
        <f t="shared" si="3597"/>
        <v>9/2</v>
      </c>
      <c r="R3926">
        <v>36</v>
      </c>
      <c r="AA3926" s="10">
        <f t="shared" si="3581"/>
        <v>2294.8580000000002</v>
      </c>
      <c r="AB3926" s="3">
        <f t="shared" si="3582"/>
        <v>43562.26</v>
      </c>
      <c r="AC3926" s="3" cm="1">
        <f t="array" ref="AC3926">100000000/LvacE(AA3926)</f>
        <v>43562.256591478144</v>
      </c>
      <c r="AD3926" s="10">
        <f t="shared" si="3583"/>
        <v>1.4491274970276625E-2</v>
      </c>
      <c r="AE3926" s="10" t="b">
        <f t="shared" si="3584"/>
        <v>1</v>
      </c>
      <c r="AJ3926" t="s">
        <v>4791</v>
      </c>
      <c r="AK3926" t="s">
        <v>4854</v>
      </c>
      <c r="AL3926">
        <v>21294.89</v>
      </c>
      <c r="AM3926">
        <v>64857.15</v>
      </c>
      <c r="AN3926" s="10" cm="1">
        <f t="array" ref="AN3926">Lair(100000000/($AM3926-$AL3926))</f>
        <v>2294.8578259890651</v>
      </c>
      <c r="AO3926" s="10">
        <f t="shared" si="3598"/>
        <v>2295.5650143036655</v>
      </c>
      <c r="AP3926" s="12">
        <v>118000000</v>
      </c>
      <c r="AQ3926" s="3">
        <v>0.27100000000000002</v>
      </c>
      <c r="AR3926" s="3">
        <f t="shared" si="3601"/>
        <v>-6.9683216858171848</v>
      </c>
      <c r="AS3926" s="13">
        <f t="shared" si="3599"/>
        <v>34.965344228102303</v>
      </c>
      <c r="AT3926" s="3">
        <f t="shared" si="3600"/>
        <v>1.474915864361104</v>
      </c>
      <c r="AU3926" s="13" cm="1">
        <f t="array" ref="AU3926">$C3926*EXP(poly_from_str(100000000/$E3926,AU$4343))</f>
        <v>48.382549966087005</v>
      </c>
      <c r="AV3926" s="13">
        <f t="shared" si="3602"/>
        <v>-0.32478180478147045</v>
      </c>
      <c r="AW3926" s="13"/>
      <c r="AX3926" s="13"/>
      <c r="AY3926" s="13"/>
    </row>
    <row r="3927" spans="1:51" x14ac:dyDescent="0.25">
      <c r="A3927" t="s">
        <v>4372</v>
      </c>
      <c r="B3927" s="2" t="str">
        <f t="shared" si="3580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3581"/>
        <v>2294.73</v>
      </c>
      <c r="AB3927" s="3">
        <f t="shared" si="3582"/>
        <v>43564.69</v>
      </c>
      <c r="AC3927" s="3" cm="1">
        <f t="array" ref="AC3927">100000000/LvacE(AA3927)</f>
        <v>43564.686276280314</v>
      </c>
      <c r="AD3927" s="10">
        <f t="shared" si="3583"/>
        <v>1.4492333798808644E-2</v>
      </c>
      <c r="AE3927" s="10" t="b">
        <f t="shared" si="3584"/>
        <v>1</v>
      </c>
      <c r="AP3927"/>
      <c r="AQ3927"/>
      <c r="AU3927" s="13" cm="1">
        <f t="array" ref="AU3927">$C3927*EXP(poly_from_str(100000000/$E3927,AU$4343))</f>
        <v>48.42003712489511</v>
      </c>
    </row>
    <row r="3928" spans="1:51" x14ac:dyDescent="0.25">
      <c r="A3928" t="s">
        <v>4373</v>
      </c>
      <c r="B3928" s="2" t="str">
        <f t="shared" si="3580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3603">$G3928&amp;""</f>
        <v>e</v>
      </c>
      <c r="N3928" t="str">
        <f t="shared" ref="N3928:N3929" si="3604">$H3928&amp;""</f>
        <v>9/2</v>
      </c>
      <c r="O3928">
        <v>79395.55</v>
      </c>
      <c r="P3928" t="str">
        <f t="shared" ref="P3928:P3929" si="3605">$J3928&amp;""</f>
        <v>o</v>
      </c>
      <c r="Q3928" t="str">
        <f t="shared" ref="Q3928:Q3929" si="3606">$K3928&amp;""</f>
        <v>7/2</v>
      </c>
      <c r="R3928">
        <v>36</v>
      </c>
      <c r="AA3928" s="10">
        <f t="shared" si="3581"/>
        <v>2294.6010000000001</v>
      </c>
      <c r="AB3928" s="3">
        <f t="shared" si="3582"/>
        <v>43567.13</v>
      </c>
      <c r="AC3928" s="3" cm="1">
        <f t="array" ref="AC3928">100000000/LvacE(AA3928)</f>
        <v>43567.135217198971</v>
      </c>
      <c r="AD3928" s="10">
        <f t="shared" si="3583"/>
        <v>1.4493401078705833E-2</v>
      </c>
      <c r="AE3928" s="10" t="b">
        <f t="shared" si="3584"/>
        <v>1</v>
      </c>
      <c r="AJ3928" t="s">
        <v>4773</v>
      </c>
      <c r="AK3928" t="s">
        <v>4917</v>
      </c>
      <c r="AL3928">
        <v>35828.46</v>
      </c>
      <c r="AM3928">
        <v>79395.55</v>
      </c>
      <c r="AN3928" s="10" cm="1">
        <f t="array" ref="AN3928">Lair(100000000/($AM3928-$AL3928))</f>
        <v>2294.6033872950879</v>
      </c>
      <c r="AO3928" s="10">
        <f t="shared" ref="AO3928:AO3929" si="3607">100000000/($AM3928-$AL3928)</f>
        <v>2295.3105199360339</v>
      </c>
      <c r="AP3928" s="12">
        <v>1580000000</v>
      </c>
      <c r="AQ3928" s="3">
        <v>0.60699999999999998</v>
      </c>
      <c r="AR3928" s="3">
        <f t="shared" ref="AR3928:AR3929" si="3608">LN(AU3928*100000000/($AM3928-$AL3928)/AP3928)</f>
        <v>-9.4435919989161885</v>
      </c>
      <c r="AS3928" s="13">
        <f t="shared" ref="AS3928:AS3929" si="3609">EXP(AR$4341*$AM3928+AR$4342)*$AP3928/(100000000/($AM3928-$AL3928))</f>
        <v>157.26054675974896</v>
      </c>
      <c r="AT3928" s="3">
        <f t="shared" ref="AT3928:AT3929" si="3610">LN(AS3928/$C3928)</f>
        <v>2.8606793860095396</v>
      </c>
      <c r="AU3928" s="13" cm="1">
        <f t="array" ref="AU3928">$C3928*EXP(poly_from_str(100000000/$E3928,AU$4343))</f>
        <v>54.514965969803342</v>
      </c>
      <c r="AV3928" s="13">
        <f t="shared" ref="AV3928:AV3929" si="3611">LN(AS3928/AU3928)</f>
        <v>1.0594286944230789</v>
      </c>
      <c r="AW3928" s="13"/>
      <c r="AX3928" s="13"/>
      <c r="AY3928" s="13"/>
    </row>
    <row r="3929" spans="1:51" x14ac:dyDescent="0.25">
      <c r="A3929" t="s">
        <v>4374</v>
      </c>
      <c r="B3929" s="2" t="str">
        <f t="shared" si="3580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3603"/>
        <v>e</v>
      </c>
      <c r="N3929" t="str">
        <f t="shared" si="3604"/>
        <v>7/2</v>
      </c>
      <c r="O3929">
        <v>68978.55</v>
      </c>
      <c r="P3929" t="str">
        <f t="shared" si="3605"/>
        <v>o</v>
      </c>
      <c r="Q3929" t="str">
        <f t="shared" si="3606"/>
        <v>5/2</v>
      </c>
      <c r="R3929">
        <v>36</v>
      </c>
      <c r="AA3929" s="10">
        <f t="shared" si="3581"/>
        <v>2294.511</v>
      </c>
      <c r="AB3929" s="3">
        <f t="shared" si="3582"/>
        <v>43568.84</v>
      </c>
      <c r="AC3929" s="3" cm="1">
        <f t="array" ref="AC3929">100000000/LvacE(AA3929)</f>
        <v>43568.843943673986</v>
      </c>
      <c r="AD3929" s="10">
        <f t="shared" si="3583"/>
        <v>1.4494145799186404E-2</v>
      </c>
      <c r="AE3929" s="10" t="b">
        <f t="shared" si="3584"/>
        <v>1</v>
      </c>
      <c r="AJ3929" t="s">
        <v>4720</v>
      </c>
      <c r="AK3929" t="s">
        <v>4918</v>
      </c>
      <c r="AL3929">
        <v>25409.74</v>
      </c>
      <c r="AM3929">
        <v>68978.55</v>
      </c>
      <c r="AN3929" s="10" cm="1">
        <f t="array" ref="AN3929">Lair(100000000/($AM3929-$AL3929))</f>
        <v>2294.5127933473586</v>
      </c>
      <c r="AO3929" s="10">
        <f t="shared" si="3607"/>
        <v>2295.2199061668198</v>
      </c>
      <c r="AP3929" s="12">
        <v>287000000</v>
      </c>
      <c r="AQ3929" s="3">
        <v>0.436</v>
      </c>
      <c r="AR3929" s="3">
        <f t="shared" si="3608"/>
        <v>-7.8551705140974111</v>
      </c>
      <c r="AS3929" s="13">
        <f t="shared" si="3609"/>
        <v>62.427608994379327</v>
      </c>
      <c r="AT3929" s="3">
        <f t="shared" si="3610"/>
        <v>2.0545660876755982</v>
      </c>
      <c r="AU3929" s="13" cm="1">
        <f t="array" ref="AU3929">$C3929*EXP(poly_from_str(100000000/$E3929,AU$4343))</f>
        <v>48.484216987401112</v>
      </c>
      <c r="AV3929" s="13">
        <f t="shared" si="3611"/>
        <v>0.25276930731371511</v>
      </c>
      <c r="AW3929" s="13"/>
      <c r="AX3929" s="13"/>
      <c r="AY3929" s="13"/>
    </row>
    <row r="3930" spans="1:51" x14ac:dyDescent="0.25">
      <c r="A3930" t="s">
        <v>4375</v>
      </c>
      <c r="B3930" s="2" t="str">
        <f t="shared" si="3580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3581"/>
        <v>2294.4</v>
      </c>
      <c r="AB3930" s="3">
        <f t="shared" si="3582"/>
        <v>43570.95</v>
      </c>
      <c r="AC3930" s="3" cm="1">
        <f t="array" ref="AC3930">100000000/LvacE(AA3930)</f>
        <v>43570.951557578861</v>
      </c>
      <c r="AD3930" s="10">
        <f t="shared" si="3583"/>
        <v>1.4495064408468199E-2</v>
      </c>
      <c r="AE3930" s="10" t="b">
        <f t="shared" si="3584"/>
        <v>1</v>
      </c>
      <c r="AP3930"/>
      <c r="AQ3930"/>
      <c r="AU3930" s="13" cm="1">
        <f t="array" ref="AU3930">$C3930*EXP(poly_from_str(100000000/$E3930,AU$4343))</f>
        <v>6.0646156350540235</v>
      </c>
    </row>
    <row r="3931" spans="1:51" x14ac:dyDescent="0.25">
      <c r="A3931" t="s">
        <v>4376</v>
      </c>
      <c r="B3931" s="2" t="str">
        <f t="shared" si="3580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3581"/>
        <v>2294.268</v>
      </c>
      <c r="AB3931" s="3">
        <f t="shared" si="3582"/>
        <v>43573.46</v>
      </c>
      <c r="AC3931" s="3" cm="1">
        <f t="array" ref="AC3931">100000000/LvacE(AA3931)</f>
        <v>43573.458174662541</v>
      </c>
      <c r="AD3931" s="10">
        <f t="shared" si="3583"/>
        <v>1.4496156982240643E-2</v>
      </c>
      <c r="AE3931" s="10" t="b">
        <f t="shared" si="3584"/>
        <v>1</v>
      </c>
      <c r="AP3931"/>
      <c r="AQ3931"/>
      <c r="AU3931" s="13" cm="1">
        <f t="array" ref="AU3931">$C3931*EXP(poly_from_str(100000000/$E3931,AU$4343))</f>
        <v>6.0694876772607067</v>
      </c>
    </row>
    <row r="3932" spans="1:51" x14ac:dyDescent="0.25">
      <c r="A3932" t="s">
        <v>4377</v>
      </c>
      <c r="B3932" s="2" t="str">
        <f t="shared" si="3580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3612">$G3932&amp;""</f>
        <v>e</v>
      </c>
      <c r="N3932" t="str">
        <f t="shared" ref="N3932:N3935" si="3613">$H3932&amp;""</f>
        <v>7/2</v>
      </c>
      <c r="O3932">
        <v>68987.070000000007</v>
      </c>
      <c r="P3932" t="str">
        <f t="shared" ref="P3932:P3935" si="3614">$J3932&amp;""</f>
        <v>o</v>
      </c>
      <c r="Q3932" t="str">
        <f t="shared" ref="Q3932:Q3935" si="3615">$K3932&amp;""</f>
        <v>7/2</v>
      </c>
      <c r="R3932">
        <v>36</v>
      </c>
      <c r="AA3932" s="10">
        <f t="shared" si="3581"/>
        <v>2294.0630000000001</v>
      </c>
      <c r="AB3932" s="3">
        <f t="shared" si="3582"/>
        <v>43577.35</v>
      </c>
      <c r="AC3932" s="3" cm="1">
        <f t="array" ref="AC3932">100000000/LvacE(AA3932)</f>
        <v>43577.351598707319</v>
      </c>
      <c r="AD3932" s="10">
        <f t="shared" si="3583"/>
        <v>1.4497854156295471E-2</v>
      </c>
      <c r="AE3932" s="10" t="b">
        <f t="shared" si="3584"/>
        <v>1</v>
      </c>
      <c r="AJ3932" t="s">
        <v>4720</v>
      </c>
      <c r="AK3932" t="s">
        <v>4920</v>
      </c>
      <c r="AL3932">
        <v>25409.74</v>
      </c>
      <c r="AM3932">
        <v>68987.070000000007</v>
      </c>
      <c r="AN3932" s="10" cm="1">
        <f t="array" ref="AN3932">Lair(100000000/($AM3932-$AL3932))</f>
        <v>2294.0641427209953</v>
      </c>
      <c r="AO3932" s="10">
        <f t="shared" ref="AO3932:AO3935" si="3616">100000000/($AM3932-$AL3932)</f>
        <v>2294.7711573884862</v>
      </c>
      <c r="AP3932" s="12">
        <v>44900000</v>
      </c>
      <c r="AQ3932" s="3">
        <v>4.1000000000000002E-2</v>
      </c>
      <c r="AR3932" s="3"/>
      <c r="AS3932" s="13">
        <f t="shared" ref="AS3932:AS3935" si="3617">EXP(AR$4341*$AM3932+AR$4342)*$AP3932/(100000000/($AM3932-$AL3932))</f>
        <v>9.7622152164290164</v>
      </c>
      <c r="AT3932" s="3"/>
      <c r="AU3932" s="13" cm="1">
        <f t="array" ref="AU3932">$C3932*EXP(poly_from_str(100000000/$E3932,AU$4343))</f>
        <v>30.385282852423106</v>
      </c>
      <c r="AV3932" s="13"/>
      <c r="AW3932" s="13"/>
      <c r="AX3932" s="13"/>
      <c r="AY3932" s="13"/>
    </row>
    <row r="3933" spans="1:51" x14ac:dyDescent="0.25">
      <c r="A3933" t="s">
        <v>4378</v>
      </c>
      <c r="B3933" s="2" t="str">
        <f t="shared" si="3580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3612"/>
        <v>e</v>
      </c>
      <c r="N3933" t="str">
        <f t="shared" si="3613"/>
        <v>9/2</v>
      </c>
      <c r="O3933">
        <v>68374.539999999994</v>
      </c>
      <c r="P3933" t="str">
        <f t="shared" si="3614"/>
        <v>o</v>
      </c>
      <c r="Q3933" t="str">
        <f t="shared" si="3615"/>
        <v>9/2</v>
      </c>
      <c r="R3933">
        <v>36</v>
      </c>
      <c r="AA3933" s="10">
        <f t="shared" si="3581"/>
        <v>2293.576</v>
      </c>
      <c r="AB3933" s="3">
        <f t="shared" si="3582"/>
        <v>43586.6</v>
      </c>
      <c r="AC3933" s="3" cm="1">
        <f t="array" ref="AC3933">100000000/LvacE(AA3933)</f>
        <v>43586.603644939838</v>
      </c>
      <c r="AD3933" s="10">
        <f t="shared" si="3583"/>
        <v>1.450188780422795E-2</v>
      </c>
      <c r="AE3933" s="10" t="b">
        <f t="shared" si="3584"/>
        <v>1</v>
      </c>
      <c r="AJ3933" t="s">
        <v>4705</v>
      </c>
      <c r="AK3933" t="s">
        <v>4739</v>
      </c>
      <c r="AL3933">
        <v>24788.02</v>
      </c>
      <c r="AM3933">
        <v>68374.539999999994</v>
      </c>
      <c r="AN3933" s="10" cm="1">
        <f t="array" ref="AN3933">Lair(100000000/($AM3933-$AL3933))</f>
        <v>2293.5804074942521</v>
      </c>
      <c r="AO3933" s="10">
        <f t="shared" si="3616"/>
        <v>2294.2873163537724</v>
      </c>
      <c r="AP3933" s="12">
        <v>170000000</v>
      </c>
      <c r="AQ3933" s="3">
        <v>0.221</v>
      </c>
      <c r="AR3933" s="3">
        <f>LN(AU3933*100000000/($AM3933-$AL3933)/AP3933)</f>
        <v>-7.4597289534907709</v>
      </c>
      <c r="AS3933" s="13">
        <f t="shared" si="3617"/>
        <v>38.708501191260559</v>
      </c>
      <c r="AT3933" s="3">
        <f t="shared" ref="AT3933" si="3618">LN(AS3933/$C3933)</f>
        <v>1.710149095881536</v>
      </c>
      <c r="AU3933" s="13" cm="1">
        <f t="array" ref="AU3933">$C3933*EXP(poly_from_str(100000000/$E3933,AU$4343))</f>
        <v>42.666006598849137</v>
      </c>
      <c r="AV3933" s="13">
        <f>LN(AS3933/AU3933)</f>
        <v>-9.7343259855517825E-2</v>
      </c>
      <c r="AW3933" s="13"/>
      <c r="AX3933" s="13"/>
      <c r="AY3933" s="13"/>
    </row>
    <row r="3934" spans="1:51" x14ac:dyDescent="0.25">
      <c r="A3934" t="s">
        <v>4379</v>
      </c>
      <c r="B3934" s="2" t="str">
        <f t="shared" si="3580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3612"/>
        <v>e</v>
      </c>
      <c r="N3934" t="str">
        <f t="shared" si="3613"/>
        <v>7/2</v>
      </c>
      <c r="O3934">
        <v>67240.350000000006</v>
      </c>
      <c r="P3934" t="str">
        <f t="shared" si="3614"/>
        <v>o</v>
      </c>
      <c r="Q3934" t="str">
        <f t="shared" si="3615"/>
        <v>7/2</v>
      </c>
      <c r="R3934">
        <v>36</v>
      </c>
      <c r="S3934" t="s">
        <v>159</v>
      </c>
      <c r="AA3934" s="10">
        <f t="shared" si="3581"/>
        <v>2293.48</v>
      </c>
      <c r="AB3934" s="3">
        <f t="shared" si="3582"/>
        <v>43588.43</v>
      </c>
      <c r="AC3934" s="3" cm="1">
        <f t="array" ref="AC3934">100000000/LvacE(AA3934)</f>
        <v>43588.427920451533</v>
      </c>
      <c r="AD3934" s="10">
        <f t="shared" si="3583"/>
        <v>1.4502683241286504E-2</v>
      </c>
      <c r="AE3934" s="10" t="b">
        <f t="shared" si="3584"/>
        <v>1</v>
      </c>
      <c r="AJ3934" t="s">
        <v>4759</v>
      </c>
      <c r="AK3934" t="s">
        <v>4852</v>
      </c>
      <c r="AL3934">
        <v>23651.88</v>
      </c>
      <c r="AM3934">
        <v>67240.350000000006</v>
      </c>
      <c r="AN3934" s="10" cm="1">
        <f t="array" ref="AN3934">Lair(100000000/($AM3934-$AL3934))</f>
        <v>2293.4777913202552</v>
      </c>
      <c r="AO3934" s="10">
        <f t="shared" si="3616"/>
        <v>2294.1846777370251</v>
      </c>
      <c r="AP3934" s="12">
        <v>29100000</v>
      </c>
      <c r="AQ3934" s="3">
        <v>3.5000000000000003E-2</v>
      </c>
      <c r="AR3934" s="3"/>
      <c r="AS3934" s="13">
        <f t="shared" si="3617"/>
        <v>7.2149914288211621</v>
      </c>
      <c r="AT3934" s="3"/>
      <c r="AU3934" s="13" cm="1">
        <f t="array" ref="AU3934">$C3934*EXP(poly_from_str(100000000/$E3934,AU$4343))</f>
        <v>6.0987370814368314</v>
      </c>
      <c r="AV3934" s="13"/>
      <c r="AW3934" s="13"/>
      <c r="AX3934" s="13"/>
      <c r="AY3934" s="13"/>
    </row>
    <row r="3935" spans="1:51" x14ac:dyDescent="0.25">
      <c r="A3935" t="s">
        <v>4380</v>
      </c>
      <c r="B3935" s="2" t="str">
        <f t="shared" si="3580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3612"/>
        <v>e</v>
      </c>
      <c r="N3935" t="str">
        <f t="shared" si="3613"/>
        <v>11/2</v>
      </c>
      <c r="O3935">
        <v>69686.259999999995</v>
      </c>
      <c r="P3935" t="str">
        <f t="shared" si="3614"/>
        <v>o</v>
      </c>
      <c r="Q3935" t="str">
        <f t="shared" si="3615"/>
        <v>9/2</v>
      </c>
      <c r="R3935">
        <v>36</v>
      </c>
      <c r="AA3935" s="10">
        <f t="shared" si="3581"/>
        <v>2293.3440000000001</v>
      </c>
      <c r="AB3935" s="3">
        <f t="shared" si="3582"/>
        <v>43591.01</v>
      </c>
      <c r="AC3935" s="3" cm="1">
        <f t="array" ref="AC3935">100000000/LvacE(AA3935)</f>
        <v>43591.01257215329</v>
      </c>
      <c r="AD3935" s="10">
        <f t="shared" si="3583"/>
        <v>1.450381028143909E-2</v>
      </c>
      <c r="AE3935" s="10" t="b">
        <f t="shared" si="3584"/>
        <v>1</v>
      </c>
      <c r="AJ3935" t="s">
        <v>4738</v>
      </c>
      <c r="AK3935" t="s">
        <v>4838</v>
      </c>
      <c r="AL3935">
        <v>26095.23</v>
      </c>
      <c r="AM3935">
        <v>69686.259999999995</v>
      </c>
      <c r="AN3935" s="10" cm="1">
        <f t="array" ref="AN3935">Lair(100000000/($AM3935-$AL3935))</f>
        <v>2293.3430886387055</v>
      </c>
      <c r="AO3935" s="10">
        <f t="shared" si="3616"/>
        <v>2294.0499455966055</v>
      </c>
      <c r="AP3935" s="12">
        <v>26300000</v>
      </c>
      <c r="AQ3935" s="3">
        <v>3.2000000000000001E-2</v>
      </c>
      <c r="AR3935" s="3"/>
      <c r="AS3935" s="13">
        <f t="shared" si="3617"/>
        <v>5.4275773718994769</v>
      </c>
      <c r="AT3935" s="3"/>
      <c r="AU3935" s="13" cm="1">
        <f t="array" ref="AU3935">$C3935*EXP(poly_from_str(100000000/$E3935,AU$4343))</f>
        <v>6.1038114352829584</v>
      </c>
      <c r="AV3935" s="13"/>
      <c r="AW3935" s="13"/>
      <c r="AX3935" s="13"/>
      <c r="AY3935" s="13"/>
    </row>
    <row r="3936" spans="1:51" x14ac:dyDescent="0.25">
      <c r="A3936" t="s">
        <v>4381</v>
      </c>
      <c r="B3936" s="2" t="str">
        <f t="shared" si="3580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3581"/>
        <v>2293.1570000000002</v>
      </c>
      <c r="AB3936" s="3">
        <f t="shared" si="3582"/>
        <v>43594.57</v>
      </c>
      <c r="AC3936" s="3" cm="1">
        <f t="array" ref="AC3936">100000000/LvacE(AA3936)</f>
        <v>43594.566968728541</v>
      </c>
      <c r="AD3936" s="10">
        <f t="shared" si="3583"/>
        <v>1.4505360289053158E-2</v>
      </c>
      <c r="AE3936" s="10" t="b">
        <f t="shared" si="3584"/>
        <v>1</v>
      </c>
      <c r="AP3936"/>
      <c r="AQ3936"/>
      <c r="AU3936" s="13" cm="1">
        <f t="array" ref="AU3936">$C3936*EXP(poly_from_str(100000000/$E3936,AU$4343))</f>
        <v>6.1108294594291293</v>
      </c>
    </row>
    <row r="3937" spans="1:51" x14ac:dyDescent="0.25">
      <c r="A3937" t="s">
        <v>4382</v>
      </c>
      <c r="B3937" s="2" t="str">
        <f t="shared" si="3580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3619">$G3937&amp;""</f>
        <v>e</v>
      </c>
      <c r="N3937" t="str">
        <f t="shared" ref="N3937:N3940" si="3620">$H3937&amp;""</f>
        <v>9/2</v>
      </c>
      <c r="O3937">
        <v>58158.080000000002</v>
      </c>
      <c r="P3937" t="str">
        <f t="shared" ref="P3937:P3940" si="3621">$J3937&amp;""</f>
        <v>o</v>
      </c>
      <c r="Q3937" t="str">
        <f t="shared" ref="Q3937:Q3940" si="3622">$K3937&amp;""</f>
        <v>7/2</v>
      </c>
      <c r="R3937">
        <v>36</v>
      </c>
      <c r="AA3937" s="10">
        <f t="shared" si="3581"/>
        <v>2292.9070000000002</v>
      </c>
      <c r="AB3937" s="3">
        <f t="shared" si="3582"/>
        <v>43599.32</v>
      </c>
      <c r="AC3937" s="3" cm="1">
        <f t="array" ref="AC3937">100000000/LvacE(AA3937)</f>
        <v>43599.319741284191</v>
      </c>
      <c r="AD3937" s="10">
        <f t="shared" si="3583"/>
        <v>1.4507433084133849E-2</v>
      </c>
      <c r="AE3937" s="10" t="b">
        <f t="shared" si="3584"/>
        <v>1</v>
      </c>
      <c r="AJ3937" t="s">
        <v>4753</v>
      </c>
      <c r="AK3937" t="s">
        <v>4902</v>
      </c>
      <c r="AL3937">
        <v>14558.82</v>
      </c>
      <c r="AM3937">
        <v>58158.080000000002</v>
      </c>
      <c r="AN3937" s="10" cm="1">
        <f t="array" ref="AN3937">Lair(100000000/($AM3937-$AL3937))</f>
        <v>2292.910147725448</v>
      </c>
      <c r="AO3937" s="10">
        <f t="shared" ref="AO3937:AO3940" si="3623">100000000/($AM3937-$AL3937)</f>
        <v>2293.6169100117754</v>
      </c>
      <c r="AP3937" s="12">
        <v>180000000</v>
      </c>
      <c r="AQ3937" s="3">
        <v>0.121</v>
      </c>
      <c r="AR3937" s="3">
        <f t="shared" ref="AR3937:AR3940" si="3624">LN(AU3937*100000000/($AM3937-$AL3937)/AP3937)</f>
        <v>-7.3795420885582148</v>
      </c>
      <c r="AS3937" s="13">
        <f t="shared" ref="AS3937:AS3940" si="3625">EXP(AR$4341*$AM3937+AR$4342)*$AP3937/(100000000/($AM3937-$AL3937))</f>
        <v>88.254274310530676</v>
      </c>
      <c r="AT3937" s="3">
        <f t="shared" ref="AT3937:AT3940" si="3626">LN(AS3937/$C3937)</f>
        <v>2.4007805870743386</v>
      </c>
      <c r="AU3937" s="13" cm="1">
        <f t="array" ref="AU3937">$C3937*EXP(poly_from_str(100000000/$E3937,AU$4343))</f>
        <v>48.961781924569202</v>
      </c>
      <c r="AV3937" s="13">
        <f t="shared" ref="AV3937:AV3940" si="3627">LN(AS3937/AU3937)</f>
        <v>0.58918209569424285</v>
      </c>
      <c r="AW3937" s="13"/>
      <c r="AX3937" s="13"/>
      <c r="AY3937" s="13"/>
    </row>
    <row r="3938" spans="1:51" x14ac:dyDescent="0.25">
      <c r="A3938" t="s">
        <v>4383</v>
      </c>
      <c r="B3938" s="2" t="str">
        <f t="shared" si="3580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3619"/>
        <v>e</v>
      </c>
      <c r="N3938" t="str">
        <f t="shared" si="3620"/>
        <v>1/2</v>
      </c>
      <c r="O3938">
        <v>75409.58</v>
      </c>
      <c r="P3938" t="str">
        <f t="shared" si="3621"/>
        <v>o</v>
      </c>
      <c r="Q3938" t="str">
        <f t="shared" si="3622"/>
        <v>3/2</v>
      </c>
      <c r="R3938">
        <v>36</v>
      </c>
      <c r="AA3938" s="10">
        <f t="shared" si="3581"/>
        <v>2292.558</v>
      </c>
      <c r="AB3938" s="3">
        <f t="shared" si="3582"/>
        <v>43605.96</v>
      </c>
      <c r="AC3938" s="3" cm="1">
        <f t="array" ref="AC3938">100000000/LvacE(AA3938)</f>
        <v>43605.956345004161</v>
      </c>
      <c r="AD3938" s="10">
        <f t="shared" si="3583"/>
        <v>1.4510327840125344E-2</v>
      </c>
      <c r="AE3938" s="10" t="b">
        <f t="shared" si="3584"/>
        <v>1</v>
      </c>
      <c r="AJ3938" t="s">
        <v>4703</v>
      </c>
      <c r="AK3938" t="s">
        <v>4905</v>
      </c>
      <c r="AL3938">
        <v>31803.7</v>
      </c>
      <c r="AM3938">
        <v>75409.58</v>
      </c>
      <c r="AN3938" s="10" cm="1">
        <f t="array" ref="AN3938">Lair(100000000/($AM3938-$AL3938))</f>
        <v>2292.5620197908243</v>
      </c>
      <c r="AO3938" s="10">
        <f t="shared" si="3623"/>
        <v>2293.2687059635073</v>
      </c>
      <c r="AP3938" s="12">
        <v>346000000</v>
      </c>
      <c r="AQ3938" s="3">
        <v>0.72399999999999998</v>
      </c>
      <c r="AR3938" s="3">
        <f t="shared" si="3624"/>
        <v>-8.0310234527672382</v>
      </c>
      <c r="AS3938" s="13">
        <f t="shared" si="3625"/>
        <v>46.487650687088305</v>
      </c>
      <c r="AT3938" s="3">
        <f t="shared" si="3626"/>
        <v>1.7597451590200017</v>
      </c>
      <c r="AU3938" s="13" cm="1">
        <f t="array" ref="AU3938">$C3938*EXP(poly_from_str(100000000/$E3938,AU$4343))</f>
        <v>49.067280067869149</v>
      </c>
      <c r="AV3938" s="13">
        <f t="shared" si="3627"/>
        <v>-5.4005718231889613E-2</v>
      </c>
      <c r="AW3938" s="13"/>
      <c r="AX3938" s="13"/>
      <c r="AY3938" s="13"/>
    </row>
    <row r="3939" spans="1:51" x14ac:dyDescent="0.25">
      <c r="A3939" t="s">
        <v>4384</v>
      </c>
      <c r="B3939" s="2" t="str">
        <f t="shared" si="3580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3619"/>
        <v>e</v>
      </c>
      <c r="N3939" t="str">
        <f t="shared" si="3620"/>
        <v>11/2</v>
      </c>
      <c r="O3939">
        <v>67049.179999999993</v>
      </c>
      <c r="P3939" t="str">
        <f t="shared" si="3621"/>
        <v>o</v>
      </c>
      <c r="Q3939" t="str">
        <f t="shared" si="3622"/>
        <v>9/2</v>
      </c>
      <c r="R3939">
        <v>36</v>
      </c>
      <c r="AA3939" s="10">
        <f t="shared" si="3581"/>
        <v>2292.5079999999998</v>
      </c>
      <c r="AB3939" s="3">
        <f t="shared" si="3582"/>
        <v>43606.91</v>
      </c>
      <c r="AC3939" s="3" cm="1">
        <f t="array" ref="AC3939">100000000/LvacE(AA3939)</f>
        <v>43606.907313280717</v>
      </c>
      <c r="AD3939" s="10">
        <f t="shared" si="3583"/>
        <v>1.4510742669879607E-2</v>
      </c>
      <c r="AE3939" s="10" t="b">
        <f t="shared" si="3584"/>
        <v>1</v>
      </c>
      <c r="AJ3939" t="s">
        <v>4782</v>
      </c>
      <c r="AK3939" t="s">
        <v>4862</v>
      </c>
      <c r="AL3939">
        <v>23442.25</v>
      </c>
      <c r="AM3939">
        <v>67049.179999999993</v>
      </c>
      <c r="AN3939" s="10" cm="1">
        <f t="array" ref="AN3939">Lair(100000000/($AM3939-$AL3939))</f>
        <v>2292.506812835521</v>
      </c>
      <c r="AO3939" s="10">
        <f t="shared" si="3623"/>
        <v>2293.2134869388883</v>
      </c>
      <c r="AP3939" s="12">
        <v>59400000</v>
      </c>
      <c r="AQ3939" s="3">
        <v>8.4000000000000005E-2</v>
      </c>
      <c r="AR3939" s="3">
        <f t="shared" si="3624"/>
        <v>-6.2685945347082539</v>
      </c>
      <c r="AS3939" s="13">
        <f t="shared" si="3625"/>
        <v>14.946649520440268</v>
      </c>
      <c r="AT3939" s="3">
        <f t="shared" si="3626"/>
        <v>0.62504562069480252</v>
      </c>
      <c r="AU3939" s="13" cm="1">
        <f t="array" ref="AU3939">$C3939*EXP(poly_from_str(100000000/$E3939,AU$4343))</f>
        <v>49.082417126346378</v>
      </c>
      <c r="AV3939" s="13">
        <f t="shared" si="3627"/>
        <v>-1.1890137049584586</v>
      </c>
      <c r="AW3939" s="13"/>
      <c r="AX3939" s="13"/>
      <c r="AY3939" s="13"/>
    </row>
    <row r="3940" spans="1:51" x14ac:dyDescent="0.25">
      <c r="A3940" t="s">
        <v>4385</v>
      </c>
      <c r="B3940" s="2" t="str">
        <f t="shared" si="3580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3619"/>
        <v>e</v>
      </c>
      <c r="N3940" t="str">
        <f t="shared" si="3620"/>
        <v>9/2</v>
      </c>
      <c r="O3940">
        <v>58174.15</v>
      </c>
      <c r="P3940" t="str">
        <f t="shared" si="3621"/>
        <v>o</v>
      </c>
      <c r="Q3940" t="str">
        <f t="shared" si="3622"/>
        <v>9/2</v>
      </c>
      <c r="R3940">
        <v>36</v>
      </c>
      <c r="AA3940" s="10">
        <f t="shared" si="3581"/>
        <v>2292.0619999999999</v>
      </c>
      <c r="AB3940" s="3">
        <f t="shared" si="3582"/>
        <v>43615.39</v>
      </c>
      <c r="AC3940" s="3" cm="1">
        <f t="array" ref="AC3940">100000000/LvacE(AA3940)</f>
        <v>43615.391785594366</v>
      </c>
      <c r="AD3940" s="10">
        <f t="shared" si="3583"/>
        <v>1.4514444152382084E-2</v>
      </c>
      <c r="AE3940" s="10" t="b">
        <f t="shared" si="3584"/>
        <v>1</v>
      </c>
      <c r="AJ3940" t="s">
        <v>4753</v>
      </c>
      <c r="AK3940" t="s">
        <v>4698</v>
      </c>
      <c r="AL3940">
        <v>14558.82</v>
      </c>
      <c r="AM3940">
        <v>58174.15</v>
      </c>
      <c r="AN3940" s="10" cm="1">
        <f t="array" ref="AN3940">Lair(100000000/($AM3940-$AL3940))</f>
        <v>2292.0652528757305</v>
      </c>
      <c r="AO3940" s="10">
        <f t="shared" si="3623"/>
        <v>2292.7718304550258</v>
      </c>
      <c r="AP3940" s="12">
        <v>93500000</v>
      </c>
      <c r="AQ3940" s="3">
        <v>6.2E-2</v>
      </c>
      <c r="AR3940" s="3">
        <f t="shared" si="3624"/>
        <v>-6.7196954792479966</v>
      </c>
      <c r="AS3940" s="13">
        <f t="shared" si="3625"/>
        <v>45.804815570526422</v>
      </c>
      <c r="AT3940" s="3">
        <f t="shared" si="3626"/>
        <v>1.7449476873743925</v>
      </c>
      <c r="AU3940" s="13" cm="1">
        <f t="array" ref="AU3940">$C3940*EXP(poly_from_str(100000000/$E3940,AU$4343))</f>
        <v>49.218016431573218</v>
      </c>
      <c r="AV3940" s="13">
        <f t="shared" si="3627"/>
        <v>-7.1870515047307654E-2</v>
      </c>
      <c r="AW3940" s="13"/>
      <c r="AX3940" s="13"/>
      <c r="AY3940" s="13"/>
    </row>
    <row r="3941" spans="1:51" x14ac:dyDescent="0.25">
      <c r="A3941" t="s">
        <v>4386</v>
      </c>
      <c r="B3941" s="2" t="str">
        <f t="shared" si="3580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3581"/>
        <v>2291.7730000000001</v>
      </c>
      <c r="AB3941" s="3">
        <f t="shared" si="3582"/>
        <v>43620.89</v>
      </c>
      <c r="AC3941" s="3" cm="1">
        <f t="array" ref="AC3941">100000000/LvacE(AA3941)</f>
        <v>43620.891334339729</v>
      </c>
      <c r="AD3941" s="10">
        <f t="shared" si="3583"/>
        <v>1.4516843800485416E-2</v>
      </c>
      <c r="AE3941" s="10" t="b">
        <f t="shared" si="3584"/>
        <v>1</v>
      </c>
      <c r="AP3941"/>
      <c r="AQ3941"/>
      <c r="AU3941" s="13" cm="1">
        <f t="array" ref="AU3941">$C3941*EXP(poly_from_str(100000000/$E3941,AU$4343))</f>
        <v>6.1633035727276777</v>
      </c>
    </row>
    <row r="3942" spans="1:51" x14ac:dyDescent="0.25">
      <c r="A3942" t="s">
        <v>4387</v>
      </c>
      <c r="B3942" s="2" t="str">
        <f t="shared" si="3580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3628">$G3942&amp;""</f>
        <v>e</v>
      </c>
      <c r="N3942" t="str">
        <f t="shared" ref="N3942:N3944" si="3629">$H3942&amp;""</f>
        <v>3/2</v>
      </c>
      <c r="O3942">
        <v>66681.14</v>
      </c>
      <c r="P3942" t="str">
        <f t="shared" ref="P3942:P3944" si="3630">$J3942&amp;""</f>
        <v>o</v>
      </c>
      <c r="Q3942" t="str">
        <f t="shared" ref="Q3942:Q3944" si="3631">$K3942&amp;""</f>
        <v>5/2</v>
      </c>
      <c r="R3942">
        <v>36</v>
      </c>
      <c r="AA3942" s="10">
        <f t="shared" si="3581"/>
        <v>2291.2629999999999</v>
      </c>
      <c r="AB3942" s="3">
        <f t="shared" si="3582"/>
        <v>43630.6</v>
      </c>
      <c r="AC3942" s="3" cm="1">
        <f t="array" ref="AC3942">100000000/LvacE(AA3942)</f>
        <v>43630.599804037643</v>
      </c>
      <c r="AD3942" s="10">
        <f t="shared" si="3583"/>
        <v>1.4521080688693889E-2</v>
      </c>
      <c r="AE3942" s="10" t="b">
        <f t="shared" si="3584"/>
        <v>1</v>
      </c>
      <c r="AJ3942" t="s">
        <v>4769</v>
      </c>
      <c r="AK3942" t="s">
        <v>4851</v>
      </c>
      <c r="AL3942">
        <v>23050.61</v>
      </c>
      <c r="AM3942">
        <v>66681.14</v>
      </c>
      <c r="AN3942" s="10" cm="1">
        <f t="array" ref="AN3942">Lair(100000000/($AM3942-$AL3942))</f>
        <v>2291.2666717628526</v>
      </c>
      <c r="AO3942" s="10">
        <f t="shared" ref="AO3942:AO3944" si="3632">100000000/($AM3942-$AL3942)</f>
        <v>2291.9730748171064</v>
      </c>
      <c r="AP3942" s="12">
        <v>42500000</v>
      </c>
      <c r="AQ3942" s="3">
        <v>5.8000000000000003E-2</v>
      </c>
      <c r="AR3942" s="3">
        <f t="shared" ref="AR3942:AR3944" si="3633">LN(AU3942*100000000/($AM3942-$AL3942)/AP3942)</f>
        <v>-8.0060545583489322</v>
      </c>
      <c r="AS3942" s="13">
        <f t="shared" ref="AS3942:AS3944" si="3634">EXP(AR$4341*$AM3942+AR$4342)*$AP3942/(100000000/($AM3942-$AL3942))</f>
        <v>10.999593014498288</v>
      </c>
      <c r="AT3942" s="3">
        <f t="shared" ref="AT3942:AT3944" si="3635">LN(AS3942/$C3942)</f>
        <v>2.3978582734319285</v>
      </c>
      <c r="AU3942" s="13" cm="1">
        <f t="array" ref="AU3942">$C3942*EXP(poly_from_str(100000000/$E3942,AU$4343))</f>
        <v>6.1829267607314806</v>
      </c>
      <c r="AV3942" s="13">
        <f t="shared" ref="AV3942:AV3944" si="3636">LN(AS3942/AU3942)</f>
        <v>0.57606652818984794</v>
      </c>
      <c r="AW3942" s="13"/>
      <c r="AX3942" s="13"/>
      <c r="AY3942" s="13"/>
    </row>
    <row r="3943" spans="1:51" x14ac:dyDescent="0.25">
      <c r="A3943" t="s">
        <v>4388</v>
      </c>
      <c r="B3943" s="2" t="str">
        <f t="shared" si="3580"/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3628"/>
        <v>e</v>
      </c>
      <c r="N3943" t="str">
        <f t="shared" si="3629"/>
        <v>3/2</v>
      </c>
      <c r="O3943">
        <v>65909.440000000002</v>
      </c>
      <c r="P3943" t="str">
        <f t="shared" si="3630"/>
        <v>o</v>
      </c>
      <c r="Q3943" t="str">
        <f t="shared" si="3631"/>
        <v>5/2</v>
      </c>
      <c r="R3943">
        <v>36</v>
      </c>
      <c r="AA3943" s="10">
        <f t="shared" si="3581"/>
        <v>2291.1990000000001</v>
      </c>
      <c r="AB3943" s="3">
        <f t="shared" si="3582"/>
        <v>43631.82</v>
      </c>
      <c r="AC3943" s="3" cm="1">
        <f t="array" ref="AC3943">100000000/LvacE(AA3943)</f>
        <v>43631.818426963408</v>
      </c>
      <c r="AD3943" s="10">
        <f t="shared" si="3583"/>
        <v>1.4521612576420338E-2</v>
      </c>
      <c r="AE3943" s="10" t="b">
        <f t="shared" si="3584"/>
        <v>1</v>
      </c>
      <c r="AJ3943" t="s">
        <v>4766</v>
      </c>
      <c r="AK3943" t="s">
        <v>4907</v>
      </c>
      <c r="AL3943">
        <v>22277.66</v>
      </c>
      <c r="AM3943">
        <v>65909.440000000002</v>
      </c>
      <c r="AN3943" s="10" cm="1">
        <f t="array" ref="AN3943">Lair(100000000/($AM3943-$AL3943))</f>
        <v>2291.2010237313671</v>
      </c>
      <c r="AO3943" s="10">
        <f t="shared" si="3632"/>
        <v>2291.9074124411154</v>
      </c>
      <c r="AP3943" s="12">
        <v>63700000</v>
      </c>
      <c r="AQ3943" s="3">
        <v>0.249</v>
      </c>
      <c r="AR3943" s="3">
        <f t="shared" si="3633"/>
        <v>-6.8009254516682338</v>
      </c>
      <c r="AS3943" s="13">
        <f t="shared" si="3634"/>
        <v>17.469927845364058</v>
      </c>
      <c r="AT3943" s="3">
        <f t="shared" si="3635"/>
        <v>1.2510430815009346</v>
      </c>
      <c r="AU3943" s="13" cm="1">
        <f t="array" ref="AU3943">$C3943*EXP(poly_from_str(100000000/$E3943,AU$4343))</f>
        <v>30.927012341149947</v>
      </c>
      <c r="AV3943" s="13">
        <f t="shared" si="3636"/>
        <v>-0.57114899388853169</v>
      </c>
      <c r="AW3943" s="13"/>
      <c r="AX3943" s="13"/>
      <c r="AY3943" s="13"/>
    </row>
    <row r="3944" spans="1:51" x14ac:dyDescent="0.25">
      <c r="A3944" t="s">
        <v>4389</v>
      </c>
      <c r="B3944" s="2" t="str">
        <f t="shared" si="3580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3628"/>
        <v>e</v>
      </c>
      <c r="N3944" t="str">
        <f t="shared" si="3629"/>
        <v>11/2</v>
      </c>
      <c r="O3944">
        <v>71021.100000000006</v>
      </c>
      <c r="P3944" t="str">
        <f t="shared" si="3630"/>
        <v>o</v>
      </c>
      <c r="Q3944" t="str">
        <f t="shared" si="3631"/>
        <v>9/2</v>
      </c>
      <c r="R3944">
        <v>36</v>
      </c>
      <c r="AA3944" s="10">
        <f t="shared" si="3581"/>
        <v>2290.7269999999999</v>
      </c>
      <c r="AB3944" s="3">
        <f t="shared" si="3582"/>
        <v>43640.81</v>
      </c>
      <c r="AC3944" s="3" cm="1">
        <f t="array" ref="AC3944">100000000/LvacE(AA3944)</f>
        <v>43640.807873561993</v>
      </c>
      <c r="AD3944" s="10">
        <f t="shared" si="3583"/>
        <v>1.4525536625176635E-2</v>
      </c>
      <c r="AE3944" s="10" t="b">
        <f t="shared" si="3584"/>
        <v>1</v>
      </c>
      <c r="AJ3944" t="s">
        <v>4712</v>
      </c>
      <c r="AK3944" t="s">
        <v>4922</v>
      </c>
      <c r="AL3944">
        <v>27380.31</v>
      </c>
      <c r="AM3944">
        <v>71021.100000000006</v>
      </c>
      <c r="AN3944" s="10" cm="1">
        <f t="array" ref="AN3944">Lair(100000000/($AM3944-$AL3944))</f>
        <v>2290.727943957053</v>
      </c>
      <c r="AO3944" s="10">
        <f t="shared" si="3632"/>
        <v>2291.4342293070308</v>
      </c>
      <c r="AP3944" s="12">
        <v>75600000</v>
      </c>
      <c r="AQ3944" s="3">
        <v>0.106</v>
      </c>
      <c r="AR3944" s="3">
        <f t="shared" si="3633"/>
        <v>-8.5788851676542155</v>
      </c>
      <c r="AS3944" s="13">
        <f t="shared" si="3634"/>
        <v>14.130642601200746</v>
      </c>
      <c r="AT3944" s="3">
        <f t="shared" si="3635"/>
        <v>2.6483456734543376</v>
      </c>
      <c r="AU3944" s="13" cm="1">
        <f t="array" ref="AU3944">$C3944*EXP(poly_from_str(100000000/$E3944,AU$4343))</f>
        <v>6.2037160287608524</v>
      </c>
      <c r="AV3944" s="13">
        <f t="shared" si="3636"/>
        <v>0.82319720146988906</v>
      </c>
      <c r="AW3944" s="13"/>
      <c r="AX3944" s="13"/>
      <c r="AY3944" s="13"/>
    </row>
    <row r="3945" spans="1:51" x14ac:dyDescent="0.25">
      <c r="A3945" t="s">
        <v>4390</v>
      </c>
      <c r="B3945" s="2" t="str">
        <f t="shared" si="3580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3581"/>
        <v>2290.3960000000002</v>
      </c>
      <c r="AB3945" s="3">
        <f t="shared" si="3582"/>
        <v>43647.11</v>
      </c>
      <c r="AC3945" s="3" cm="1">
        <f t="array" ref="AC3945">100000000/LvacE(AA3945)</f>
        <v>43647.11412318478</v>
      </c>
      <c r="AD3945" s="10">
        <f t="shared" si="3583"/>
        <v>1.4528289894669911E-2</v>
      </c>
      <c r="AE3945" s="10" t="b">
        <f t="shared" si="3584"/>
        <v>1</v>
      </c>
      <c r="AP3945"/>
      <c r="AQ3945"/>
      <c r="AU3945" s="13" cm="1">
        <f t="array" ref="AU3945">$C3945*EXP(poly_from_str(100000000/$E3945,AU$4343))</f>
        <v>6.216624030499025</v>
      </c>
    </row>
    <row r="3946" spans="1:51" x14ac:dyDescent="0.25">
      <c r="A3946" t="s">
        <v>4391</v>
      </c>
      <c r="B3946" s="2" t="str">
        <f t="shared" si="3580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3581"/>
        <v>2290.241</v>
      </c>
      <c r="AB3946" s="3">
        <f t="shared" si="3582"/>
        <v>43650.07</v>
      </c>
      <c r="AC3946" s="3" cm="1">
        <f t="array" ref="AC3946">100000000/LvacE(AA3946)</f>
        <v>43650.067827340659</v>
      </c>
      <c r="AD3946" s="10">
        <f t="shared" si="3583"/>
        <v>1.4529579600430841E-2</v>
      </c>
      <c r="AE3946" s="10" t="b">
        <f t="shared" si="3584"/>
        <v>1</v>
      </c>
      <c r="AJ3946" t="s">
        <v>4776</v>
      </c>
      <c r="AK3946" t="s">
        <v>4726</v>
      </c>
      <c r="AL3946">
        <v>16516.150000000001</v>
      </c>
      <c r="AM3946">
        <v>60166.2</v>
      </c>
      <c r="AN3946" s="10" cm="1">
        <f t="array" ref="AN3946">Lair(100000000/($AM3946-$AL3946))</f>
        <v>2290.2419411472379</v>
      </c>
      <c r="AO3946" s="10">
        <f>100000000/($AM3946-$AL3946)</f>
        <v>2290.9481203343412</v>
      </c>
      <c r="AP3946" s="12">
        <v>392000000</v>
      </c>
      <c r="AQ3946" s="3">
        <v>0.48</v>
      </c>
      <c r="AR3946" s="3">
        <f>LN(AU3946*100000000/($AM3946-$AL3946)/AP3946)</f>
        <v>-8.0246212842090934</v>
      </c>
      <c r="AS3946" s="13">
        <f>EXP(AR$4341*$AM3946+AR$4342)*$AP3946/(100000000/($AM3946-$AL3946))</f>
        <v>165.5028587733693</v>
      </c>
      <c r="AT3946" s="3">
        <f>LN(AS3946/$C3946)</f>
        <v>2.9117638908868138</v>
      </c>
      <c r="AU3946" s="13" cm="1">
        <f t="array" ref="AU3946">$C3946*EXP(poly_from_str(100000000/$E3946,AU$4343))</f>
        <v>56.004389765678184</v>
      </c>
      <c r="AV3946" s="13">
        <f>LN(AS3946/AU3946)</f>
        <v>1.0835583918872906</v>
      </c>
      <c r="AW3946" s="13"/>
      <c r="AX3946" s="13"/>
      <c r="AY3946" s="13"/>
    </row>
    <row r="3947" spans="1:51" x14ac:dyDescent="0.25">
      <c r="A3947" t="s">
        <v>4392</v>
      </c>
      <c r="B3947" s="2" t="str">
        <f t="shared" si="3580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3581"/>
        <v>2290.0070000000001</v>
      </c>
      <c r="AB3947" s="3">
        <f t="shared" si="3582"/>
        <v>43654.53</v>
      </c>
      <c r="AC3947" s="3" cm="1">
        <f t="array" ref="AC3947">100000000/LvacE(AA3947)</f>
        <v>43654.527725131593</v>
      </c>
      <c r="AD3947" s="10">
        <f t="shared" si="3583"/>
        <v>1.4531527136190325E-2</v>
      </c>
      <c r="AE3947" s="10" t="b">
        <f t="shared" si="3584"/>
        <v>1</v>
      </c>
      <c r="AP3947"/>
      <c r="AQ3947"/>
      <c r="AU3947" s="13" cm="1">
        <f t="array" ref="AU3947">$C3947*EXP(poly_from_str(100000000/$E3947,AU$4343))</f>
        <v>31.159528696882234</v>
      </c>
    </row>
    <row r="3948" spans="1:51" x14ac:dyDescent="0.25">
      <c r="A3948" t="s">
        <v>4393</v>
      </c>
      <c r="B3948" s="2" t="str">
        <f t="shared" si="3580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3637">$G3948&amp;""</f>
        <v>e</v>
      </c>
      <c r="N3948" t="str">
        <f t="shared" ref="N3948:N3949" si="3638">$H3948&amp;""</f>
        <v>3/2</v>
      </c>
      <c r="O3948">
        <v>67965.47</v>
      </c>
      <c r="P3948" t="str">
        <f t="shared" ref="P3948:P3949" si="3639">$J3948&amp;""</f>
        <v>o</v>
      </c>
      <c r="Q3948" t="str">
        <f t="shared" ref="Q3948:Q3949" si="3640">$K3948&amp;""</f>
        <v>3/2</v>
      </c>
      <c r="R3948">
        <v>36</v>
      </c>
      <c r="S3948" t="s">
        <v>97</v>
      </c>
      <c r="AA3948" s="10">
        <f t="shared" si="3581"/>
        <v>2289.9140000000002</v>
      </c>
      <c r="AB3948" s="3">
        <f t="shared" si="3582"/>
        <v>43656.3</v>
      </c>
      <c r="AC3948" s="3" cm="1">
        <f t="array" ref="AC3948">100000000/LvacE(AA3948)</f>
        <v>43656.30050168102</v>
      </c>
      <c r="AD3948" s="10">
        <f t="shared" si="3583"/>
        <v>1.4532301322600111E-2</v>
      </c>
      <c r="AE3948" s="10" t="b">
        <f t="shared" si="3584"/>
        <v>1</v>
      </c>
      <c r="AJ3948" t="s">
        <v>4749</v>
      </c>
      <c r="AK3948" t="s">
        <v>4835</v>
      </c>
      <c r="AL3948">
        <v>24309.200000000001</v>
      </c>
      <c r="AM3948">
        <v>67965.47</v>
      </c>
      <c r="AN3948" s="10" cm="1">
        <f t="array" ref="AN3948">Lair(100000000/($AM3948-$AL3948))</f>
        <v>2289.9156057599498</v>
      </c>
      <c r="AO3948" s="10">
        <f t="shared" ref="AO3948:AO3949" si="3641">100000000/($AM3948-$AL3948)</f>
        <v>2290.62171367366</v>
      </c>
      <c r="AP3948" s="12">
        <v>15400000</v>
      </c>
      <c r="AQ3948" s="3">
        <v>3.6999999999999998E-2</v>
      </c>
      <c r="AR3948" s="3"/>
      <c r="AS3948" s="13">
        <f t="shared" ref="AS3948:AS3949" si="3642">EXP(AR$4341*$AM3948+AR$4342)*$AP3948/(100000000/($AM3948-$AL3948))</f>
        <v>3.6216389851949073</v>
      </c>
      <c r="AT3948" s="3"/>
      <c r="AU3948" s="13" cm="1">
        <f t="array" ref="AU3948">$C3948*EXP(poly_from_str(100000000/$E3948,AU$4343))</f>
        <v>31.177818872007318</v>
      </c>
      <c r="AV3948" s="13"/>
      <c r="AW3948" s="13"/>
      <c r="AX3948" s="13"/>
      <c r="AY3948" s="13"/>
    </row>
    <row r="3949" spans="1:51" x14ac:dyDescent="0.25">
      <c r="A3949" t="s">
        <v>4394</v>
      </c>
      <c r="B3949" s="2" t="str">
        <f t="shared" si="3580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3637"/>
        <v>e</v>
      </c>
      <c r="N3949" t="str">
        <f t="shared" si="3638"/>
        <v>3/2</v>
      </c>
      <c r="O3949">
        <v>64817.53</v>
      </c>
      <c r="P3949" t="str">
        <f t="shared" si="3639"/>
        <v>o</v>
      </c>
      <c r="Q3949" t="str">
        <f t="shared" si="3640"/>
        <v>5/2</v>
      </c>
      <c r="R3949">
        <v>36</v>
      </c>
      <c r="AA3949" s="10">
        <f t="shared" si="3581"/>
        <v>2289.241</v>
      </c>
      <c r="AB3949" s="3">
        <f t="shared" si="3582"/>
        <v>43669.13</v>
      </c>
      <c r="AC3949" s="3" cm="1">
        <f t="array" ref="AC3949">100000000/LvacE(AA3949)</f>
        <v>43669.133595834493</v>
      </c>
      <c r="AD3949" s="10">
        <f t="shared" si="3583"/>
        <v>1.4537906580354469E-2</v>
      </c>
      <c r="AE3949" s="10" t="b">
        <f t="shared" si="3584"/>
        <v>1</v>
      </c>
      <c r="AJ3949" t="s">
        <v>4789</v>
      </c>
      <c r="AK3949" t="s">
        <v>4882</v>
      </c>
      <c r="AL3949">
        <v>21148.43</v>
      </c>
      <c r="AM3949">
        <v>64817.53</v>
      </c>
      <c r="AN3949" s="10" cm="1">
        <f t="array" ref="AN3949">Lair(100000000/($AM3949-$AL3949))</f>
        <v>2289.2427670563989</v>
      </c>
      <c r="AO3949" s="10">
        <f t="shared" si="3641"/>
        <v>2289.9487280479789</v>
      </c>
      <c r="AP3949" s="12">
        <v>36500000</v>
      </c>
      <c r="AQ3949" s="3">
        <v>0.128</v>
      </c>
      <c r="AR3949" s="3">
        <f>LN(AU3949*100000000/($AM3949-$AL3949)/AP3949)</f>
        <v>-6.2325644688583699</v>
      </c>
      <c r="AS3949" s="13">
        <f t="shared" si="3642"/>
        <v>10.874362708949686</v>
      </c>
      <c r="AT3949" s="3">
        <f t="shared" ref="AT3949" si="3643">LN(AS3949/$C3949)</f>
        <v>0.77697006134762281</v>
      </c>
      <c r="AU3949" s="13" cm="1">
        <f t="array" ref="AU3949">$C3949*EXP(poly_from_str(100000000/$E3949,AU$4343))</f>
        <v>31.311130548023272</v>
      </c>
      <c r="AV3949" s="13">
        <f>LN(AS3949/AU3949)</f>
        <v>-1.0575656691136888</v>
      </c>
      <c r="AW3949" s="13"/>
      <c r="AX3949" s="13"/>
      <c r="AY3949" s="13"/>
    </row>
    <row r="3950" spans="1:51" x14ac:dyDescent="0.25">
      <c r="A3950" t="s">
        <v>4395</v>
      </c>
      <c r="B3950" s="2" t="str">
        <f t="shared" si="3580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3581"/>
        <v>2288.489</v>
      </c>
      <c r="AB3950" s="3">
        <f t="shared" si="3582"/>
        <v>43683.48</v>
      </c>
      <c r="AC3950" s="3" cm="1">
        <f t="array" ref="AC3950">100000000/LvacE(AA3950)</f>
        <v>43683.482027987106</v>
      </c>
      <c r="AD3950" s="10">
        <f t="shared" si="3583"/>
        <v>1.454417566088085E-2</v>
      </c>
      <c r="AE3950" s="10" t="b">
        <f t="shared" si="3584"/>
        <v>1</v>
      </c>
      <c r="AP3950"/>
      <c r="AQ3950"/>
      <c r="AU3950" s="13" cm="1">
        <f t="array" ref="AU3950">$C3950*EXP(poly_from_str(100000000/$E3950,AU$4343))</f>
        <v>12.584710302624625</v>
      </c>
    </row>
    <row r="3951" spans="1:51" x14ac:dyDescent="0.25">
      <c r="A3951" t="s">
        <v>4396</v>
      </c>
      <c r="B3951" s="2">
        <f t="shared" si="3580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3644">$G3951&amp;""</f>
        <v>e</v>
      </c>
      <c r="N3951" t="str">
        <f t="shared" ref="N3951:N3953" si="3645">$H3951&amp;""</f>
        <v>7/2</v>
      </c>
      <c r="O3951">
        <v>64979.55</v>
      </c>
      <c r="P3951" t="str">
        <f t="shared" ref="P3951:P3953" si="3646">$J3951&amp;""</f>
        <v>o</v>
      </c>
      <c r="Q3951" t="str">
        <f t="shared" ref="Q3951:Q3953" si="3647">$K3951&amp;""</f>
        <v>7/2</v>
      </c>
      <c r="R3951">
        <v>36</v>
      </c>
      <c r="AA3951" s="10">
        <f t="shared" si="3581"/>
        <v>2288.4250000000002</v>
      </c>
      <c r="AB3951" s="3">
        <f t="shared" si="3582"/>
        <v>43684.7</v>
      </c>
      <c r="AC3951" s="3" cm="1">
        <f t="array" ref="AC3951">100000000/LvacE(AA3951)</f>
        <v>43684.703606497686</v>
      </c>
      <c r="AD3951" s="10">
        <f t="shared" si="3583"/>
        <v>1.4544709485016481E-2</v>
      </c>
      <c r="AE3951" s="10" t="b">
        <f t="shared" si="3584"/>
        <v>1</v>
      </c>
      <c r="AJ3951" t="s">
        <v>4791</v>
      </c>
      <c r="AK3951" t="s">
        <v>4912</v>
      </c>
      <c r="AL3951">
        <v>21294.89</v>
      </c>
      <c r="AM3951">
        <v>64979.55</v>
      </c>
      <c r="AN3951" s="10" cm="1">
        <f t="array" ref="AN3951">Lair(100000000/($AM3951-$AL3951))</f>
        <v>2288.4272902812818</v>
      </c>
      <c r="AO3951" s="10">
        <f t="shared" ref="AO3951:AO3953" si="3648">100000000/($AM3951-$AL3951)</f>
        <v>2289.1330732572942</v>
      </c>
      <c r="AP3951" s="12">
        <v>28700000</v>
      </c>
      <c r="AQ3951" s="3">
        <v>3.7999999999999999E-2</v>
      </c>
      <c r="AR3951" s="3"/>
      <c r="AS3951" s="13">
        <f t="shared" ref="AS3951:AS3953" si="3649">EXP(AR$4341*$AM3951+AR$4342)*$AP3951/(100000000/($AM3951-$AL3951))</f>
        <v>8.4501991782269581</v>
      </c>
      <c r="AT3951" s="3"/>
      <c r="AU3951" s="13" cm="1">
        <f t="array" ref="AU3951">$C3951*EXP(poly_from_str(100000000/$E3951,AU$4343))</f>
        <v>31.474658791767745</v>
      </c>
      <c r="AV3951" s="13"/>
      <c r="AW3951" s="13"/>
      <c r="AX3951" s="13"/>
      <c r="AY3951" s="13"/>
    </row>
    <row r="3952" spans="1:51" x14ac:dyDescent="0.25">
      <c r="A3952" t="s">
        <v>4396</v>
      </c>
      <c r="B3952" s="2">
        <f t="shared" si="3580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3644"/>
        <v>e</v>
      </c>
      <c r="N3952" t="str">
        <f t="shared" si="3645"/>
        <v>5/2</v>
      </c>
      <c r="O3952">
        <v>65295.9</v>
      </c>
      <c r="P3952" t="str">
        <f t="shared" si="3646"/>
        <v>o</v>
      </c>
      <c r="Q3952" t="str">
        <f t="shared" si="3647"/>
        <v>7/2</v>
      </c>
      <c r="R3952">
        <v>36</v>
      </c>
      <c r="AA3952" s="10">
        <f t="shared" si="3581"/>
        <v>2288.4250000000002</v>
      </c>
      <c r="AB3952" s="3">
        <f t="shared" si="3582"/>
        <v>43684.7</v>
      </c>
      <c r="AC3952" s="3" cm="1">
        <f t="array" ref="AC3952">100000000/LvacE(AA3952)</f>
        <v>43684.703606497686</v>
      </c>
      <c r="AD3952" s="10">
        <f t="shared" si="3583"/>
        <v>1.4544709485016481E-2</v>
      </c>
      <c r="AE3952" s="10" t="b">
        <f t="shared" si="3584"/>
        <v>1</v>
      </c>
      <c r="AJ3952" t="s">
        <v>4796</v>
      </c>
      <c r="AK3952" t="s">
        <v>4825</v>
      </c>
      <c r="AL3952">
        <v>21611.19</v>
      </c>
      <c r="AM3952">
        <v>65295.9</v>
      </c>
      <c r="AN3952" s="10" cm="1">
        <f t="array" ref="AN3952">Lair(100000000/($AM3952-$AL3952))</f>
        <v>2288.4246707908983</v>
      </c>
      <c r="AO3952" s="10">
        <f t="shared" si="3648"/>
        <v>2289.1304531951796</v>
      </c>
      <c r="AP3952" s="12">
        <v>14600000</v>
      </c>
      <c r="AQ3952" s="3">
        <v>2.5999999999999999E-2</v>
      </c>
      <c r="AR3952" s="3"/>
      <c r="AS3952" s="13">
        <f t="shared" si="3649"/>
        <v>4.1978585260309291</v>
      </c>
      <c r="AT3952" s="3"/>
      <c r="AU3952" s="13" cm="1">
        <f t="array" ref="AU3952">$C3952*EXP(poly_from_str(100000000/$E3952,AU$4343))</f>
        <v>31.474658791767745</v>
      </c>
      <c r="AV3952" s="13"/>
      <c r="AW3952" s="13"/>
      <c r="AX3952" s="13"/>
      <c r="AY3952" s="13"/>
    </row>
    <row r="3953" spans="1:51" x14ac:dyDescent="0.25">
      <c r="A3953" t="s">
        <v>4397</v>
      </c>
      <c r="B3953" s="2" t="str">
        <f t="shared" si="3580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3644"/>
        <v>e</v>
      </c>
      <c r="N3953" t="str">
        <f t="shared" si="3645"/>
        <v>11/2</v>
      </c>
      <c r="O3953">
        <v>80360.820000000007</v>
      </c>
      <c r="P3953" t="str">
        <f t="shared" si="3646"/>
        <v>o</v>
      </c>
      <c r="Q3953" t="str">
        <f t="shared" si="3647"/>
        <v>11/2</v>
      </c>
      <c r="R3953">
        <v>36</v>
      </c>
      <c r="AA3953" s="10">
        <f t="shared" si="3581"/>
        <v>2288.1309999999999</v>
      </c>
      <c r="AB3953" s="3">
        <f t="shared" si="3582"/>
        <v>43690.32</v>
      </c>
      <c r="AC3953" s="3" cm="1">
        <f t="array" ref="AC3953">100000000/LvacE(AA3953)</f>
        <v>43690.316110605752</v>
      </c>
      <c r="AD3953" s="10">
        <f t="shared" si="3583"/>
        <v>1.4547162315139684E-2</v>
      </c>
      <c r="AE3953" s="10" t="b">
        <f t="shared" si="3584"/>
        <v>1</v>
      </c>
      <c r="AJ3953" t="s">
        <v>4772</v>
      </c>
      <c r="AK3953" t="s">
        <v>4913</v>
      </c>
      <c r="AL3953">
        <v>36670.57</v>
      </c>
      <c r="AM3953">
        <v>80360.820000000007</v>
      </c>
      <c r="AN3953" s="10" cm="1">
        <f t="array" ref="AN3953">Lair(100000000/($AM3953-$AL3953))</f>
        <v>2288.134468387676</v>
      </c>
      <c r="AO3953" s="10">
        <f t="shared" si="3648"/>
        <v>2288.8401874560109</v>
      </c>
      <c r="AP3953" s="12">
        <v>1180000000</v>
      </c>
      <c r="AQ3953" s="3">
        <v>0.52500000000000002</v>
      </c>
      <c r="AR3953" s="3">
        <f>LN(AU3953*100000000/($AM3953-$AL3953)/AP3953)</f>
        <v>-9.114121738465542</v>
      </c>
      <c r="AS3953" s="13">
        <f t="shared" si="3649"/>
        <v>109.54945434226657</v>
      </c>
      <c r="AT3953" s="3">
        <f t="shared" ref="AT3953" si="3650">LN(AS3953/$C3953)</f>
        <v>2.4991515077915878</v>
      </c>
      <c r="AU3953" s="13" cm="1">
        <f t="array" ref="AU3953">$C3953*EXP(poly_from_str(100000000/$E3953,AU$4343))</f>
        <v>56.761486267376071</v>
      </c>
      <c r="AV3953" s="13">
        <f>LN(AS3953/AU3953)</f>
        <v>0.6575180480594085</v>
      </c>
      <c r="AW3953" s="13"/>
      <c r="AX3953" s="13"/>
      <c r="AY3953" s="13"/>
    </row>
    <row r="3954" spans="1:51" x14ac:dyDescent="0.25">
      <c r="A3954" t="s">
        <v>4398</v>
      </c>
      <c r="B3954" s="2" t="str">
        <f t="shared" si="3580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3581"/>
        <v>2287.7950000000001</v>
      </c>
      <c r="AB3954" s="3">
        <f t="shared" si="3582"/>
        <v>43696.73</v>
      </c>
      <c r="AC3954" s="3" cm="1">
        <f t="array" ref="AC3954">100000000/LvacE(AA3954)</f>
        <v>43696.732167008529</v>
      </c>
      <c r="AD3954" s="10">
        <f t="shared" si="3583"/>
        <v>1.4549966707464727E-2</v>
      </c>
      <c r="AE3954" s="10" t="b">
        <f t="shared" si="3584"/>
        <v>1</v>
      </c>
      <c r="AP3954"/>
      <c r="AQ3954"/>
      <c r="AU3954" s="13" cm="1">
        <f t="array" ref="AU3954">$C3954*EXP(poly_from_str(100000000/$E3954,AU$4343))</f>
        <v>6.3204665676510041</v>
      </c>
    </row>
    <row r="3955" spans="1:51" x14ac:dyDescent="0.25">
      <c r="A3955" t="s">
        <v>4399</v>
      </c>
      <c r="B3955" s="2" t="str">
        <f t="shared" si="3580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3651">$G3955&amp;""</f>
        <v>e</v>
      </c>
      <c r="N3955" t="str">
        <f t="shared" ref="N3955:N3956" si="3652">$H3955&amp;""</f>
        <v>3/2</v>
      </c>
      <c r="O3955">
        <v>80897.850000000006</v>
      </c>
      <c r="P3955" t="str">
        <f t="shared" ref="P3955:P3956" si="3653">$J3955&amp;""</f>
        <v>o</v>
      </c>
      <c r="Q3955" t="str">
        <f t="shared" ref="Q3955:Q3956" si="3654">$K3955&amp;""</f>
        <v>3/2</v>
      </c>
      <c r="R3955">
        <v>36</v>
      </c>
      <c r="S3955" t="s">
        <v>159</v>
      </c>
      <c r="AA3955" s="10">
        <f t="shared" si="3581"/>
        <v>2287.6109999999999</v>
      </c>
      <c r="AB3955" s="3">
        <f t="shared" si="3582"/>
        <v>43700.25</v>
      </c>
      <c r="AC3955" s="3" cm="1">
        <f t="array" ref="AC3955">100000000/LvacE(AA3955)</f>
        <v>43700.246520223634</v>
      </c>
      <c r="AD3955" s="10">
        <f t="shared" si="3583"/>
        <v>1.4551502969740844E-2</v>
      </c>
      <c r="AE3955" s="10" t="b">
        <f t="shared" si="3584"/>
        <v>1</v>
      </c>
      <c r="AJ3955" t="s">
        <v>4787</v>
      </c>
      <c r="AK3955" t="s">
        <v>4911</v>
      </c>
      <c r="AL3955">
        <v>37197.64</v>
      </c>
      <c r="AM3955">
        <v>80897.850000000006</v>
      </c>
      <c r="AN3955" s="10" cm="1">
        <f t="array" ref="AN3955">Lair(100000000/($AM3955-$AL3955))</f>
        <v>2287.6129176946283</v>
      </c>
      <c r="AO3955" s="10">
        <f t="shared" ref="AO3955:AO3956" si="3655">100000000/($AM3955-$AL3955)</f>
        <v>2288.3185229544661</v>
      </c>
      <c r="AP3955" s="12">
        <v>166000000</v>
      </c>
      <c r="AQ3955" s="3">
        <v>0.23400000000000001</v>
      </c>
      <c r="AR3955" s="3">
        <f t="shared" ref="AR3955:AR3956" si="3656">LN(AU3955*100000000/($AM3955-$AL3955)/AP3955)</f>
        <v>-8.2483320864753402</v>
      </c>
      <c r="AS3955" s="13">
        <f t="shared" ref="AS3955:AS3956" si="3657">EXP(AR$4341*$AM3955+AR$4342)*$AP3955/(100000000/($AM3955-$AL3955))</f>
        <v>14.805810973673118</v>
      </c>
      <c r="AT3955" s="3">
        <f t="shared" ref="AT3955:AT3956" si="3658">LN(AS3955/$C3955)</f>
        <v>1.5964074483979456</v>
      </c>
      <c r="AU3955" s="13" cm="1">
        <f t="array" ref="AU3955">$C3955*EXP(poly_from_str(100000000/$E3955,AU$4343))</f>
        <v>18.983946528293856</v>
      </c>
      <c r="AV3955" s="13">
        <f t="shared" ref="AV3955:AV3956" si="3659">LN(AS3955/AU3955)</f>
        <v>-0.24857396539118246</v>
      </c>
      <c r="AW3955" s="13"/>
      <c r="AX3955" s="13"/>
      <c r="AY3955" s="13"/>
    </row>
    <row r="3956" spans="1:51" x14ac:dyDescent="0.25">
      <c r="A3956" t="s">
        <v>4400</v>
      </c>
      <c r="B3956" s="2" t="str">
        <f t="shared" si="3580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3651"/>
        <v>o</v>
      </c>
      <c r="N3956" t="str">
        <f t="shared" si="3652"/>
        <v>9/2</v>
      </c>
      <c r="O3956">
        <v>108559.4</v>
      </c>
      <c r="P3956" t="str">
        <f t="shared" si="3653"/>
        <v>e</v>
      </c>
      <c r="Q3956" t="str">
        <f t="shared" si="3654"/>
        <v>11/2</v>
      </c>
      <c r="R3956">
        <v>36</v>
      </c>
      <c r="AA3956" s="10">
        <f t="shared" si="3581"/>
        <v>2287.502</v>
      </c>
      <c r="AB3956" s="3">
        <f t="shared" si="3582"/>
        <v>43702.33</v>
      </c>
      <c r="AC3956" s="3" cm="1">
        <f t="array" ref="AC3956">100000000/LvacE(AA3956)</f>
        <v>43702.32865911915</v>
      </c>
      <c r="AD3956" s="10">
        <f t="shared" si="3583"/>
        <v>1.4552413212998098E-2</v>
      </c>
      <c r="AE3956" s="10" t="b">
        <f t="shared" si="3584"/>
        <v>1</v>
      </c>
      <c r="AJ3956" t="s">
        <v>4854</v>
      </c>
      <c r="AK3956" t="s">
        <v>4914</v>
      </c>
      <c r="AL3956">
        <v>64857.15</v>
      </c>
      <c r="AM3956">
        <v>108559.4</v>
      </c>
      <c r="AN3956" s="10" cm="1">
        <f t="array" ref="AN3956">Lair(100000000/($AM3956-$AL3956))</f>
        <v>2287.5061233879596</v>
      </c>
      <c r="AO3956" s="10">
        <f t="shared" si="3655"/>
        <v>2288.2117053469792</v>
      </c>
      <c r="AP3956" s="12">
        <v>1020000000</v>
      </c>
      <c r="AQ3956" s="3">
        <v>0.11700000000000001</v>
      </c>
      <c r="AR3956" s="3">
        <f t="shared" si="3656"/>
        <v>-10.468710940943565</v>
      </c>
      <c r="AS3956" s="13">
        <f t="shared" si="3657"/>
        <v>11.412700734078586</v>
      </c>
      <c r="AT3956" s="3">
        <f t="shared" si="3658"/>
        <v>1.7415796541728177</v>
      </c>
      <c r="AU3956" s="13" cm="1">
        <f t="array" ref="AU3956">$C3956*EXP(poly_from_str(100000000/$E3956,AU$4343))</f>
        <v>12.664865283940525</v>
      </c>
      <c r="AV3956" s="13">
        <f t="shared" si="3659"/>
        <v>-0.10410481178633478</v>
      </c>
      <c r="AW3956" s="13"/>
      <c r="AX3956" s="13"/>
      <c r="AY3956" s="13"/>
    </row>
    <row r="3957" spans="1:51" x14ac:dyDescent="0.25">
      <c r="A3957" t="s">
        <v>4401</v>
      </c>
      <c r="B3957" s="2" t="str">
        <f t="shared" si="3580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3581"/>
        <v>2287.4140000000002</v>
      </c>
      <c r="AB3957" s="3">
        <f t="shared" si="3582"/>
        <v>43704.01</v>
      </c>
      <c r="AC3957" s="3" cm="1">
        <f t="array" ref="AC3957">100000000/LvacE(AA3957)</f>
        <v>43704.00979673415</v>
      </c>
      <c r="AD3957" s="10">
        <f t="shared" si="3583"/>
        <v>1.4553148183217849E-2</v>
      </c>
      <c r="AE3957" s="10" t="b">
        <f t="shared" si="3584"/>
        <v>1</v>
      </c>
      <c r="AP3957"/>
      <c r="AQ3957"/>
      <c r="AU3957" s="13" cm="1">
        <f t="array" ref="AU3957">$C3957*EXP(poly_from_str(100000000/$E3957,AU$4343))</f>
        <v>31.680161850564868</v>
      </c>
    </row>
    <row r="3958" spans="1:51" x14ac:dyDescent="0.25">
      <c r="A3958" t="s">
        <v>4402</v>
      </c>
      <c r="B3958" s="2" t="str">
        <f t="shared" si="3580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3660">$G3958&amp;""</f>
        <v>e</v>
      </c>
      <c r="N3958" t="str">
        <f t="shared" ref="N3958:N3963" si="3661">$H3958&amp;""</f>
        <v>5/2</v>
      </c>
      <c r="O3958">
        <v>67240.350000000006</v>
      </c>
      <c r="P3958" t="str">
        <f t="shared" ref="P3958:P3963" si="3662">$J3958&amp;""</f>
        <v>o</v>
      </c>
      <c r="Q3958" t="str">
        <f t="shared" ref="Q3958:Q3963" si="3663">$K3958&amp;""</f>
        <v>7/2</v>
      </c>
      <c r="R3958">
        <v>36</v>
      </c>
      <c r="AA3958" s="10">
        <f t="shared" si="3581"/>
        <v>2287.23</v>
      </c>
      <c r="AB3958" s="3">
        <f t="shared" si="3582"/>
        <v>43707.519999999997</v>
      </c>
      <c r="AC3958" s="3" cm="1">
        <f t="array" ref="AC3958">100000000/LvacE(AA3958)</f>
        <v>43707.525320596913</v>
      </c>
      <c r="AD3958" s="10">
        <f t="shared" si="3583"/>
        <v>1.4554685213248542E-2</v>
      </c>
      <c r="AE3958" s="10" t="b">
        <f t="shared" si="3584"/>
        <v>1</v>
      </c>
      <c r="AJ3958" t="s">
        <v>4756</v>
      </c>
      <c r="AK3958" t="s">
        <v>4852</v>
      </c>
      <c r="AL3958">
        <v>23532.86</v>
      </c>
      <c r="AM3958">
        <v>67240.350000000006</v>
      </c>
      <c r="AN3958" s="10" cm="1">
        <f t="array" ref="AN3958">Lair(100000000/($AM3958-$AL3958))</f>
        <v>2287.2318542860089</v>
      </c>
      <c r="AO3958" s="10">
        <f t="shared" ref="AO3958:AO3963" si="3664">100000000/($AM3958-$AL3958)</f>
        <v>2287.9373764084826</v>
      </c>
      <c r="AP3958" s="12">
        <v>31000000</v>
      </c>
      <c r="AQ3958" s="3">
        <v>5.2999999999999999E-2</v>
      </c>
      <c r="AR3958" s="3">
        <f t="shared" ref="AR3958:AR3962" si="3665">LN(AU3958*100000000/($AM3958-$AL3958)/AP3958)</f>
        <v>-7.6666503901160192</v>
      </c>
      <c r="AS3958" s="13">
        <f t="shared" ref="AS3958:AS3963" si="3666">EXP(AR$4341*$AM3958+AR$4342)*$AP3958/(100000000/($AM3958-$AL3958))</f>
        <v>7.7070604633908264</v>
      </c>
      <c r="AT3958" s="3">
        <f t="shared" ref="AT3958:AT3962" si="3667">LN(AS3958/$C3958)</f>
        <v>2.04213685202145</v>
      </c>
      <c r="AU3958" s="13" cm="1">
        <f t="array" ref="AU3958">$C3958*EXP(poly_from_str(100000000/$E3958,AU$4343))</f>
        <v>6.3435680284432632</v>
      </c>
      <c r="AV3958" s="13">
        <f t="shared" ref="AV3958:AV3962" si="3668">LN(AS3958/AU3958)</f>
        <v>0.19469546136232213</v>
      </c>
      <c r="AW3958" s="13"/>
      <c r="AX3958" s="13"/>
      <c r="AY3958" s="13"/>
    </row>
    <row r="3959" spans="1:51" x14ac:dyDescent="0.25">
      <c r="A3959" t="s">
        <v>4403</v>
      </c>
      <c r="B3959" s="2" t="str">
        <f t="shared" si="3580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3660"/>
        <v>e</v>
      </c>
      <c r="N3959" t="str">
        <f t="shared" si="3661"/>
        <v>3/2</v>
      </c>
      <c r="O3959">
        <v>67965.47</v>
      </c>
      <c r="P3959" t="str">
        <f t="shared" si="3662"/>
        <v>o</v>
      </c>
      <c r="Q3959" t="str">
        <f t="shared" si="3663"/>
        <v>3/2</v>
      </c>
      <c r="R3959">
        <v>36</v>
      </c>
      <c r="AA3959" s="10">
        <f t="shared" si="3581"/>
        <v>2286.8409999999999</v>
      </c>
      <c r="AB3959" s="3">
        <f t="shared" si="3582"/>
        <v>43714.96</v>
      </c>
      <c r="AC3959" s="3" cm="1">
        <f t="array" ref="AC3959">100000000/LvacE(AA3959)</f>
        <v>43714.959458493773</v>
      </c>
      <c r="AD3959" s="10">
        <f t="shared" si="3583"/>
        <v>1.4557935916509668E-2</v>
      </c>
      <c r="AE3959" s="10" t="b">
        <f t="shared" si="3584"/>
        <v>1</v>
      </c>
      <c r="AJ3959" t="s">
        <v>4710</v>
      </c>
      <c r="AK3959" t="s">
        <v>4835</v>
      </c>
      <c r="AL3959">
        <v>24250.62</v>
      </c>
      <c r="AM3959">
        <v>67965.47</v>
      </c>
      <c r="AN3959" s="10" cm="1">
        <f t="array" ref="AN3959">Lair(100000000/($AM3959-$AL3959))</f>
        <v>2286.8467323740124</v>
      </c>
      <c r="AO3959" s="10">
        <f t="shared" si="3664"/>
        <v>2287.5521704866878</v>
      </c>
      <c r="AP3959" s="12">
        <v>444000000</v>
      </c>
      <c r="AQ3959" s="3">
        <v>0.68300000000000005</v>
      </c>
      <c r="AR3959" s="3">
        <f t="shared" si="3665"/>
        <v>-8.2466893209465173</v>
      </c>
      <c r="AS3959" s="13">
        <f t="shared" si="3666"/>
        <v>104.55619535459708</v>
      </c>
      <c r="AT3959" s="3">
        <f t="shared" si="3667"/>
        <v>2.5702831397762913</v>
      </c>
      <c r="AU3959" s="13" cm="1">
        <f t="array" ref="AU3959">$C3959*EXP(poly_from_str(100000000/$E3959,AU$4343))</f>
        <v>50.876859618384266</v>
      </c>
      <c r="AV3959" s="13">
        <f t="shared" si="3668"/>
        <v>0.72031648566588791</v>
      </c>
      <c r="AW3959" s="13"/>
      <c r="AX3959" s="13"/>
      <c r="AY3959" s="13"/>
    </row>
    <row r="3960" spans="1:51" x14ac:dyDescent="0.25">
      <c r="A3960" t="s">
        <v>4404</v>
      </c>
      <c r="B3960" s="2" t="str">
        <f t="shared" si="3580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3660"/>
        <v>e</v>
      </c>
      <c r="N3960" t="str">
        <f t="shared" si="3661"/>
        <v>13/2</v>
      </c>
      <c r="O3960">
        <v>80360.820000000007</v>
      </c>
      <c r="P3960" t="str">
        <f t="shared" si="3662"/>
        <v>o</v>
      </c>
      <c r="Q3960" t="str">
        <f t="shared" si="3663"/>
        <v>11/2</v>
      </c>
      <c r="R3960">
        <v>36</v>
      </c>
      <c r="S3960" t="s">
        <v>159</v>
      </c>
      <c r="AA3960" s="10">
        <f t="shared" si="3581"/>
        <v>2286.6410000000001</v>
      </c>
      <c r="AB3960" s="3">
        <f t="shared" si="3582"/>
        <v>43718.78</v>
      </c>
      <c r="AC3960" s="3" cm="1">
        <f t="array" ref="AC3960">100000000/LvacE(AA3960)</f>
        <v>43718.782621701139</v>
      </c>
      <c r="AD3960" s="10">
        <f t="shared" si="3583"/>
        <v>1.4559607874979313E-2</v>
      </c>
      <c r="AE3960" s="10" t="b">
        <f t="shared" si="3584"/>
        <v>1</v>
      </c>
      <c r="AJ3960" t="s">
        <v>4793</v>
      </c>
      <c r="AK3960" t="s">
        <v>4913</v>
      </c>
      <c r="AL3960">
        <v>36642.129999999997</v>
      </c>
      <c r="AM3960">
        <v>80360.820000000007</v>
      </c>
      <c r="AN3960" s="10" cm="1">
        <f t="array" ref="AN3960">Lair(100000000/($AM3960-$AL3960))</f>
        <v>2286.6458506730696</v>
      </c>
      <c r="AO3960" s="10">
        <f t="shared" si="3664"/>
        <v>2287.3512449709719</v>
      </c>
      <c r="AP3960" s="12">
        <v>1010000000</v>
      </c>
      <c r="AQ3960" s="3">
        <v>0.438</v>
      </c>
      <c r="AR3960" s="3">
        <f t="shared" si="3665"/>
        <v>-9.2008899712079497</v>
      </c>
      <c r="AS3960" s="13">
        <f t="shared" si="3666"/>
        <v>93.827943041616322</v>
      </c>
      <c r="AT3960" s="3">
        <f t="shared" si="3667"/>
        <v>2.5955525628238538</v>
      </c>
      <c r="AU3960" s="13" cm="1">
        <f t="array" ref="AU3960">$C3960*EXP(poly_from_str(100000000/$E3960,AU$4343))</f>
        <v>44.575145641390108</v>
      </c>
      <c r="AV3960" s="13">
        <f t="shared" si="3668"/>
        <v>0.74428628080181514</v>
      </c>
      <c r="AW3960" s="13"/>
      <c r="AX3960" s="13"/>
      <c r="AY3960" s="13"/>
    </row>
    <row r="3961" spans="1:51" x14ac:dyDescent="0.25">
      <c r="A3961" t="s">
        <v>4405</v>
      </c>
      <c r="B3961" s="2" t="str">
        <f t="shared" si="3580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3660"/>
        <v>e</v>
      </c>
      <c r="N3961" t="str">
        <f t="shared" si="3661"/>
        <v>7/2</v>
      </c>
      <c r="O3961">
        <v>63593.35</v>
      </c>
      <c r="P3961" t="str">
        <f t="shared" si="3662"/>
        <v>o</v>
      </c>
      <c r="Q3961" t="str">
        <f t="shared" si="3663"/>
        <v>9/2</v>
      </c>
      <c r="R3961">
        <v>36</v>
      </c>
      <c r="AA3961" s="10">
        <f t="shared" si="3581"/>
        <v>2286.529</v>
      </c>
      <c r="AB3961" s="3">
        <f t="shared" si="3582"/>
        <v>43720.92</v>
      </c>
      <c r="AC3961" s="3" cm="1">
        <f t="array" ref="AC3961">100000000/LvacE(AA3961)</f>
        <v>43720.9238851798</v>
      </c>
      <c r="AD3961" s="10">
        <f t="shared" si="3583"/>
        <v>1.4560544363351569E-2</v>
      </c>
      <c r="AE3961" s="10" t="b">
        <f t="shared" si="3584"/>
        <v>1</v>
      </c>
      <c r="AJ3961" t="s">
        <v>4785</v>
      </c>
      <c r="AK3961" t="s">
        <v>4840</v>
      </c>
      <c r="AL3961">
        <v>19872.43</v>
      </c>
      <c r="AM3961">
        <v>63593.35</v>
      </c>
      <c r="AN3961" s="10" cm="1">
        <f t="array" ref="AN3961">Lair(100000000/($AM3961-$AL3961))</f>
        <v>2286.5292090048579</v>
      </c>
      <c r="AO3961" s="10">
        <f t="shared" si="3664"/>
        <v>2287.2345778634121</v>
      </c>
      <c r="AP3961" s="12">
        <v>167000000</v>
      </c>
      <c r="AQ3961" s="3">
        <v>0.17699999999999999</v>
      </c>
      <c r="AR3961" s="3">
        <f t="shared" si="3665"/>
        <v>-7.4005002101627086</v>
      </c>
      <c r="AS3961" s="13">
        <f t="shared" si="3666"/>
        <v>54.606133742153929</v>
      </c>
      <c r="AT3961" s="3">
        <f t="shared" si="3667"/>
        <v>2.0542360669858146</v>
      </c>
      <c r="AU3961" s="13" cm="1">
        <f t="array" ref="AU3961">$C3961*EXP(poly_from_str(100000000/$E3961,AU$4343))</f>
        <v>44.607651443277042</v>
      </c>
      <c r="AV3961" s="13">
        <f t="shared" si="3668"/>
        <v>0.2022408147051839</v>
      </c>
      <c r="AW3961" s="13"/>
      <c r="AX3961" s="13"/>
      <c r="AY3961" s="13"/>
    </row>
    <row r="3962" spans="1:51" x14ac:dyDescent="0.25">
      <c r="A3962" t="s">
        <v>4406</v>
      </c>
      <c r="B3962" s="2" t="str">
        <f t="shared" si="3580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3660"/>
        <v>e</v>
      </c>
      <c r="N3962" t="str">
        <f t="shared" si="3661"/>
        <v>7/2</v>
      </c>
      <c r="O3962">
        <v>69138.28</v>
      </c>
      <c r="P3962" t="str">
        <f t="shared" si="3662"/>
        <v>o</v>
      </c>
      <c r="Q3962" t="str">
        <f t="shared" si="3663"/>
        <v>9/2</v>
      </c>
      <c r="R3962">
        <v>36</v>
      </c>
      <c r="AA3962" s="10">
        <f t="shared" si="3581"/>
        <v>2286.1309999999999</v>
      </c>
      <c r="AB3962" s="3">
        <f t="shared" si="3582"/>
        <v>43728.53</v>
      </c>
      <c r="AC3962" s="3" cm="1">
        <f t="array" ref="AC3962">100000000/LvacE(AA3962)</f>
        <v>43728.534715051595</v>
      </c>
      <c r="AD3962" s="10">
        <f t="shared" si="3583"/>
        <v>1.4563873355256458E-2</v>
      </c>
      <c r="AE3962" s="10" t="b">
        <f t="shared" si="3584"/>
        <v>1</v>
      </c>
      <c r="AJ3962" t="s">
        <v>4720</v>
      </c>
      <c r="AK3962" t="s">
        <v>4879</v>
      </c>
      <c r="AL3962">
        <v>25409.74</v>
      </c>
      <c r="AM3962">
        <v>69138.28</v>
      </c>
      <c r="AN3962" s="10" cm="1">
        <f t="array" ref="AN3962">Lair(100000000/($AM3962-$AL3962))</f>
        <v>2286.1307294870558</v>
      </c>
      <c r="AO3962" s="10">
        <f t="shared" si="3664"/>
        <v>2286.8360114469865</v>
      </c>
      <c r="AP3962" s="12">
        <v>76800000</v>
      </c>
      <c r="AQ3962" s="3">
        <v>0.17100000000000001</v>
      </c>
      <c r="AR3962" s="3">
        <f t="shared" si="3665"/>
        <v>-6.775438439545157</v>
      </c>
      <c r="AS3962" s="13">
        <f t="shared" si="3666"/>
        <v>16.566826389149785</v>
      </c>
      <c r="AT3962" s="3">
        <f t="shared" si="3667"/>
        <v>1.0156428163561064</v>
      </c>
      <c r="AU3962" s="13" cm="1">
        <f t="array" ref="AU3962">$C3962*EXP(poly_from_str(100000000/$E3962,AU$4343))</f>
        <v>38.334576583372723</v>
      </c>
      <c r="AV3962" s="13">
        <f t="shared" si="3668"/>
        <v>-0.83894998619477645</v>
      </c>
      <c r="AW3962" s="13"/>
      <c r="AX3962" s="13"/>
      <c r="AY3962" s="13"/>
    </row>
    <row r="3963" spans="1:51" x14ac:dyDescent="0.25">
      <c r="A3963" t="s">
        <v>4407</v>
      </c>
      <c r="B3963" s="2" t="str">
        <f t="shared" si="3580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3660"/>
        <v>e</v>
      </c>
      <c r="N3963" t="str">
        <f t="shared" si="3661"/>
        <v>9/2</v>
      </c>
      <c r="O3963">
        <v>83607.320000000007</v>
      </c>
      <c r="P3963" t="str">
        <f t="shared" si="3662"/>
        <v>o</v>
      </c>
      <c r="Q3963" t="str">
        <f t="shared" si="3663"/>
        <v>11/2</v>
      </c>
      <c r="R3963">
        <v>36</v>
      </c>
      <c r="AA3963" s="10">
        <f t="shared" si="3581"/>
        <v>2285.6819999999998</v>
      </c>
      <c r="AB3963" s="3">
        <f t="shared" si="3582"/>
        <v>43737.120000000003</v>
      </c>
      <c r="AC3963" s="3" cm="1">
        <f t="array" ref="AC3963">100000000/LvacE(AA3963)</f>
        <v>43737.123983134275</v>
      </c>
      <c r="AD3963" s="10">
        <f t="shared" si="3583"/>
        <v>1.4567631014098699E-2</v>
      </c>
      <c r="AE3963" s="10" t="b">
        <f t="shared" si="3584"/>
        <v>1</v>
      </c>
      <c r="AJ3963" t="s">
        <v>4731</v>
      </c>
      <c r="AK3963" t="s">
        <v>4924</v>
      </c>
      <c r="AL3963">
        <v>39870.17</v>
      </c>
      <c r="AM3963">
        <v>83607.320000000007</v>
      </c>
      <c r="AN3963" s="10" cm="1">
        <f t="array" ref="AN3963">Lair(100000000/($AM3963-$AL3963))</f>
        <v>2285.6806460705161</v>
      </c>
      <c r="AO3963" s="10">
        <f t="shared" si="3664"/>
        <v>2286.38582989518</v>
      </c>
      <c r="AP3963" s="12">
        <v>43200000</v>
      </c>
      <c r="AQ3963" s="3">
        <v>4.9000000000000002E-2</v>
      </c>
      <c r="AR3963" s="3"/>
      <c r="AS3963" s="13">
        <f t="shared" si="3666"/>
        <v>3.1467823269213966</v>
      </c>
      <c r="AT3963" s="3"/>
      <c r="AU3963" s="13" cm="1">
        <f t="array" ref="AU3963">$C3963*EXP(poly_from_str(100000000/$E3963,AU$4343))</f>
        <v>6.4079202794742489</v>
      </c>
      <c r="AV3963" s="13"/>
      <c r="AW3963" s="13"/>
      <c r="AX3963" s="13"/>
      <c r="AY3963" s="13"/>
    </row>
    <row r="3964" spans="1:51" x14ac:dyDescent="0.25">
      <c r="A3964" t="s">
        <v>4408</v>
      </c>
      <c r="B3964" s="2" t="str">
        <f t="shared" si="3580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3581"/>
        <v>2285.4949999999999</v>
      </c>
      <c r="AB3964" s="3">
        <f t="shared" si="3582"/>
        <v>43740.7</v>
      </c>
      <c r="AC3964" s="3" cm="1">
        <f t="array" ref="AC3964">100000000/LvacE(AA3964)</f>
        <v>43740.702245966859</v>
      </c>
      <c r="AD3964" s="10">
        <f t="shared" si="3583"/>
        <v>1.4569196661109927E-2</v>
      </c>
      <c r="AE3964" s="10" t="b">
        <f t="shared" si="3584"/>
        <v>1</v>
      </c>
      <c r="AP3964"/>
      <c r="AQ3964"/>
      <c r="AU3964" s="13" cm="1">
        <f t="array" ref="AU3964">$C3964*EXP(poly_from_str(100000000/$E3964,AU$4343))</f>
        <v>6.4158018071029872</v>
      </c>
    </row>
    <row r="3965" spans="1:51" x14ac:dyDescent="0.25">
      <c r="A3965" t="s">
        <v>4409</v>
      </c>
      <c r="B3965" s="2" t="str">
        <f t="shared" si="3580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3669">$G3965&amp;""</f>
        <v>e</v>
      </c>
      <c r="N3965" t="str">
        <f t="shared" ref="N3965:N3972" si="3670">$H3965&amp;""</f>
        <v>7/2</v>
      </c>
      <c r="O3965">
        <v>67395.320000000007</v>
      </c>
      <c r="P3965" t="str">
        <f t="shared" ref="P3965:P3972" si="3671">$J3965&amp;""</f>
        <v>o</v>
      </c>
      <c r="Q3965" t="str">
        <f t="shared" ref="Q3965:Q3972" si="3672">$K3965&amp;""</f>
        <v>5/2</v>
      </c>
      <c r="R3965">
        <v>36</v>
      </c>
      <c r="AA3965" s="10">
        <f t="shared" si="3581"/>
        <v>2285.348</v>
      </c>
      <c r="AB3965" s="3">
        <f t="shared" si="3582"/>
        <v>43743.519999999997</v>
      </c>
      <c r="AC3965" s="3" cm="1">
        <f t="array" ref="AC3965">100000000/LvacE(AA3965)</f>
        <v>43743.515516000974</v>
      </c>
      <c r="AD3965" s="10">
        <f t="shared" si="3583"/>
        <v>1.4570427680160959E-2</v>
      </c>
      <c r="AE3965" s="10" t="b">
        <f t="shared" si="3584"/>
        <v>1</v>
      </c>
      <c r="AJ3965" t="s">
        <v>4759</v>
      </c>
      <c r="AK3965" t="s">
        <v>4894</v>
      </c>
      <c r="AL3965">
        <v>23651.88</v>
      </c>
      <c r="AM3965">
        <v>67395.320000000007</v>
      </c>
      <c r="AN3965" s="10" cm="1">
        <f t="array" ref="AN3965">Lair(100000000/($AM3965-$AL3965))</f>
        <v>2285.35195147389</v>
      </c>
      <c r="AO3965" s="10">
        <f t="shared" ref="AO3965:AO3972" si="3673">100000000/($AM3965-$AL3965)</f>
        <v>2286.0570636419998</v>
      </c>
      <c r="AP3965" s="12">
        <v>96300000</v>
      </c>
      <c r="AQ3965" s="3">
        <v>0.123</v>
      </c>
      <c r="AR3965" s="3">
        <f t="shared" ref="AR3965:AR3967" si="3674">LN(AU3965*100000000/($AM3965-$AL3965)/AP3965)</f>
        <v>-6.99690207279777</v>
      </c>
      <c r="AS3965" s="13">
        <f t="shared" ref="AS3965:AS3972" si="3675">EXP(AR$4341*$AM3965+AR$4342)*$AP3965/(100000000/($AM3965-$AL3965))</f>
        <v>23.684247041978551</v>
      </c>
      <c r="AT3965" s="3">
        <f t="shared" ref="AT3965:AT3972" si="3676">LN(AS3965/$C3965)</f>
        <v>1.3730506761411092</v>
      </c>
      <c r="AU3965" s="13" cm="1">
        <f t="array" ref="AU3965">$C3965*EXP(poly_from_str(100000000/$E3965,AU$4343))</f>
        <v>38.532151539290695</v>
      </c>
      <c r="AV3965" s="13">
        <f t="shared" ref="AV3965:AV3967" si="3677">LN(AS3965/AU3965)</f>
        <v>-0.48668285233511743</v>
      </c>
      <c r="AW3965" s="13"/>
      <c r="AX3965" s="13"/>
      <c r="AY3965" s="13"/>
    </row>
    <row r="3966" spans="1:51" x14ac:dyDescent="0.25">
      <c r="A3966" t="s">
        <v>4410</v>
      </c>
      <c r="B3966" s="2" t="str">
        <f t="shared" si="3580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3669"/>
        <v>e</v>
      </c>
      <c r="N3966" t="str">
        <f t="shared" si="3670"/>
        <v>3/2</v>
      </c>
      <c r="O3966">
        <v>78889.14</v>
      </c>
      <c r="P3966" t="str">
        <f t="shared" si="3671"/>
        <v>o</v>
      </c>
      <c r="Q3966" t="str">
        <f t="shared" si="3672"/>
        <v>3/2</v>
      </c>
      <c r="R3966">
        <v>36</v>
      </c>
      <c r="AA3966" s="10">
        <f t="shared" si="3581"/>
        <v>2284.9369999999999</v>
      </c>
      <c r="AB3966" s="3">
        <f t="shared" si="3582"/>
        <v>43751.38</v>
      </c>
      <c r="AC3966" s="3" cm="1">
        <f t="array" ref="AC3966">100000000/LvacE(AA3966)</f>
        <v>43751.383109853508</v>
      </c>
      <c r="AD3966" s="10">
        <f t="shared" si="3583"/>
        <v>1.457387076970908E-2</v>
      </c>
      <c r="AE3966" s="10" t="b">
        <f t="shared" si="3584"/>
        <v>1</v>
      </c>
      <c r="AJ3966" t="s">
        <v>4740</v>
      </c>
      <c r="AK3966" t="s">
        <v>4877</v>
      </c>
      <c r="AL3966">
        <v>35137.82</v>
      </c>
      <c r="AM3966">
        <v>78889.14</v>
      </c>
      <c r="AN3966" s="10" cm="1">
        <f t="array" ref="AN3966">Lair(100000000/($AM3966-$AL3966))</f>
        <v>2284.9403020889913</v>
      </c>
      <c r="AO3966" s="10">
        <f t="shared" si="3673"/>
        <v>2285.645324529637</v>
      </c>
      <c r="AP3966" s="12">
        <v>67600000</v>
      </c>
      <c r="AQ3966" s="3">
        <v>0.13500000000000001</v>
      </c>
      <c r="AR3966" s="3">
        <f t="shared" si="3674"/>
        <v>-8.4322729769722624</v>
      </c>
      <c r="AS3966" s="13">
        <f t="shared" si="3675"/>
        <v>7.0185453748011533</v>
      </c>
      <c r="AT3966" s="3">
        <f t="shared" si="3676"/>
        <v>1.9485559849996497</v>
      </c>
      <c r="AU3966" s="13" cm="1">
        <f t="array" ref="AU3966">$C3966*EXP(poly_from_str(100000000/$E3966,AU$4343))</f>
        <v>6.4394419513705987</v>
      </c>
      <c r="AV3966" s="13">
        <f t="shared" si="3677"/>
        <v>8.6114102151902155E-2</v>
      </c>
      <c r="AW3966" s="13"/>
      <c r="AX3966" s="13"/>
      <c r="AY3966" s="13"/>
    </row>
    <row r="3967" spans="1:51" x14ac:dyDescent="0.25">
      <c r="A3967" t="s">
        <v>4411</v>
      </c>
      <c r="B3967" s="2" t="str">
        <f t="shared" si="3580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3669"/>
        <v>e</v>
      </c>
      <c r="N3967" t="str">
        <f t="shared" si="3670"/>
        <v>15/2</v>
      </c>
      <c r="O3967">
        <v>62678.7</v>
      </c>
      <c r="P3967" t="str">
        <f t="shared" si="3671"/>
        <v>o</v>
      </c>
      <c r="Q3967" t="str">
        <f t="shared" si="3672"/>
        <v>13/2</v>
      </c>
      <c r="R3967">
        <v>36</v>
      </c>
      <c r="AA3967" s="10">
        <f t="shared" si="3581"/>
        <v>2284.6149999999998</v>
      </c>
      <c r="AB3967" s="3">
        <f t="shared" si="3582"/>
        <v>43757.55</v>
      </c>
      <c r="AC3967" s="3" cm="1">
        <f t="array" ref="AC3967">100000000/LvacE(AA3967)</f>
        <v>43757.5489927581</v>
      </c>
      <c r="AD3967" s="10">
        <f t="shared" si="3583"/>
        <v>1.4576569573595138E-2</v>
      </c>
      <c r="AE3967" s="10" t="b">
        <f t="shared" si="3584"/>
        <v>1</v>
      </c>
      <c r="AJ3967" t="s">
        <v>4741</v>
      </c>
      <c r="AK3967" t="s">
        <v>4888</v>
      </c>
      <c r="AL3967">
        <v>18921.240000000002</v>
      </c>
      <c r="AM3967">
        <v>62678.7</v>
      </c>
      <c r="AN3967" s="10" cm="1">
        <f t="array" ref="AN3967">Lair(100000000/($AM3967-$AL3967))</f>
        <v>2284.6196526626768</v>
      </c>
      <c r="AO3967" s="10">
        <f t="shared" si="3673"/>
        <v>2285.3246052216014</v>
      </c>
      <c r="AP3967" s="12">
        <v>795000000</v>
      </c>
      <c r="AQ3967" s="3">
        <v>0.36</v>
      </c>
      <c r="AR3967" s="3">
        <f t="shared" si="3674"/>
        <v>-8.5924301323827592</v>
      </c>
      <c r="AS3967" s="13">
        <f t="shared" si="3675"/>
        <v>278.65416017982284</v>
      </c>
      <c r="AT3967" s="3">
        <f t="shared" si="3676"/>
        <v>3.3273863506779429</v>
      </c>
      <c r="AU3967" s="13" cm="1">
        <f t="array" ref="AU3967">$C3967*EXP(poly_from_str(100000000/$E3967,AU$4343))</f>
        <v>64.531868549427571</v>
      </c>
      <c r="AV3967" s="13">
        <f t="shared" si="3677"/>
        <v>1.4628122558529406</v>
      </c>
      <c r="AW3967" s="13"/>
      <c r="AX3967" s="13"/>
      <c r="AY3967" s="13"/>
    </row>
    <row r="3968" spans="1:51" x14ac:dyDescent="0.25">
      <c r="A3968" t="s">
        <v>4412</v>
      </c>
      <c r="B3968" s="2" t="str">
        <f t="shared" si="3580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3669"/>
        <v>e</v>
      </c>
      <c r="N3968" t="str">
        <f t="shared" si="3670"/>
        <v>9/2</v>
      </c>
      <c r="O3968">
        <v>68801.67</v>
      </c>
      <c r="P3968" t="str">
        <f t="shared" si="3671"/>
        <v>o</v>
      </c>
      <c r="Q3968" t="str">
        <f t="shared" si="3672"/>
        <v>7/2</v>
      </c>
      <c r="R3968">
        <v>36</v>
      </c>
      <c r="AA3968" s="10">
        <f t="shared" si="3581"/>
        <v>2284.078</v>
      </c>
      <c r="AB3968" s="3">
        <f t="shared" si="3582"/>
        <v>43767.839999999997</v>
      </c>
      <c r="AC3968" s="3" cm="1">
        <f t="array" ref="AC3968">100000000/LvacE(AA3968)</f>
        <v>43767.835713617191</v>
      </c>
      <c r="AD3968" s="10">
        <f t="shared" si="3583"/>
        <v>1.4581072912925302E-2</v>
      </c>
      <c r="AE3968" s="10" t="b">
        <f t="shared" si="3584"/>
        <v>1</v>
      </c>
      <c r="AJ3968" t="s">
        <v>4746</v>
      </c>
      <c r="AK3968" t="s">
        <v>4857</v>
      </c>
      <c r="AL3968">
        <v>25033.91</v>
      </c>
      <c r="AM3968">
        <v>68801.67</v>
      </c>
      <c r="AN3968" s="10" cm="1">
        <f t="array" ref="AN3968">Lair(100000000/($AM3968-$AL3968))</f>
        <v>2284.0819574404613</v>
      </c>
      <c r="AO3968" s="10">
        <f t="shared" si="3673"/>
        <v>2284.78679283564</v>
      </c>
      <c r="AP3968" s="12">
        <v>20300000</v>
      </c>
      <c r="AQ3968" s="3">
        <v>2.1000000000000001E-2</v>
      </c>
      <c r="AR3968" s="3"/>
      <c r="AS3968" s="13">
        <f t="shared" si="3675"/>
        <v>4.4950487643214938</v>
      </c>
      <c r="AT3968" s="3"/>
      <c r="AU3968" s="13" cm="1">
        <f t="array" ref="AU3968">$C3968*EXP(poly_from_str(100000000/$E3968,AU$4343))</f>
        <v>45.333775908930569</v>
      </c>
      <c r="AV3968" s="13"/>
      <c r="AW3968" s="13"/>
      <c r="AX3968" s="13"/>
      <c r="AY3968" s="13"/>
    </row>
    <row r="3969" spans="1:51" x14ac:dyDescent="0.25">
      <c r="A3969" t="s">
        <v>4413</v>
      </c>
      <c r="B3969" s="2" t="str">
        <f t="shared" si="3580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3669"/>
        <v>e</v>
      </c>
      <c r="N3969" t="str">
        <f t="shared" si="3670"/>
        <v>3/2</v>
      </c>
      <c r="O3969">
        <v>66867.09</v>
      </c>
      <c r="P3969" t="str">
        <f t="shared" si="3671"/>
        <v>o</v>
      </c>
      <c r="Q3969" t="str">
        <f t="shared" si="3672"/>
        <v>3/2</v>
      </c>
      <c r="R3969">
        <v>36</v>
      </c>
      <c r="AA3969" s="10">
        <f t="shared" si="3581"/>
        <v>2281.5419999999999</v>
      </c>
      <c r="AB3969" s="3">
        <f t="shared" si="3582"/>
        <v>43816.480000000003</v>
      </c>
      <c r="AC3969" s="3" cm="1">
        <f t="array" ref="AC3969">100000000/LvacE(AA3969)</f>
        <v>43816.480506851425</v>
      </c>
      <c r="AD3969" s="10">
        <f t="shared" si="3583"/>
        <v>1.4602383060853454E-2</v>
      </c>
      <c r="AE3969" s="10" t="b">
        <f t="shared" si="3584"/>
        <v>1</v>
      </c>
      <c r="AJ3969" t="s">
        <v>4769</v>
      </c>
      <c r="AK3969" t="s">
        <v>4867</v>
      </c>
      <c r="AL3969">
        <v>23050.61</v>
      </c>
      <c r="AM3969">
        <v>66867.09</v>
      </c>
      <c r="AN3969" s="10" cm="1">
        <f t="array" ref="AN3969">Lair(100000000/($AM3969-$AL3969))</f>
        <v>2281.5420323342441</v>
      </c>
      <c r="AO3969" s="10">
        <f t="shared" si="3673"/>
        <v>2282.2463146286514</v>
      </c>
      <c r="AP3969" s="12">
        <v>277000000</v>
      </c>
      <c r="AQ3969" s="3">
        <v>0.251</v>
      </c>
      <c r="AR3969" s="3">
        <f t="shared" ref="AR3969:AR3970" si="3678">LN(AU3969*100000000/($AM3969-$AL3969)/AP3969)</f>
        <v>-7.6241736333121679</v>
      </c>
      <c r="AS3969" s="13">
        <f t="shared" si="3675"/>
        <v>70.999272204337586</v>
      </c>
      <c r="AT3969" s="3">
        <f t="shared" si="3676"/>
        <v>2.0654450490094254</v>
      </c>
      <c r="AU3969" s="13" cm="1">
        <f t="array" ref="AU3969">$C3969*EXP(poly_from_str(100000000/$E3969,AU$4343))</f>
        <v>59.289899828068783</v>
      </c>
      <c r="AV3969" s="13">
        <f t="shared" ref="AV3969:AV3970" si="3679">LN(AS3969/AU3969)</f>
        <v>0.18023065815269385</v>
      </c>
      <c r="AW3969" s="13"/>
      <c r="AX3969" s="13"/>
      <c r="AY3969" s="13"/>
    </row>
    <row r="3970" spans="1:51" x14ac:dyDescent="0.25">
      <c r="A3970" t="s">
        <v>4414</v>
      </c>
      <c r="B3970" s="2" t="str">
        <f t="shared" ref="B3970:B4033" si="3680">IF(OR(A3970=A3969,A3970=A3971),IF(B3969="",1,B3969+1),"")</f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3669"/>
        <v>e</v>
      </c>
      <c r="N3970" t="str">
        <f t="shared" si="3670"/>
        <v>11/2</v>
      </c>
      <c r="O3970">
        <v>62062.63</v>
      </c>
      <c r="P3970" t="str">
        <f t="shared" si="3671"/>
        <v>o</v>
      </c>
      <c r="Q3970" t="str">
        <f t="shared" si="3672"/>
        <v>9/2</v>
      </c>
      <c r="R3970">
        <v>36</v>
      </c>
      <c r="S3970" t="s">
        <v>159</v>
      </c>
      <c r="AA3970" s="10">
        <f t="shared" si="3581"/>
        <v>2281.3000000000002</v>
      </c>
      <c r="AB3970" s="3">
        <f t="shared" si="3582"/>
        <v>43821.13</v>
      </c>
      <c r="AC3970" s="3" cm="1">
        <f t="array" ref="AC3970">100000000/LvacE(AA3970)</f>
        <v>43821.12813000616</v>
      </c>
      <c r="AD3970" s="10">
        <f t="shared" si="3583"/>
        <v>1.4604420315172523E-2</v>
      </c>
      <c r="AE3970" s="10" t="b">
        <f t="shared" si="3584"/>
        <v>1</v>
      </c>
      <c r="AJ3970" t="s">
        <v>4724</v>
      </c>
      <c r="AK3970" t="s">
        <v>4848</v>
      </c>
      <c r="AL3970">
        <v>18241.54</v>
      </c>
      <c r="AM3970">
        <v>62062.63</v>
      </c>
      <c r="AN3970" s="10" cm="1">
        <f t="array" ref="AN3970">Lair(100000000/($AM3970-$AL3970))</f>
        <v>2281.3019911530882</v>
      </c>
      <c r="AO3970" s="10">
        <f t="shared" si="3673"/>
        <v>2282.0062212053604</v>
      </c>
      <c r="AP3970" s="12">
        <v>74500000</v>
      </c>
      <c r="AQ3970" s="3">
        <v>5.8000000000000003E-2</v>
      </c>
      <c r="AR3970" s="3">
        <f t="shared" si="3678"/>
        <v>-6.560724907560382</v>
      </c>
      <c r="AS3970" s="13">
        <f t="shared" si="3675"/>
        <v>27.388291582334958</v>
      </c>
      <c r="AT3970" s="3">
        <f t="shared" si="3676"/>
        <v>1.3642054585005248</v>
      </c>
      <c r="AU3970" s="13" cm="1">
        <f t="array" ref="AU3970">$C3970*EXP(poly_from_str(100000000/$E3970,AU$4343))</f>
        <v>46.190517087064464</v>
      </c>
      <c r="AV3970" s="13">
        <f t="shared" si="3679"/>
        <v>-0.52265891160783107</v>
      </c>
      <c r="AW3970" s="13"/>
      <c r="AX3970" s="13"/>
      <c r="AY3970" s="13"/>
    </row>
    <row r="3971" spans="1:51" x14ac:dyDescent="0.25">
      <c r="A3971" t="s">
        <v>4415</v>
      </c>
      <c r="B3971" s="2" t="str">
        <f t="shared" si="3680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3669"/>
        <v>e</v>
      </c>
      <c r="N3971" t="str">
        <f t="shared" si="3670"/>
        <v>7/2</v>
      </c>
      <c r="O3971">
        <v>65909.440000000002</v>
      </c>
      <c r="P3971" t="str">
        <f t="shared" si="3671"/>
        <v>o</v>
      </c>
      <c r="Q3971" t="str">
        <f t="shared" si="3672"/>
        <v>5/2</v>
      </c>
      <c r="R3971">
        <v>36</v>
      </c>
      <c r="AA3971" s="10">
        <f t="shared" ref="AA3971:AA4034" si="3681">ROUND($A3971,3)+0</f>
        <v>2280.92</v>
      </c>
      <c r="AB3971" s="3">
        <f t="shared" ref="AB3971:AB4034" si="3682">ROUND($E3971,2)+0</f>
        <v>43828.43</v>
      </c>
      <c r="AC3971" s="3" cm="1">
        <f t="array" ref="AC3971">100000000/LvacE(AA3971)</f>
        <v>43828.428040398045</v>
      </c>
      <c r="AD3971" s="10">
        <f t="shared" ref="AD3971:AD4034" si="3683">0.0005/$AA3971*AC3971+0.005</f>
        <v>1.4607620618083503E-2</v>
      </c>
      <c r="AE3971" s="10" t="b">
        <f t="shared" ref="AE3971:AE4034" si="3684">ABS(AB3971-AC3971)&lt;AD3971</f>
        <v>1</v>
      </c>
      <c r="AJ3971" t="s">
        <v>4790</v>
      </c>
      <c r="AK3971" t="s">
        <v>4907</v>
      </c>
      <c r="AL3971">
        <v>22080.94</v>
      </c>
      <c r="AM3971">
        <v>65909.440000000002</v>
      </c>
      <c r="AN3971" s="10" cm="1">
        <f t="array" ref="AN3971">Lair(100000000/($AM3971-$AL3971))</f>
        <v>2280.9162606994992</v>
      </c>
      <c r="AO3971" s="10">
        <f t="shared" si="3673"/>
        <v>2281.6204068129186</v>
      </c>
      <c r="AP3971" s="12">
        <v>7650000</v>
      </c>
      <c r="AQ3971" s="3">
        <v>2.1999999999999999E-2</v>
      </c>
      <c r="AR3971" s="3"/>
      <c r="AS3971" s="13">
        <f t="shared" si="3675"/>
        <v>2.1074961540101209</v>
      </c>
      <c r="AT3971" s="3"/>
      <c r="AU3971" s="13" cm="1">
        <f t="array" ref="AU3971">$C3971*EXP(poly_from_str(100000000/$E3971,AU$4343))</f>
        <v>6.6158016313029568</v>
      </c>
      <c r="AV3971" s="13"/>
      <c r="AW3971" s="13"/>
      <c r="AX3971" s="13"/>
      <c r="AY3971" s="13"/>
    </row>
    <row r="3972" spans="1:51" x14ac:dyDescent="0.25">
      <c r="A3972" t="s">
        <v>4416</v>
      </c>
      <c r="B3972" s="2" t="str">
        <f t="shared" si="3680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3669"/>
        <v>e</v>
      </c>
      <c r="N3972" t="str">
        <f t="shared" si="3670"/>
        <v>9/2</v>
      </c>
      <c r="O3972">
        <v>67679.210000000006</v>
      </c>
      <c r="P3972" t="str">
        <f t="shared" si="3671"/>
        <v>o</v>
      </c>
      <c r="Q3972" t="str">
        <f t="shared" si="3672"/>
        <v>7/2</v>
      </c>
      <c r="R3972">
        <v>36</v>
      </c>
      <c r="S3972" t="s">
        <v>2205</v>
      </c>
      <c r="AA3972" s="10">
        <f t="shared" si="3681"/>
        <v>2280.598</v>
      </c>
      <c r="AB3972" s="3">
        <f t="shared" si="3682"/>
        <v>43834.62</v>
      </c>
      <c r="AC3972" s="3" cm="1">
        <f t="array" ref="AC3972">100000000/LvacE(AA3972)</f>
        <v>43834.615657621071</v>
      </c>
      <c r="AD3972" s="10">
        <f t="shared" si="3683"/>
        <v>1.4610333705813359E-2</v>
      </c>
      <c r="AE3972" s="10" t="b">
        <f t="shared" si="3684"/>
        <v>1</v>
      </c>
      <c r="AJ3972" t="s">
        <v>4763</v>
      </c>
      <c r="AK3972" t="s">
        <v>4861</v>
      </c>
      <c r="AL3972">
        <v>23844.58</v>
      </c>
      <c r="AM3972">
        <v>67679.210000000006</v>
      </c>
      <c r="AN3972" s="10" cm="1">
        <f t="array" ref="AN3972">Lair(100000000/($AM3972-$AL3972))</f>
        <v>2280.5972597034615</v>
      </c>
      <c r="AO3972" s="10">
        <f t="shared" si="3673"/>
        <v>2281.3013364091357</v>
      </c>
      <c r="AP3972" s="12">
        <v>107000000</v>
      </c>
      <c r="AQ3972" s="3">
        <v>0.11700000000000001</v>
      </c>
      <c r="AR3972" s="3">
        <f>LN(AU3972*100000000/($AM3972-$AL3972)/AP3972)</f>
        <v>-7.0724098003925784</v>
      </c>
      <c r="AS3972" s="13">
        <f t="shared" si="3675"/>
        <v>25.814803899401863</v>
      </c>
      <c r="AT3972" s="3">
        <f t="shared" si="3676"/>
        <v>1.4591886526928284</v>
      </c>
      <c r="AU3972" s="13" cm="1">
        <f t="array" ref="AU3972">$C3972*EXP(poly_from_str(100000000/$E3972,AU$4343))</f>
        <v>39.782545917879119</v>
      </c>
      <c r="AV3972" s="13">
        <f>LN(AS3972/AU3972)</f>
        <v>-0.43248014940371826</v>
      </c>
      <c r="AW3972" s="13"/>
      <c r="AX3972" s="13"/>
      <c r="AY3972" s="13"/>
    </row>
    <row r="3973" spans="1:51" x14ac:dyDescent="0.25">
      <c r="A3973" t="s">
        <v>4417</v>
      </c>
      <c r="B3973" s="2" t="str">
        <f t="shared" si="3680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3681"/>
        <v>2280.1529999999998</v>
      </c>
      <c r="AB3973" s="3">
        <f t="shared" si="3682"/>
        <v>43843.17</v>
      </c>
      <c r="AC3973" s="3" cm="1">
        <f t="array" ref="AC3973">100000000/LvacE(AA3973)</f>
        <v>43843.169743664927</v>
      </c>
      <c r="AD3973" s="10">
        <f t="shared" si="3683"/>
        <v>1.4614085051236677E-2</v>
      </c>
      <c r="AE3973" s="10" t="b">
        <f t="shared" si="3684"/>
        <v>1</v>
      </c>
      <c r="AP3973"/>
      <c r="AQ3973"/>
      <c r="AU3973" s="13" cm="1">
        <f t="array" ref="AU3973">$C3973*EXP(poly_from_str(100000000/$E3973,AU$4343))</f>
        <v>6.6507360272207992</v>
      </c>
    </row>
    <row r="3974" spans="1:51" x14ac:dyDescent="0.25">
      <c r="A3974" t="s">
        <v>4418</v>
      </c>
      <c r="B3974" s="2" t="str">
        <f t="shared" si="3680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3681"/>
        <v>2279.7060000000001</v>
      </c>
      <c r="AB3974" s="3">
        <f t="shared" si="3682"/>
        <v>43851.77</v>
      </c>
      <c r="AC3974" s="3" cm="1">
        <f t="array" ref="AC3974">100000000/LvacE(AA3974)</f>
        <v>43851.76563645999</v>
      </c>
      <c r="AD3974" s="10">
        <f t="shared" si="3683"/>
        <v>1.4617855468305997E-2</v>
      </c>
      <c r="AE3974" s="10" t="b">
        <f t="shared" si="3684"/>
        <v>1</v>
      </c>
      <c r="AP3974"/>
      <c r="AQ3974"/>
      <c r="AU3974" s="13" cm="1">
        <f t="array" ref="AU3974">$C3974*EXP(poly_from_str(100000000/$E3974,AU$4343))</f>
        <v>6.6713007603966945</v>
      </c>
    </row>
    <row r="3975" spans="1:51" x14ac:dyDescent="0.25">
      <c r="A3975" t="s">
        <v>4419</v>
      </c>
      <c r="B3975" s="2" t="str">
        <f t="shared" si="3680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3681"/>
        <v>2279.5740000000001</v>
      </c>
      <c r="AB3975" s="3">
        <f t="shared" si="3682"/>
        <v>43854.3</v>
      </c>
      <c r="AC3975" s="3" cm="1">
        <f t="array" ref="AC3975">100000000/LvacE(AA3975)</f>
        <v>43854.304665520896</v>
      </c>
      <c r="AD3975" s="10">
        <f t="shared" si="3683"/>
        <v>1.4618969304247394E-2</v>
      </c>
      <c r="AE3975" s="10" t="b">
        <f t="shared" si="3684"/>
        <v>1</v>
      </c>
      <c r="AJ3975" t="s">
        <v>4790</v>
      </c>
      <c r="AK3975" t="s">
        <v>4858</v>
      </c>
      <c r="AL3975">
        <v>22080.94</v>
      </c>
      <c r="AM3975">
        <v>65935.25</v>
      </c>
      <c r="AN3975" s="10" cm="1">
        <f t="array" ref="AN3975">Lair(100000000/($AM3975-$AL3975))</f>
        <v>2279.5737286814851</v>
      </c>
      <c r="AO3975" s="10">
        <f>100000000/($AM3975-$AL3975)</f>
        <v>2280.2775827507035</v>
      </c>
      <c r="AP3975" s="12">
        <v>30000000</v>
      </c>
      <c r="AQ3975" s="3">
        <v>0.04</v>
      </c>
      <c r="AR3975" s="3"/>
      <c r="AS3975" s="13">
        <f>EXP(AR$4341*$AM3975+AR$4342)*$AP3975/(100000000/($AM3975-$AL3975))</f>
        <v>8.2535554887408562</v>
      </c>
      <c r="AT3975" s="3"/>
      <c r="AU3975" s="13" cm="1">
        <f t="array" ref="AU3975">$C3975*EXP(poly_from_str(100000000/$E3975,AU$4343))</f>
        <v>13.354752775001087</v>
      </c>
      <c r="AV3975" s="13"/>
      <c r="AW3975" s="13"/>
      <c r="AX3975" s="13"/>
      <c r="AY3975" s="13"/>
    </row>
    <row r="3976" spans="1:51" x14ac:dyDescent="0.25">
      <c r="A3976" t="s">
        <v>4420</v>
      </c>
      <c r="B3976" s="2" t="str">
        <f t="shared" si="3680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3681"/>
        <v>2279.4169999999999</v>
      </c>
      <c r="AB3976" s="3">
        <f t="shared" si="3682"/>
        <v>43857.32</v>
      </c>
      <c r="AC3976" s="3" cm="1">
        <f t="array" ref="AC3976">100000000/LvacE(AA3976)</f>
        <v>43857.324954107731</v>
      </c>
      <c r="AD3976" s="10">
        <f t="shared" si="3683"/>
        <v>1.4620294345902424E-2</v>
      </c>
      <c r="AE3976" s="10" t="b">
        <f t="shared" si="3684"/>
        <v>1</v>
      </c>
      <c r="AP3976"/>
      <c r="AQ3976"/>
      <c r="AU3976" s="13" cm="1">
        <f t="array" ref="AU3976">$C3976*EXP(poly_from_str(100000000/$E3976,AU$4343))</f>
        <v>6.6846441159705439</v>
      </c>
    </row>
    <row r="3977" spans="1:51" x14ac:dyDescent="0.25">
      <c r="A3977" t="s">
        <v>4421</v>
      </c>
      <c r="B3977" s="2" t="str">
        <f t="shared" si="3680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3685">$G3977&amp;""</f>
        <v>e</v>
      </c>
      <c r="N3977" t="str">
        <f t="shared" ref="N3977:N3981" si="3686">$H3977&amp;""</f>
        <v>7/2</v>
      </c>
      <c r="O3977">
        <v>68331.73</v>
      </c>
      <c r="P3977" t="str">
        <f t="shared" ref="P3977:P3981" si="3687">$J3977&amp;""</f>
        <v>o</v>
      </c>
      <c r="Q3977" t="str">
        <f t="shared" ref="Q3977:Q3981" si="3688">$K3977&amp;""</f>
        <v>7/2</v>
      </c>
      <c r="R3977">
        <v>36</v>
      </c>
      <c r="AA3977" s="10">
        <f t="shared" si="3681"/>
        <v>2279.2370000000001</v>
      </c>
      <c r="AB3977" s="3">
        <f t="shared" si="3682"/>
        <v>43860.79</v>
      </c>
      <c r="AC3977" s="3" cm="1">
        <f t="array" ref="AC3977">100000000/LvacE(AA3977)</f>
        <v>43860.788217244575</v>
      </c>
      <c r="AD3977" s="10">
        <f t="shared" si="3683"/>
        <v>1.4621813838851461E-2</v>
      </c>
      <c r="AE3977" s="10" t="b">
        <f t="shared" si="3684"/>
        <v>1</v>
      </c>
      <c r="AJ3977" t="s">
        <v>4747</v>
      </c>
      <c r="AK3977" t="s">
        <v>4923</v>
      </c>
      <c r="AL3977">
        <v>24470.9</v>
      </c>
      <c r="AM3977">
        <v>68331.75</v>
      </c>
      <c r="AN3977" s="10" cm="1">
        <f t="array" ref="AN3977">Lair(100000000/($AM3977-$AL3977))</f>
        <v>2279.2337951607456</v>
      </c>
      <c r="AO3977" s="10">
        <f t="shared" ref="AO3977:AO3981" si="3689">100000000/($AM3977-$AL3977)</f>
        <v>2279.9375753091881</v>
      </c>
      <c r="AP3977" s="12">
        <v>188000000</v>
      </c>
      <c r="AQ3977" s="3">
        <v>0.153</v>
      </c>
      <c r="AR3977" s="3">
        <f t="shared" ref="AR3977:AR3981" si="3690">LN(AU3977*100000000/($AM3977-$AL3977)/AP3977)</f>
        <v>-7.4730745055713008</v>
      </c>
      <c r="AS3977" s="13">
        <f t="shared" ref="AS3977:AS3981" si="3691">EXP(AR$4341*$AM3977+AR$4342)*$AP3977/(100000000/($AM3977-$AL3977))</f>
        <v>43.215024147487718</v>
      </c>
      <c r="AT3977" s="3">
        <f t="shared" ref="AT3977:AT3981" si="3692">LN(AS3977/$C3977)</f>
        <v>1.8202780669247358</v>
      </c>
      <c r="AU3977" s="13" cm="1">
        <f t="array" ref="AU3977">$C3977*EXP(poly_from_str(100000000/$E3977,AU$4343))</f>
        <v>46.851108681599158</v>
      </c>
      <c r="AV3977" s="13">
        <f t="shared" ref="AV3977:AV3981" si="3693">LN(AS3977/AU3977)</f>
        <v>-8.0786456919561669E-2</v>
      </c>
      <c r="AW3977" s="13"/>
      <c r="AX3977" s="13"/>
      <c r="AY3977" s="13"/>
    </row>
    <row r="3978" spans="1:51" x14ac:dyDescent="0.25">
      <c r="A3978" t="s">
        <v>4422</v>
      </c>
      <c r="B3978" s="2" t="str">
        <f t="shared" si="3680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3685"/>
        <v>e</v>
      </c>
      <c r="N3978" t="str">
        <f t="shared" si="3686"/>
        <v>5/2</v>
      </c>
      <c r="O3978">
        <v>67395.320000000007</v>
      </c>
      <c r="P3978" t="str">
        <f t="shared" si="3687"/>
        <v>o</v>
      </c>
      <c r="Q3978" t="str">
        <f t="shared" si="3688"/>
        <v>5/2</v>
      </c>
      <c r="R3978">
        <v>36</v>
      </c>
      <c r="AA3978" s="10">
        <f t="shared" si="3681"/>
        <v>2279.1529999999998</v>
      </c>
      <c r="AB3978" s="3">
        <f t="shared" si="3682"/>
        <v>43862.400000000001</v>
      </c>
      <c r="AC3978" s="3" cm="1">
        <f t="array" ref="AC3978">100000000/LvacE(AA3978)</f>
        <v>43862.404593879328</v>
      </c>
      <c r="AD3978" s="10">
        <f t="shared" si="3683"/>
        <v>1.4622523058758965E-2</v>
      </c>
      <c r="AE3978" s="10" t="b">
        <f t="shared" si="3684"/>
        <v>1</v>
      </c>
      <c r="AJ3978" t="s">
        <v>4756</v>
      </c>
      <c r="AK3978" t="s">
        <v>4894</v>
      </c>
      <c r="AL3978">
        <v>23532.86</v>
      </c>
      <c r="AM3978">
        <v>67395.320000000007</v>
      </c>
      <c r="AN3978" s="10" cm="1">
        <f t="array" ref="AN3978">Lair(100000000/($AM3978-$AL3978))</f>
        <v>2279.1501267681779</v>
      </c>
      <c r="AO3978" s="10">
        <f t="shared" si="3689"/>
        <v>2279.8538887239793</v>
      </c>
      <c r="AP3978" s="12">
        <v>308000000</v>
      </c>
      <c r="AQ3978" s="3">
        <v>0.313</v>
      </c>
      <c r="AR3978" s="3">
        <f t="shared" si="3690"/>
        <v>-7.9661877454647572</v>
      </c>
      <c r="AS3978" s="13">
        <f t="shared" si="3691"/>
        <v>75.956345945409481</v>
      </c>
      <c r="AT3978" s="3">
        <f t="shared" si="3692"/>
        <v>2.3842486307476123</v>
      </c>
      <c r="AU3978" s="13" cm="1">
        <f t="array" ref="AU3978">$C3978*EXP(poly_from_str(100000000/$E3978,AU$4343))</f>
        <v>46.87835051882314</v>
      </c>
      <c r="AV3978" s="13">
        <f t="shared" si="3693"/>
        <v>0.48260282033186896</v>
      </c>
      <c r="AW3978" s="13"/>
      <c r="AX3978" s="13"/>
      <c r="AY3978" s="13"/>
    </row>
    <row r="3979" spans="1:51" x14ac:dyDescent="0.25">
      <c r="A3979" t="s">
        <v>4423</v>
      </c>
      <c r="B3979" s="2" t="str">
        <f t="shared" si="3680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3685"/>
        <v>e</v>
      </c>
      <c r="N3979" t="str">
        <f t="shared" si="3686"/>
        <v>5/2</v>
      </c>
      <c r="O3979">
        <v>68331.73</v>
      </c>
      <c r="P3979" t="str">
        <f t="shared" si="3687"/>
        <v>o</v>
      </c>
      <c r="Q3979" t="str">
        <f t="shared" si="3688"/>
        <v>7/2</v>
      </c>
      <c r="R3979">
        <v>36</v>
      </c>
      <c r="AA3979" s="10">
        <f t="shared" si="3681"/>
        <v>2278.7359999999999</v>
      </c>
      <c r="AB3979" s="3">
        <f t="shared" si="3682"/>
        <v>43870.43</v>
      </c>
      <c r="AC3979" s="3" cm="1">
        <f t="array" ref="AC3979">100000000/LvacE(AA3979)</f>
        <v>43870.430513153726</v>
      </c>
      <c r="AD3979" s="10">
        <f t="shared" si="3683"/>
        <v>1.4626044990107175E-2</v>
      </c>
      <c r="AE3979" s="10" t="b">
        <f t="shared" si="3684"/>
        <v>1</v>
      </c>
      <c r="AJ3979" t="s">
        <v>4717</v>
      </c>
      <c r="AK3979" t="s">
        <v>4923</v>
      </c>
      <c r="AL3979">
        <v>24461.24</v>
      </c>
      <c r="AM3979">
        <v>68331.75</v>
      </c>
      <c r="AN3979" s="10" cm="1">
        <f t="array" ref="AN3979">Lair(100000000/($AM3979-$AL3979))</f>
        <v>2278.7318769120279</v>
      </c>
      <c r="AO3979" s="10">
        <f t="shared" si="3689"/>
        <v>2279.4355479341366</v>
      </c>
      <c r="AP3979" s="12">
        <v>73100000</v>
      </c>
      <c r="AQ3979" s="3">
        <v>0.14299999999999999</v>
      </c>
      <c r="AR3979" s="3">
        <f t="shared" si="3690"/>
        <v>-6.6793456654138552</v>
      </c>
      <c r="AS3979" s="13">
        <f t="shared" si="3691"/>
        <v>16.806989433971435</v>
      </c>
      <c r="AT3979" s="3">
        <f t="shared" si="3692"/>
        <v>1.0300353683978503</v>
      </c>
      <c r="AU3979" s="13" cm="1">
        <f t="array" ref="AU3979">$C3979*EXP(poly_from_str(100000000/$E3979,AU$4343))</f>
        <v>40.298334264162307</v>
      </c>
      <c r="AV3979" s="13">
        <f t="shared" si="3693"/>
        <v>-0.87451529707700748</v>
      </c>
      <c r="AW3979" s="13"/>
      <c r="AX3979" s="13"/>
      <c r="AY3979" s="13"/>
    </row>
    <row r="3980" spans="1:51" x14ac:dyDescent="0.25">
      <c r="A3980" t="s">
        <v>4424</v>
      </c>
      <c r="B3980" s="2" t="str">
        <f t="shared" si="3680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3685"/>
        <v>e</v>
      </c>
      <c r="N3980" t="str">
        <f t="shared" si="3686"/>
        <v>11/2</v>
      </c>
      <c r="O3980">
        <v>83607.320000000007</v>
      </c>
      <c r="P3980" t="str">
        <f t="shared" si="3687"/>
        <v>o</v>
      </c>
      <c r="Q3980" t="str">
        <f t="shared" si="3688"/>
        <v>11/2</v>
      </c>
      <c r="R3980">
        <v>36</v>
      </c>
      <c r="AA3980" s="10">
        <f t="shared" si="3681"/>
        <v>2278.5360000000001</v>
      </c>
      <c r="AB3980" s="3">
        <f t="shared" si="3682"/>
        <v>43874.28</v>
      </c>
      <c r="AC3980" s="3" cm="1">
        <f t="array" ref="AC3980">100000000/LvacE(AA3980)</f>
        <v>43874.280917073891</v>
      </c>
      <c r="AD3980" s="10">
        <f t="shared" si="3683"/>
        <v>1.4627734851912343E-2</v>
      </c>
      <c r="AE3980" s="10" t="b">
        <f t="shared" si="3684"/>
        <v>1</v>
      </c>
      <c r="AJ3980" t="s">
        <v>4725</v>
      </c>
      <c r="AK3980" t="s">
        <v>4924</v>
      </c>
      <c r="AL3980">
        <v>39732.99</v>
      </c>
      <c r="AM3980">
        <v>83607.320000000007</v>
      </c>
      <c r="AN3980" s="10" cm="1">
        <f t="array" ref="AN3980">Lair(100000000/($AM3980-$AL3980))</f>
        <v>2278.533456757908</v>
      </c>
      <c r="AO3980" s="10">
        <f t="shared" si="3689"/>
        <v>2279.2370846460785</v>
      </c>
      <c r="AP3980" s="12">
        <v>1450000000</v>
      </c>
      <c r="AQ3980" s="3">
        <v>0.79400000000000004</v>
      </c>
      <c r="AR3980" s="3">
        <f t="shared" si="3690"/>
        <v>-9.5113764493534383</v>
      </c>
      <c r="AS3980" s="13">
        <f t="shared" si="3691"/>
        <v>105.95244305925451</v>
      </c>
      <c r="AT3980" s="3">
        <f t="shared" si="3692"/>
        <v>2.7170801939986662</v>
      </c>
      <c r="AU3980" s="13" cm="1">
        <f t="array" ref="AU3980">$C3980*EXP(poly_from_str(100000000/$E3980,AU$4343))</f>
        <v>47.080405251192083</v>
      </c>
      <c r="AV3980" s="13">
        <f t="shared" si="3693"/>
        <v>0.81113345298458928</v>
      </c>
      <c r="AW3980" s="13"/>
      <c r="AX3980" s="13"/>
      <c r="AY3980" s="13"/>
    </row>
    <row r="3981" spans="1:51" x14ac:dyDescent="0.25">
      <c r="A3981" t="s">
        <v>4425</v>
      </c>
      <c r="B3981" s="2" t="str">
        <f t="shared" si="3680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3685"/>
        <v>e</v>
      </c>
      <c r="N3981" t="str">
        <f t="shared" si="3686"/>
        <v>3/2</v>
      </c>
      <c r="O3981">
        <v>79742.36</v>
      </c>
      <c r="P3981" t="str">
        <f t="shared" si="3687"/>
        <v>o</v>
      </c>
      <c r="Q3981" t="str">
        <f t="shared" si="3688"/>
        <v>1/2</v>
      </c>
      <c r="R3981">
        <v>36</v>
      </c>
      <c r="AA3981" s="10">
        <f t="shared" si="3681"/>
        <v>2278.3069999999998</v>
      </c>
      <c r="AB3981" s="3">
        <f t="shared" si="3682"/>
        <v>43878.69</v>
      </c>
      <c r="AC3981" s="3" cm="1">
        <f t="array" ref="AC3981">100000000/LvacE(AA3981)</f>
        <v>43878.690459551392</v>
      </c>
      <c r="AD3981" s="10">
        <f t="shared" si="3683"/>
        <v>1.462967029016533E-2</v>
      </c>
      <c r="AE3981" s="10" t="b">
        <f t="shared" si="3684"/>
        <v>1</v>
      </c>
      <c r="AJ3981" t="s">
        <v>4811</v>
      </c>
      <c r="AK3981" t="s">
        <v>4897</v>
      </c>
      <c r="AL3981">
        <v>35863.74</v>
      </c>
      <c r="AM3981">
        <v>79742.36</v>
      </c>
      <c r="AN3981" s="10" cm="1">
        <f t="array" ref="AN3981">Lair(100000000/($AM3981-$AL3981))</f>
        <v>2278.3106648344533</v>
      </c>
      <c r="AO3981" s="10">
        <f t="shared" si="3689"/>
        <v>2279.0142442948295</v>
      </c>
      <c r="AP3981" s="12">
        <v>392000000</v>
      </c>
      <c r="AQ3981" s="3">
        <v>0.59699999999999998</v>
      </c>
      <c r="AR3981" s="3">
        <f t="shared" si="3690"/>
        <v>-8.3559661070777498</v>
      </c>
      <c r="AS3981" s="13">
        <f t="shared" si="3691"/>
        <v>38.28598288182976</v>
      </c>
      <c r="AT3981" s="3">
        <f t="shared" si="3692"/>
        <v>1.8533243777730597</v>
      </c>
      <c r="AU3981" s="13" cm="1">
        <f t="array" ref="AU3981">$C3981*EXP(poly_from_str(100000000/$E3981,AU$4343))</f>
        <v>40.419324960767895</v>
      </c>
      <c r="AV3981" s="13">
        <f t="shared" si="3693"/>
        <v>-5.4224164210655242E-2</v>
      </c>
      <c r="AW3981" s="13"/>
      <c r="AX3981" s="13"/>
      <c r="AY3981" s="13"/>
    </row>
    <row r="3982" spans="1:51" x14ac:dyDescent="0.25">
      <c r="A3982" t="s">
        <v>4426</v>
      </c>
      <c r="B3982" s="2" t="str">
        <f t="shared" si="3680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3681"/>
        <v>2278.0949999999998</v>
      </c>
      <c r="AB3982" s="3">
        <f t="shared" si="3682"/>
        <v>43882.77</v>
      </c>
      <c r="AC3982" s="3" cm="1">
        <f t="array" ref="AC3982">100000000/LvacE(AA3982)</f>
        <v>43882.773446169922</v>
      </c>
      <c r="AD3982" s="10">
        <f t="shared" si="3683"/>
        <v>1.463146256985989E-2</v>
      </c>
      <c r="AE3982" s="10" t="b">
        <f t="shared" si="3684"/>
        <v>1</v>
      </c>
      <c r="AP3982"/>
      <c r="AQ3982"/>
      <c r="AU3982" s="13" cm="1">
        <f t="array" ref="AU3982">$C3982*EXP(poly_from_str(100000000/$E3982,AU$4343))</f>
        <v>6.7465617949311225</v>
      </c>
    </row>
    <row r="3983" spans="1:51" x14ac:dyDescent="0.25">
      <c r="A3983" t="s">
        <v>4427</v>
      </c>
      <c r="B3983" s="2" t="str">
        <f t="shared" si="3680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3694">$G3983&amp;""</f>
        <v>e</v>
      </c>
      <c r="N3983" t="str">
        <f t="shared" ref="N3983:N3988" si="3695">$H3983&amp;""</f>
        <v>5/2</v>
      </c>
      <c r="O3983">
        <v>80897.850000000006</v>
      </c>
      <c r="P3983" t="str">
        <f t="shared" ref="P3983:P3988" si="3696">$J3983&amp;""</f>
        <v>o</v>
      </c>
      <c r="Q3983" t="str">
        <f t="shared" ref="Q3983:Q3988" si="3697">$K3983&amp;""</f>
        <v>3/2</v>
      </c>
      <c r="R3983">
        <v>36</v>
      </c>
      <c r="AA3983" s="10">
        <f t="shared" si="3681"/>
        <v>2277.933</v>
      </c>
      <c r="AB3983" s="3">
        <f t="shared" si="3682"/>
        <v>43885.89</v>
      </c>
      <c r="AC3983" s="3" cm="1">
        <f t="array" ref="AC3983">100000000/LvacE(AA3983)</f>
        <v>43885.893976403408</v>
      </c>
      <c r="AD3983" s="10">
        <f t="shared" si="3683"/>
        <v>1.4632832479358131E-2</v>
      </c>
      <c r="AE3983" s="10" t="b">
        <f t="shared" si="3684"/>
        <v>1</v>
      </c>
      <c r="AJ3983" t="s">
        <v>4768</v>
      </c>
      <c r="AK3983" t="s">
        <v>4911</v>
      </c>
      <c r="AL3983">
        <v>37011.919999999998</v>
      </c>
      <c r="AM3983">
        <v>80897.850000000006</v>
      </c>
      <c r="AN3983" s="10" cm="1">
        <f t="array" ref="AN3983">Lair(100000000/($AM3983-$AL3983))</f>
        <v>2277.9311360399765</v>
      </c>
      <c r="AO3983" s="10">
        <f t="shared" ref="AO3983:AO3988" si="3698">100000000/($AM3983-$AL3983)</f>
        <v>2278.6346330133597</v>
      </c>
      <c r="AP3983" s="12">
        <v>179000000</v>
      </c>
      <c r="AQ3983" s="3">
        <v>0.19400000000000001</v>
      </c>
      <c r="AR3983" s="3">
        <f>LN(AU3983*100000000/($AM3983-$AL3983)/AP3983)</f>
        <v>-9.3613948300018972</v>
      </c>
      <c r="AS3983" s="13">
        <f t="shared" ref="AS3983:AS3988" si="3699">EXP(AR$4341*$AM3983+AR$4342)*$AP3983/(100000000/($AM3983-$AL3983))</f>
        <v>16.033152576081498</v>
      </c>
      <c r="AT3983" s="3">
        <f t="shared" ref="AT3983:AT3988" si="3700">LN(AS3983/$C3983)</f>
        <v>2.7746586145389847</v>
      </c>
      <c r="AU3983" s="13" cm="1">
        <f t="array" ref="AU3983">$C3983*EXP(poly_from_str(100000000/$E3983,AU$4343))</f>
        <v>6.7542358162460197</v>
      </c>
      <c r="AV3983" s="13">
        <f>LN(AS3983/AU3983)</f>
        <v>0.86448877813537373</v>
      </c>
      <c r="AW3983" s="13"/>
      <c r="AX3983" s="13"/>
      <c r="AY3983" s="13"/>
    </row>
    <row r="3984" spans="1:51" x14ac:dyDescent="0.25">
      <c r="A3984" t="s">
        <v>4428</v>
      </c>
      <c r="B3984" s="2">
        <f t="shared" si="3680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3694"/>
        <v>e</v>
      </c>
      <c r="N3984" t="str">
        <f t="shared" si="3695"/>
        <v>11/2</v>
      </c>
      <c r="O3984">
        <v>63593.35</v>
      </c>
      <c r="P3984" t="str">
        <f t="shared" si="3696"/>
        <v>o</v>
      </c>
      <c r="Q3984" t="str">
        <f t="shared" si="3697"/>
        <v>9/2</v>
      </c>
      <c r="R3984">
        <v>36</v>
      </c>
      <c r="AA3984" s="10">
        <f t="shared" si="3681"/>
        <v>2277.5940000000001</v>
      </c>
      <c r="AB3984" s="3">
        <f t="shared" si="3682"/>
        <v>43892.43</v>
      </c>
      <c r="AC3984" s="3" cm="1">
        <f t="array" ref="AC3984">100000000/LvacE(AA3984)</f>
        <v>43892.425410972035</v>
      </c>
      <c r="AD3984" s="10">
        <f t="shared" si="3683"/>
        <v>1.4635700087674106E-2</v>
      </c>
      <c r="AE3984" s="10" t="b">
        <f t="shared" si="3684"/>
        <v>1</v>
      </c>
      <c r="AJ3984" t="s">
        <v>4962</v>
      </c>
      <c r="AK3984" t="s">
        <v>4840</v>
      </c>
      <c r="AL3984">
        <v>19700.900000000001</v>
      </c>
      <c r="AM3984">
        <v>63593.35</v>
      </c>
      <c r="AN3984" s="10" cm="1">
        <f t="array" ref="AN3984">Lair(100000000/($AM3984-$AL3984))</f>
        <v>2277.5927300036442</v>
      </c>
      <c r="AO3984" s="10">
        <f t="shared" si="3698"/>
        <v>2278.2961534386895</v>
      </c>
      <c r="AP3984" s="12">
        <v>11200000</v>
      </c>
      <c r="AQ3984" s="3">
        <v>0.02</v>
      </c>
      <c r="AR3984" s="3"/>
      <c r="AS3984" s="13">
        <f t="shared" si="3699"/>
        <v>3.6765756877714386</v>
      </c>
      <c r="AT3984" s="3"/>
      <c r="AU3984" s="13" cm="1">
        <f t="array" ref="AU3984">$C3984*EXP(poly_from_str(100000000/$E3984,AU$4343))</f>
        <v>33.8519069040197</v>
      </c>
      <c r="AV3984" s="13"/>
      <c r="AW3984" s="13"/>
      <c r="AX3984" s="13"/>
      <c r="AY3984" s="13"/>
    </row>
    <row r="3985" spans="1:51" x14ac:dyDescent="0.25">
      <c r="A3985" t="s">
        <v>4428</v>
      </c>
      <c r="B3985" s="2">
        <f t="shared" si="3680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3694"/>
        <v>e</v>
      </c>
      <c r="N3985" t="str">
        <f t="shared" si="3695"/>
        <v>3/2</v>
      </c>
      <c r="O3985">
        <v>66943.039999999994</v>
      </c>
      <c r="P3985" t="str">
        <f t="shared" si="3696"/>
        <v>o</v>
      </c>
      <c r="Q3985" t="str">
        <f t="shared" si="3697"/>
        <v>5/2</v>
      </c>
      <c r="R3985">
        <v>36</v>
      </c>
      <c r="S3985" t="s">
        <v>3698</v>
      </c>
      <c r="AA3985" s="10">
        <f t="shared" si="3681"/>
        <v>2277.5940000000001</v>
      </c>
      <c r="AB3985" s="3">
        <f t="shared" si="3682"/>
        <v>43892.43</v>
      </c>
      <c r="AC3985" s="3" cm="1">
        <f t="array" ref="AC3985">100000000/LvacE(AA3985)</f>
        <v>43892.425410972035</v>
      </c>
      <c r="AD3985" s="10">
        <f t="shared" si="3683"/>
        <v>1.4635700087674106E-2</v>
      </c>
      <c r="AE3985" s="10" t="b">
        <f t="shared" si="3684"/>
        <v>1</v>
      </c>
      <c r="AJ3985" t="s">
        <v>4769</v>
      </c>
      <c r="AK3985" t="s">
        <v>4847</v>
      </c>
      <c r="AL3985">
        <v>23050.61</v>
      </c>
      <c r="AM3985">
        <v>66943.039999999994</v>
      </c>
      <c r="AN3985" s="10" cm="1">
        <f t="array" ref="AN3985">Lair(100000000/($AM3985-$AL3985))</f>
        <v>2277.5937679052618</v>
      </c>
      <c r="AO3985" s="10">
        <f t="shared" si="3698"/>
        <v>2278.2971915658354</v>
      </c>
      <c r="AP3985" s="12">
        <v>33300000</v>
      </c>
      <c r="AQ3985" s="3">
        <v>6.5000000000000002E-2</v>
      </c>
      <c r="AR3985" s="3">
        <f t="shared" ref="AR3985:AR3988" si="3701">LN(AU3985*100000000/($AM3985-$AL3985)/AP3985)</f>
        <v>-6.0678890261188689</v>
      </c>
      <c r="AS3985" s="13">
        <f t="shared" si="3699"/>
        <v>8.5014911817969754</v>
      </c>
      <c r="AT3985" s="3">
        <f t="shared" si="3700"/>
        <v>0.53080366882815977</v>
      </c>
      <c r="AU3985" s="13" cm="1">
        <f t="array" ref="AU3985">$C3985*EXP(poly_from_str(100000000/$E3985,AU$4343))</f>
        <v>33.8519069040197</v>
      </c>
      <c r="AV3985" s="13">
        <f t="shared" ref="AV3985:AV3988" si="3702">LN(AS3985/AU3985)</f>
        <v>-1.3817537504537787</v>
      </c>
      <c r="AW3985" s="13"/>
      <c r="AX3985" s="13"/>
      <c r="AY3985" s="13"/>
    </row>
    <row r="3986" spans="1:51" x14ac:dyDescent="0.25">
      <c r="A3986" t="s">
        <v>4429</v>
      </c>
      <c r="B3986" s="2" t="str">
        <f t="shared" si="3680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3694"/>
        <v>e</v>
      </c>
      <c r="N3986" t="str">
        <f t="shared" si="3695"/>
        <v>7/2</v>
      </c>
      <c r="O3986">
        <v>63768.66</v>
      </c>
      <c r="P3986" t="str">
        <f t="shared" si="3696"/>
        <v>o</v>
      </c>
      <c r="Q3986" t="str">
        <f t="shared" si="3697"/>
        <v>7/2</v>
      </c>
      <c r="R3986">
        <v>36</v>
      </c>
      <c r="AA3986" s="10">
        <f t="shared" si="3681"/>
        <v>2277.4</v>
      </c>
      <c r="AB3986" s="3">
        <f t="shared" si="3682"/>
        <v>43896.160000000003</v>
      </c>
      <c r="AC3986" s="3" cm="1">
        <f t="array" ref="AC3986">100000000/LvacE(AA3986)</f>
        <v>43896.164038696763</v>
      </c>
      <c r="AD3986" s="10">
        <f t="shared" si="3683"/>
        <v>1.4637341713949408E-2</v>
      </c>
      <c r="AE3986" s="10" t="b">
        <f t="shared" si="3684"/>
        <v>1</v>
      </c>
      <c r="AJ3986" t="s">
        <v>4785</v>
      </c>
      <c r="AK3986" t="s">
        <v>4850</v>
      </c>
      <c r="AL3986">
        <v>19872.43</v>
      </c>
      <c r="AM3986">
        <v>63768.66</v>
      </c>
      <c r="AN3986" s="10" cm="1">
        <f t="array" ref="AN3986">Lair(100000000/($AM3986-$AL3986))</f>
        <v>2277.3965835776817</v>
      </c>
      <c r="AO3986" s="10">
        <f t="shared" si="3698"/>
        <v>2278.0999643932973</v>
      </c>
      <c r="AP3986" s="12">
        <v>61600000</v>
      </c>
      <c r="AQ3986" s="3">
        <v>0.10299999999999999</v>
      </c>
      <c r="AR3986" s="3">
        <f t="shared" si="3701"/>
        <v>-6.6817155407282183</v>
      </c>
      <c r="AS3986" s="13">
        <f t="shared" si="3699"/>
        <v>19.958588660689792</v>
      </c>
      <c r="AT3986" s="3">
        <f t="shared" si="3700"/>
        <v>1.3842216475669871</v>
      </c>
      <c r="AU3986" s="13" cm="1">
        <f t="array" ref="AU3986">$C3986*EXP(poly_from_str(100000000/$E3986,AU$4343))</f>
        <v>33.89813039262836</v>
      </c>
      <c r="AV3986" s="13">
        <f t="shared" si="3702"/>
        <v>-0.52970030220453324</v>
      </c>
      <c r="AW3986" s="13"/>
      <c r="AX3986" s="13"/>
      <c r="AY3986" s="13"/>
    </row>
    <row r="3987" spans="1:51" x14ac:dyDescent="0.25">
      <c r="A3987" t="s">
        <v>4430</v>
      </c>
      <c r="B3987" s="2" t="str">
        <f t="shared" si="3680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3694"/>
        <v>e</v>
      </c>
      <c r="N3987" t="str">
        <f t="shared" si="3695"/>
        <v>7/2</v>
      </c>
      <c r="O3987">
        <v>68374.539999999994</v>
      </c>
      <c r="P3987" t="str">
        <f t="shared" si="3696"/>
        <v>o</v>
      </c>
      <c r="Q3987" t="str">
        <f t="shared" si="3697"/>
        <v>9/2</v>
      </c>
      <c r="R3987">
        <v>36</v>
      </c>
      <c r="AA3987" s="10">
        <f t="shared" si="3681"/>
        <v>2277.0149999999999</v>
      </c>
      <c r="AB3987" s="3">
        <f t="shared" si="3682"/>
        <v>43903.58</v>
      </c>
      <c r="AC3987" s="3" cm="1">
        <f t="array" ref="AC3987">100000000/LvacE(AA3987)</f>
        <v>43903.585366564985</v>
      </c>
      <c r="AD3987" s="10">
        <f t="shared" si="3683"/>
        <v>1.4640600823131379E-2</v>
      </c>
      <c r="AE3987" s="10" t="b">
        <f t="shared" si="3684"/>
        <v>1</v>
      </c>
      <c r="AJ3987" t="s">
        <v>4747</v>
      </c>
      <c r="AK3987" t="s">
        <v>4739</v>
      </c>
      <c r="AL3987">
        <v>24470.9</v>
      </c>
      <c r="AM3987">
        <v>68374.539999999994</v>
      </c>
      <c r="AN3987" s="10" cm="1">
        <f t="array" ref="AN3987">Lair(100000000/($AM3987-$AL3987))</f>
        <v>2277.0121723062794</v>
      </c>
      <c r="AO3987" s="10">
        <f t="shared" si="3698"/>
        <v>2277.7154696057096</v>
      </c>
      <c r="AP3987" s="12">
        <v>180000000</v>
      </c>
      <c r="AQ3987" s="3">
        <v>0.36699999999999999</v>
      </c>
      <c r="AR3987" s="3">
        <f t="shared" si="3701"/>
        <v>-7.2814551927578872</v>
      </c>
      <c r="AS3987" s="13">
        <f t="shared" si="3699"/>
        <v>41.283667549362875</v>
      </c>
      <c r="AT3987" s="3">
        <f t="shared" si="3700"/>
        <v>1.6410254212194786</v>
      </c>
      <c r="AU3987" s="13" cm="1">
        <f t="array" ref="AU3987">$C3987*EXP(poly_from_str(100000000/$E3987,AU$4343))</f>
        <v>54.384760866521127</v>
      </c>
      <c r="AV3987" s="13">
        <f t="shared" si="3702"/>
        <v>-0.27561702058840187</v>
      </c>
      <c r="AW3987" s="13"/>
      <c r="AX3987" s="13"/>
      <c r="AY3987" s="13"/>
    </row>
    <row r="3988" spans="1:51" x14ac:dyDescent="0.25">
      <c r="A3988" t="s">
        <v>4431</v>
      </c>
      <c r="B3988" s="2" t="str">
        <f t="shared" si="3680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3694"/>
        <v>e</v>
      </c>
      <c r="N3988" t="str">
        <f t="shared" si="3695"/>
        <v>3/2</v>
      </c>
      <c r="O3988">
        <v>83025.91</v>
      </c>
      <c r="P3988" t="str">
        <f t="shared" si="3696"/>
        <v>o</v>
      </c>
      <c r="Q3988" t="str">
        <f t="shared" si="3697"/>
        <v>3/2</v>
      </c>
      <c r="R3988">
        <v>36</v>
      </c>
      <c r="AA3988" s="10">
        <f t="shared" si="3681"/>
        <v>2276.92</v>
      </c>
      <c r="AB3988" s="3">
        <f t="shared" si="3682"/>
        <v>43905.42</v>
      </c>
      <c r="AC3988" s="3" cm="1">
        <f t="array" ref="AC3988">100000000/LvacE(AA3988)</f>
        <v>43905.416989281359</v>
      </c>
      <c r="AD3988" s="10">
        <f t="shared" si="3683"/>
        <v>1.4641405273193912E-2</v>
      </c>
      <c r="AE3988" s="10" t="b">
        <f t="shared" si="3684"/>
        <v>1</v>
      </c>
      <c r="AJ3988" t="s">
        <v>4733</v>
      </c>
      <c r="AK3988" t="s">
        <v>4884</v>
      </c>
      <c r="AL3988">
        <v>39120.400000000001</v>
      </c>
      <c r="AM3988">
        <v>83025.91</v>
      </c>
      <c r="AN3988" s="10" cm="1">
        <f t="array" ref="AN3988">Lair(100000000/($AM3988-$AL3988))</f>
        <v>2276.9151821368932</v>
      </c>
      <c r="AO3988" s="10">
        <f t="shared" si="3698"/>
        <v>2277.618458366615</v>
      </c>
      <c r="AP3988" s="12">
        <v>61100000</v>
      </c>
      <c r="AQ3988" s="3">
        <v>0.111</v>
      </c>
      <c r="AR3988" s="3">
        <f t="shared" si="3701"/>
        <v>-6.8935241078649714</v>
      </c>
      <c r="AS3988" s="13">
        <f t="shared" si="3699"/>
        <v>4.667047870750352</v>
      </c>
      <c r="AT3988" s="3">
        <f t="shared" si="3700"/>
        <v>0.15423236308045168</v>
      </c>
      <c r="AU3988" s="13" cm="1">
        <f t="array" ref="AU3988">$C3988*EXP(poly_from_str(100000000/$E3988,AU$4343))</f>
        <v>27.210765244257786</v>
      </c>
      <c r="AV3988" s="13">
        <f t="shared" si="3702"/>
        <v>-1.7630859518398423</v>
      </c>
      <c r="AW3988" s="13"/>
      <c r="AX3988" s="13"/>
      <c r="AY3988" s="13"/>
    </row>
    <row r="3989" spans="1:51" x14ac:dyDescent="0.25">
      <c r="A3989" t="s">
        <v>4432</v>
      </c>
      <c r="B3989" s="2" t="str">
        <f t="shared" si="3680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3681"/>
        <v>2276.547</v>
      </c>
      <c r="AB3989" s="3">
        <f t="shared" si="3682"/>
        <v>43912.61</v>
      </c>
      <c r="AC3989" s="3" cm="1">
        <f t="array" ref="AC3989">100000000/LvacE(AA3989)</f>
        <v>43912.609996579296</v>
      </c>
      <c r="AD3989" s="10">
        <f t="shared" si="3683"/>
        <v>1.464456477212623E-2</v>
      </c>
      <c r="AE3989" s="10" t="b">
        <f t="shared" si="3684"/>
        <v>1</v>
      </c>
      <c r="AP3989"/>
      <c r="AQ3989"/>
      <c r="AU3989" s="13" cm="1">
        <f t="array" ref="AU3989">$C3989*EXP(poly_from_str(100000000/$E3989,AU$4343))</f>
        <v>6.8207137995813989</v>
      </c>
    </row>
    <row r="3990" spans="1:51" x14ac:dyDescent="0.25">
      <c r="A3990" t="s">
        <v>4433</v>
      </c>
      <c r="B3990" s="2" t="str">
        <f t="shared" si="3680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3681"/>
        <v>2276.1660000000002</v>
      </c>
      <c r="AB3990" s="3">
        <f t="shared" si="3682"/>
        <v>43919.96</v>
      </c>
      <c r="AC3990" s="3" cm="1">
        <f t="array" ref="AC3990">100000000/LvacE(AA3990)</f>
        <v>43919.959710867981</v>
      </c>
      <c r="AD3990" s="10">
        <f t="shared" si="3683"/>
        <v>1.4647793638703849E-2</v>
      </c>
      <c r="AE3990" s="10" t="b">
        <f t="shared" si="3684"/>
        <v>1</v>
      </c>
      <c r="AJ3990" t="s">
        <v>4964</v>
      </c>
      <c r="AK3990" t="s">
        <v>4842</v>
      </c>
      <c r="AL3990">
        <v>20315.650000000001</v>
      </c>
      <c r="AM3990">
        <v>64235.61</v>
      </c>
      <c r="AN3990" s="10" cm="1">
        <f t="array" ref="AN3990">Lair(100000000/($AM3990-$AL3990))</f>
        <v>2276.1659911089964</v>
      </c>
      <c r="AO3990" s="10">
        <f>100000000/($AM3990-$AL3990)</f>
        <v>2276.8691046166709</v>
      </c>
      <c r="AP3990" s="12">
        <v>83400000</v>
      </c>
      <c r="AQ3990" s="3">
        <v>0.16800000000000001</v>
      </c>
      <c r="AR3990" s="3">
        <f>LN(AU3990*100000000/($AM3990-$AL3990)/AP3990)</f>
        <v>-7.1996312540976843</v>
      </c>
      <c r="AS3990" s="13">
        <f>EXP(AR$4341*$AM3990+AR$4342)*$AP3990/(100000000/($AM3990-$AL3990))</f>
        <v>26.105430592207245</v>
      </c>
      <c r="AT3990" s="3">
        <f>LN(AS3990/$C3990)</f>
        <v>1.8758490002324184</v>
      </c>
      <c r="AU3990" s="13" cm="1">
        <f t="array" ref="AU3990">$C3990*EXP(poly_from_str(100000000/$E3990,AU$4343))</f>
        <v>27.356961620767752</v>
      </c>
      <c r="AV3990" s="13">
        <f>LN(AS3990/AU3990)</f>
        <v>-4.6827673362801275E-2</v>
      </c>
      <c r="AW3990" s="13"/>
      <c r="AX3990" s="13"/>
      <c r="AY3990" s="13"/>
    </row>
    <row r="3991" spans="1:51" x14ac:dyDescent="0.25">
      <c r="A3991" t="s">
        <v>4434</v>
      </c>
      <c r="B3991" s="2" t="str">
        <f t="shared" si="3680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3681"/>
        <v>2275.913</v>
      </c>
      <c r="AB3991" s="3">
        <f t="shared" si="3682"/>
        <v>43924.84</v>
      </c>
      <c r="AC3991" s="3" cm="1">
        <f t="array" ref="AC3991">100000000/LvacE(AA3991)</f>
        <v>43924.841589103075</v>
      </c>
      <c r="AD3991" s="10">
        <f t="shared" si="3683"/>
        <v>1.4649938637615559E-2</v>
      </c>
      <c r="AE3991" s="10" t="b">
        <f t="shared" si="3684"/>
        <v>1</v>
      </c>
      <c r="AP3991"/>
      <c r="AQ3991"/>
      <c r="AU3991" s="13" cm="1">
        <f t="array" ref="AU3991">$C3991*EXP(poly_from_str(100000000/$E3991,AU$4343))</f>
        <v>6.8515989308471088</v>
      </c>
    </row>
    <row r="3992" spans="1:51" x14ac:dyDescent="0.25">
      <c r="A3992" t="s">
        <v>4435</v>
      </c>
      <c r="B3992" s="2" t="str">
        <f t="shared" si="3680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3681"/>
        <v>2275.0929999999998</v>
      </c>
      <c r="AB3992" s="3">
        <f t="shared" si="3682"/>
        <v>43940.67</v>
      </c>
      <c r="AC3992" s="3" cm="1">
        <f t="array" ref="AC3992">100000000/LvacE(AA3992)</f>
        <v>43940.671738432902</v>
      </c>
      <c r="AD3992" s="10">
        <f t="shared" si="3683"/>
        <v>1.4656895726555551E-2</v>
      </c>
      <c r="AE3992" s="10" t="b">
        <f t="shared" si="3684"/>
        <v>1</v>
      </c>
      <c r="AP3992"/>
      <c r="AQ3992"/>
      <c r="AU3992" s="13" cm="1">
        <f t="array" ref="AU3992">$C3992*EXP(poly_from_str(100000000/$E3992,AU$4343))</f>
        <v>20.676025610223213</v>
      </c>
    </row>
    <row r="3993" spans="1:51" x14ac:dyDescent="0.25">
      <c r="A3993" t="s">
        <v>4436</v>
      </c>
      <c r="B3993" s="2" t="str">
        <f t="shared" si="3680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3703">$G3993&amp;""</f>
        <v>e</v>
      </c>
      <c r="N3993" t="str">
        <f t="shared" ref="N3993:N3996" si="3704">$H3993&amp;""</f>
        <v>5/2</v>
      </c>
      <c r="O3993">
        <v>78463.600000000006</v>
      </c>
      <c r="P3993" t="str">
        <f t="shared" ref="P3993:P3996" si="3705">$J3993&amp;""</f>
        <v>o</v>
      </c>
      <c r="Q3993" t="str">
        <f t="shared" ref="Q3993:Q3996" si="3706">$K3993&amp;""</f>
        <v>7/2</v>
      </c>
      <c r="R3993">
        <v>36</v>
      </c>
      <c r="AA3993" s="10">
        <f t="shared" si="3681"/>
        <v>2274.9520000000002</v>
      </c>
      <c r="AB3993" s="3">
        <f t="shared" si="3682"/>
        <v>43943.39</v>
      </c>
      <c r="AC3993" s="3" cm="1">
        <f t="array" ref="AC3993">100000000/LvacE(AA3993)</f>
        <v>43943.394901540581</v>
      </c>
      <c r="AD3993" s="10">
        <f t="shared" si="3683"/>
        <v>1.4658092764493619E-2</v>
      </c>
      <c r="AE3993" s="10" t="b">
        <f t="shared" si="3684"/>
        <v>1</v>
      </c>
      <c r="AJ3993" t="s">
        <v>4722</v>
      </c>
      <c r="AK3993" t="s">
        <v>4926</v>
      </c>
      <c r="AL3993">
        <v>34520.269999999997</v>
      </c>
      <c r="AM3993">
        <v>78463.600000000006</v>
      </c>
      <c r="AN3993" s="10" cm="1">
        <f t="array" ref="AN3993">Lair(100000000/($AM3993-$AL3993))</f>
        <v>2274.9553664000732</v>
      </c>
      <c r="AO3993" s="10">
        <f t="shared" ref="AO3993:AO3996" si="3707">100000000/($AM3993-$AL3993)</f>
        <v>2275.6582170718511</v>
      </c>
      <c r="AP3993" s="12">
        <v>36000000</v>
      </c>
      <c r="AQ3993" s="3">
        <v>0.122</v>
      </c>
      <c r="AR3993" s="3">
        <f t="shared" ref="AR3993:AR3996" si="3708">LN(AU3993*100000000/($AM3993-$AL3993)/AP3993)</f>
        <v>-7.7376281789892039</v>
      </c>
      <c r="AS3993" s="13">
        <f t="shared" ref="AS3993:AS3996" si="3709">EXP(AR$4341*$AM3993+AR$4342)*$AP3993/(100000000/($AM3993-$AL3993))</f>
        <v>3.8759136051117093</v>
      </c>
      <c r="AT3993" s="3">
        <f t="shared" ref="AT3993:AT3996" si="3710">LN(AS3993/$C3993)</f>
        <v>1.3547814040772392</v>
      </c>
      <c r="AU3993" s="13" cm="1">
        <f t="array" ref="AU3993">$C3993*EXP(poly_from_str(100000000/$E3993,AU$4343))</f>
        <v>6.8990015739620345</v>
      </c>
      <c r="AV3993" s="13">
        <f t="shared" ref="AV3993:AV3996" si="3711">LN(AS3993/AU3993)</f>
        <v>-0.57659529763021033</v>
      </c>
      <c r="AW3993" s="13"/>
      <c r="AX3993" s="13"/>
      <c r="AY3993" s="13"/>
    </row>
    <row r="3994" spans="1:51" x14ac:dyDescent="0.25">
      <c r="A3994" t="s">
        <v>4437</v>
      </c>
      <c r="B3994" s="2" t="str">
        <f t="shared" si="3680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3703"/>
        <v>e</v>
      </c>
      <c r="N3994" t="str">
        <f t="shared" si="3704"/>
        <v>11/2</v>
      </c>
      <c r="O3994">
        <v>67398.789999999994</v>
      </c>
      <c r="P3994" t="str">
        <f t="shared" si="3705"/>
        <v>o</v>
      </c>
      <c r="Q3994" t="str">
        <f t="shared" si="3706"/>
        <v>9/2</v>
      </c>
      <c r="R3994">
        <v>36</v>
      </c>
      <c r="AA3994" s="10">
        <f t="shared" si="3681"/>
        <v>2274.2710000000002</v>
      </c>
      <c r="AB3994" s="3">
        <f t="shared" si="3682"/>
        <v>43956.55</v>
      </c>
      <c r="AC3994" s="3" cm="1">
        <f t="array" ref="AC3994">100000000/LvacE(AA3994)</f>
        <v>43956.551952716349</v>
      </c>
      <c r="AD3994" s="10">
        <f t="shared" si="3683"/>
        <v>1.4663877337554837E-2</v>
      </c>
      <c r="AE3994" s="10" t="b">
        <f t="shared" si="3684"/>
        <v>1</v>
      </c>
      <c r="AJ3994" t="s">
        <v>4782</v>
      </c>
      <c r="AK3994" t="s">
        <v>4863</v>
      </c>
      <c r="AL3994">
        <v>23442.25</v>
      </c>
      <c r="AM3994">
        <v>67398.789999999994</v>
      </c>
      <c r="AN3994" s="10" cm="1">
        <f t="array" ref="AN3994">Lair(100000000/($AM3994-$AL3994))</f>
        <v>2274.2716246293148</v>
      </c>
      <c r="AO3994" s="10">
        <f t="shared" si="3707"/>
        <v>2274.9743269147211</v>
      </c>
      <c r="AP3994" s="12">
        <v>123000000</v>
      </c>
      <c r="AQ3994" s="3">
        <v>0.20200000000000001</v>
      </c>
      <c r="AR3994" s="3">
        <f t="shared" si="3708"/>
        <v>-7.3522341429256475</v>
      </c>
      <c r="AS3994" s="13">
        <f t="shared" si="3709"/>
        <v>30.390362329049477</v>
      </c>
      <c r="AT3994" s="3">
        <f t="shared" si="3710"/>
        <v>1.8046876170641812</v>
      </c>
      <c r="AU3994" s="13" cm="1">
        <f t="array" ref="AU3994">$C3994*EXP(poly_from_str(100000000/$E3994,AU$4343))</f>
        <v>34.665214631364471</v>
      </c>
      <c r="AV3994" s="13">
        <f t="shared" si="3711"/>
        <v>-0.13161119446403652</v>
      </c>
      <c r="AW3994" s="13"/>
      <c r="AX3994" s="13"/>
      <c r="AY3994" s="13"/>
    </row>
    <row r="3995" spans="1:51" x14ac:dyDescent="0.25">
      <c r="A3995" t="s">
        <v>4438</v>
      </c>
      <c r="B3995" s="2" t="str">
        <f t="shared" si="3680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3703"/>
        <v>e</v>
      </c>
      <c r="N3995" t="str">
        <f t="shared" si="3704"/>
        <v>17/2</v>
      </c>
      <c r="O3995">
        <v>84992.04</v>
      </c>
      <c r="P3995" t="str">
        <f t="shared" si="3705"/>
        <v>o</v>
      </c>
      <c r="Q3995" t="str">
        <f t="shared" si="3706"/>
        <v>15/2</v>
      </c>
      <c r="R3995">
        <v>36</v>
      </c>
      <c r="AA3995" s="10">
        <f t="shared" si="3681"/>
        <v>2273.8249999999998</v>
      </c>
      <c r="AB3995" s="3">
        <f t="shared" si="3682"/>
        <v>43965.17</v>
      </c>
      <c r="AC3995" s="3" cm="1">
        <f t="array" ref="AC3995">100000000/LvacE(AA3995)</f>
        <v>43965.17302862645</v>
      </c>
      <c r="AD3995" s="10">
        <f t="shared" si="3683"/>
        <v>1.4667668582372534E-2</v>
      </c>
      <c r="AE3995" s="10" t="b">
        <f t="shared" si="3684"/>
        <v>1</v>
      </c>
      <c r="AJ3995" t="s">
        <v>4754</v>
      </c>
      <c r="AK3995" t="s">
        <v>4927</v>
      </c>
      <c r="AL3995">
        <v>41026.870000000003</v>
      </c>
      <c r="AM3995">
        <v>84992.04</v>
      </c>
      <c r="AN3995" s="10" cm="1">
        <f t="array" ref="AN3995">Lair(100000000/($AM3995-$AL3995))</f>
        <v>2273.8251628141775</v>
      </c>
      <c r="AO3995" s="10">
        <f t="shared" si="3707"/>
        <v>2274.5277682310798</v>
      </c>
      <c r="AP3995" s="12">
        <v>5050000000</v>
      </c>
      <c r="AQ3995" s="3">
        <v>0.96899999999999997</v>
      </c>
      <c r="AR3995" s="3">
        <f t="shared" si="3708"/>
        <v>-10.476365009691245</v>
      </c>
      <c r="AS3995" s="13">
        <f t="shared" si="3709"/>
        <v>333.27387489357204</v>
      </c>
      <c r="AT3995" s="3">
        <f t="shared" si="3710"/>
        <v>3.6117400217477549</v>
      </c>
      <c r="AU3995" s="13" cm="1">
        <f t="array" ref="AU3995">$C3995*EXP(poly_from_str(100000000/$E3995,AU$4343))</f>
        <v>62.599753168799353</v>
      </c>
      <c r="AV3995" s="13">
        <f t="shared" si="3711"/>
        <v>1.6722032639761204</v>
      </c>
      <c r="AW3995" s="13"/>
      <c r="AX3995" s="13"/>
      <c r="AY3995" s="13"/>
    </row>
    <row r="3996" spans="1:51" x14ac:dyDescent="0.25">
      <c r="A3996" t="s">
        <v>4439</v>
      </c>
      <c r="B3996" s="2" t="str">
        <f t="shared" si="3680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3703"/>
        <v>e</v>
      </c>
      <c r="N3996" t="str">
        <f t="shared" si="3704"/>
        <v>11/2</v>
      </c>
      <c r="O3996">
        <v>83703.429999999993</v>
      </c>
      <c r="P3996" t="str">
        <f t="shared" si="3705"/>
        <v>o</v>
      </c>
      <c r="Q3996" t="str">
        <f t="shared" si="3706"/>
        <v>13/2</v>
      </c>
      <c r="R3996">
        <v>36</v>
      </c>
      <c r="AA3996" s="10">
        <f t="shared" si="3681"/>
        <v>2273.5540000000001</v>
      </c>
      <c r="AB3996" s="3">
        <f t="shared" si="3682"/>
        <v>43970.41</v>
      </c>
      <c r="AC3996" s="3" cm="1">
        <f t="array" ref="AC3996">100000000/LvacE(AA3996)</f>
        <v>43970.413047053436</v>
      </c>
      <c r="AD3996" s="10">
        <f t="shared" si="3683"/>
        <v>1.4669973320856559E-2</v>
      </c>
      <c r="AE3996" s="10" t="b">
        <f t="shared" si="3684"/>
        <v>1</v>
      </c>
      <c r="AJ3996" t="s">
        <v>4725</v>
      </c>
      <c r="AK3996" t="s">
        <v>4925</v>
      </c>
      <c r="AL3996">
        <v>39732.99</v>
      </c>
      <c r="AM3996">
        <v>83703.429999999993</v>
      </c>
      <c r="AN3996" s="10" cm="1">
        <f t="array" ref="AN3996">Lair(100000000/($AM3996-$AL3996))</f>
        <v>2273.552612402154</v>
      </c>
      <c r="AO3996" s="10">
        <f t="shared" si="3707"/>
        <v>2274.2551586929767</v>
      </c>
      <c r="AP3996" s="12">
        <v>457000000</v>
      </c>
      <c r="AQ3996" s="3">
        <v>0.60799999999999998</v>
      </c>
      <c r="AR3996" s="3">
        <f t="shared" si="3708"/>
        <v>-8.477516155489349</v>
      </c>
      <c r="AS3996" s="13">
        <f t="shared" si="3709"/>
        <v>33.225921301925588</v>
      </c>
      <c r="AT3996" s="3">
        <f t="shared" si="3710"/>
        <v>1.7115708641644023</v>
      </c>
      <c r="AU3996" s="13" cm="1">
        <f t="array" ref="AU3996">$C3996*EXP(poly_from_str(100000000/$E3996,AU$4343))</f>
        <v>41.81561851243881</v>
      </c>
      <c r="AV3996" s="13">
        <f t="shared" si="3711"/>
        <v>-0.22993958497192854</v>
      </c>
      <c r="AW3996" s="13"/>
      <c r="AX3996" s="13"/>
      <c r="AY3996" s="13"/>
    </row>
    <row r="3997" spans="1:51" x14ac:dyDescent="0.25">
      <c r="A3997" t="s">
        <v>4440</v>
      </c>
      <c r="B3997" s="2" t="str">
        <f t="shared" si="3680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3681"/>
        <v>2273.348</v>
      </c>
      <c r="AB3997" s="3">
        <f t="shared" si="3682"/>
        <v>43974.400000000001</v>
      </c>
      <c r="AC3997" s="3" cm="1">
        <f t="array" ref="AC3997">100000000/LvacE(AA3997)</f>
        <v>43974.39707009124</v>
      </c>
      <c r="AD3997" s="10">
        <f t="shared" si="3683"/>
        <v>1.4671725813665843E-2</v>
      </c>
      <c r="AE3997" s="10" t="b">
        <f t="shared" si="3684"/>
        <v>1</v>
      </c>
      <c r="AP3997"/>
      <c r="AQ3997"/>
      <c r="AU3997" s="13" cm="1">
        <f t="array" ref="AU3997">$C3997*EXP(poly_from_str(100000000/$E3997,AU$4343))</f>
        <v>6.9797705810082578</v>
      </c>
    </row>
    <row r="3998" spans="1:51" x14ac:dyDescent="0.25">
      <c r="A3998" t="s">
        <v>4441</v>
      </c>
      <c r="B3998" s="2" t="str">
        <f t="shared" si="3680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3712">$G3998&amp;""</f>
        <v>e</v>
      </c>
      <c r="N3998" t="str">
        <f t="shared" ref="N3998:N4003" si="3713">$H3998&amp;""</f>
        <v>15/2</v>
      </c>
      <c r="O3998">
        <v>83703.429999999993</v>
      </c>
      <c r="P3998" t="str">
        <f t="shared" ref="P3998:P4003" si="3714">$J3998&amp;""</f>
        <v>o</v>
      </c>
      <c r="Q3998" t="str">
        <f t="shared" ref="Q3998:Q4003" si="3715">$K3998&amp;""</f>
        <v>13/2</v>
      </c>
      <c r="R3998">
        <v>36</v>
      </c>
      <c r="AA3998" s="10">
        <f t="shared" si="3681"/>
        <v>2273.1909999999998</v>
      </c>
      <c r="AB3998" s="3">
        <f t="shared" si="3682"/>
        <v>43977.43</v>
      </c>
      <c r="AC3998" s="3" cm="1">
        <f t="array" ref="AC3998">100000000/LvacE(AA3998)</f>
        <v>43977.433921937998</v>
      </c>
      <c r="AD3998" s="10">
        <f t="shared" si="3683"/>
        <v>1.4673061771302544E-2</v>
      </c>
      <c r="AE3998" s="10" t="b">
        <f t="shared" si="3684"/>
        <v>1</v>
      </c>
      <c r="AJ3998" t="s">
        <v>4745</v>
      </c>
      <c r="AK3998" t="s">
        <v>4925</v>
      </c>
      <c r="AL3998">
        <v>39725.99</v>
      </c>
      <c r="AM3998">
        <v>83703.429999999993</v>
      </c>
      <c r="AN3998" s="10" cm="1">
        <f t="array" ref="AN3998">Lair(100000000/($AM3998-$AL3998))</f>
        <v>2273.1906919778644</v>
      </c>
      <c r="AO3998" s="10">
        <f t="shared" ref="AO3998:AO4003" si="3716">100000000/($AM3998-$AL3998)</f>
        <v>2273.8931597655528</v>
      </c>
      <c r="AP3998" s="12">
        <v>3850000000</v>
      </c>
      <c r="AQ3998" s="3">
        <v>0.94599999999999995</v>
      </c>
      <c r="AR3998" s="3">
        <f t="shared" ref="AR3998:AR4002" si="3717">LN(AU3998*100000000/($AM3998-$AL3998)/AP3998)</f>
        <v>-10.200704741897878</v>
      </c>
      <c r="AS3998" s="13">
        <f t="shared" ref="AS3998:AS4003" si="3718">EXP(AR$4341*$AM3998+AR$4342)*$AP3998/(100000000/($AM3998-$AL3998))</f>
        <v>279.95658986978407</v>
      </c>
      <c r="AT3998" s="3">
        <f t="shared" ref="AT3998:AT4002" si="3719">LN(AS3998/$C3998)</f>
        <v>3.4374099776343368</v>
      </c>
      <c r="AU3998" s="13" cm="1">
        <f t="array" ref="AU3998">$C3998*EXP(poly_from_str(100000000/$E3998,AU$4343))</f>
        <v>62.889898431382619</v>
      </c>
      <c r="AV3998" s="13">
        <f t="shared" ref="AV3998:AV4002" si="3720">LN(AS3998/AU3998)</f>
        <v>1.4932490014366007</v>
      </c>
      <c r="AW3998" s="13"/>
      <c r="AX3998" s="13"/>
      <c r="AY3998" s="13"/>
    </row>
    <row r="3999" spans="1:51" x14ac:dyDescent="0.25">
      <c r="A3999" t="s">
        <v>4442</v>
      </c>
      <c r="B3999" s="2" t="str">
        <f t="shared" si="3680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3712"/>
        <v>e</v>
      </c>
      <c r="N3999" t="str">
        <f t="shared" si="3713"/>
        <v>9/2</v>
      </c>
      <c r="O3999">
        <v>61605.66</v>
      </c>
      <c r="P3999" t="str">
        <f t="shared" si="3714"/>
        <v>o</v>
      </c>
      <c r="Q3999" t="str">
        <f t="shared" si="3715"/>
        <v>7/2</v>
      </c>
      <c r="R3999">
        <v>36</v>
      </c>
      <c r="AA3999" s="10">
        <f t="shared" si="3681"/>
        <v>2273.1289999999999</v>
      </c>
      <c r="AB3999" s="3">
        <f t="shared" si="3682"/>
        <v>43978.63</v>
      </c>
      <c r="AC3999" s="3" cm="1">
        <f t="array" ref="AC3999">100000000/LvacE(AA3999)</f>
        <v>43978.633303790535</v>
      </c>
      <c r="AD3999" s="10">
        <f t="shared" si="3683"/>
        <v>1.4673589423167478E-2</v>
      </c>
      <c r="AE3999" s="10" t="b">
        <f t="shared" si="3684"/>
        <v>1</v>
      </c>
      <c r="AJ3999" t="s">
        <v>4820</v>
      </c>
      <c r="AK3999" t="s">
        <v>4822</v>
      </c>
      <c r="AL3999">
        <v>17627</v>
      </c>
      <c r="AM3999">
        <v>61605.66</v>
      </c>
      <c r="AN3999" s="10" cm="1">
        <f t="array" ref="AN3999">Lair(100000000/($AM3999-$AL3999))</f>
        <v>2273.1276262067236</v>
      </c>
      <c r="AO3999" s="10">
        <f t="shared" si="3716"/>
        <v>2273.830080316226</v>
      </c>
      <c r="AP3999" s="12">
        <v>62600000</v>
      </c>
      <c r="AQ3999" s="3">
        <v>7.5999999999999998E-2</v>
      </c>
      <c r="AR3999" s="3">
        <f t="shared" si="3717"/>
        <v>-8.2784400975114583</v>
      </c>
      <c r="AS3999" s="13">
        <f t="shared" si="3718"/>
        <v>23.902072868202634</v>
      </c>
      <c r="AT3999" s="3">
        <f t="shared" si="3719"/>
        <v>3.1739651860636986</v>
      </c>
      <c r="AU3999" s="13" cm="1">
        <f t="array" ref="AU3999">$C3999*EXP(poly_from_str(100000000/$E3999,AU$4343))</f>
        <v>6.9909383559164198</v>
      </c>
      <c r="AV3999" s="13">
        <f t="shared" si="3720"/>
        <v>1.2293503962073391</v>
      </c>
      <c r="AW3999" s="13"/>
      <c r="AX3999" s="13"/>
      <c r="AY3999" s="13"/>
    </row>
    <row r="4000" spans="1:51" x14ac:dyDescent="0.25">
      <c r="A4000" t="s">
        <v>4443</v>
      </c>
      <c r="B4000" s="2" t="str">
        <f t="shared" si="3680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3712"/>
        <v>e</v>
      </c>
      <c r="N4000" t="str">
        <f t="shared" si="3713"/>
        <v>9/2</v>
      </c>
      <c r="O4000">
        <v>71592.34</v>
      </c>
      <c r="P4000" t="str">
        <f t="shared" si="3714"/>
        <v>o</v>
      </c>
      <c r="Q4000" t="str">
        <f t="shared" si="3715"/>
        <v>9/2</v>
      </c>
      <c r="R4000">
        <v>36</v>
      </c>
      <c r="AA4000" s="10">
        <f t="shared" si="3681"/>
        <v>2272.6419999999998</v>
      </c>
      <c r="AB4000" s="3">
        <f t="shared" si="3682"/>
        <v>43988.06</v>
      </c>
      <c r="AC4000" s="3" cm="1">
        <f t="array" ref="AC4000">100000000/LvacE(AA4000)</f>
        <v>43988.056530155947</v>
      </c>
      <c r="AD4000" s="10">
        <f t="shared" si="3683"/>
        <v>1.4677735545271967E-2</v>
      </c>
      <c r="AE4000" s="10" t="b">
        <f t="shared" si="3684"/>
        <v>1</v>
      </c>
      <c r="AJ4000" t="s">
        <v>4718</v>
      </c>
      <c r="AK4000" t="s">
        <v>4881</v>
      </c>
      <c r="AL4000">
        <v>27604.26</v>
      </c>
      <c r="AM4000">
        <v>71592.34</v>
      </c>
      <c r="AN4000" s="10" cm="1">
        <f t="array" ref="AN4000">Lair(100000000/($AM4000-$AL4000))</f>
        <v>2272.6407935173847</v>
      </c>
      <c r="AO4000" s="10">
        <f t="shared" si="3716"/>
        <v>2273.3431420512102</v>
      </c>
      <c r="AP4000" s="12">
        <v>973000000</v>
      </c>
      <c r="AQ4000" s="3">
        <v>0.71499999999999997</v>
      </c>
      <c r="AR4000" s="3">
        <f t="shared" si="3717"/>
        <v>-8.82147483034883</v>
      </c>
      <c r="AS4000" s="13">
        <f t="shared" si="3718"/>
        <v>175.62133753978392</v>
      </c>
      <c r="AT4000" s="3">
        <f t="shared" si="3719"/>
        <v>2.9711056086683469</v>
      </c>
      <c r="AU4000" s="13" cm="1">
        <f t="array" ref="AU4000">$C4000*EXP(poly_from_str(100000000/$E4000,AU$4343))</f>
        <v>63.143696944254842</v>
      </c>
      <c r="AV4000" s="13">
        <f t="shared" si="3720"/>
        <v>1.0229171530484904</v>
      </c>
      <c r="AW4000" s="13"/>
      <c r="AX4000" s="13"/>
      <c r="AY4000" s="13"/>
    </row>
    <row r="4001" spans="1:51" x14ac:dyDescent="0.25">
      <c r="A4001" t="s">
        <v>4444</v>
      </c>
      <c r="B4001" s="2">
        <f t="shared" si="3680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3712"/>
        <v>e</v>
      </c>
      <c r="N4001" t="str">
        <f t="shared" si="3713"/>
        <v>9/2</v>
      </c>
      <c r="O4001">
        <v>62062.63</v>
      </c>
      <c r="P4001" t="str">
        <f t="shared" si="3714"/>
        <v>o</v>
      </c>
      <c r="Q4001" t="str">
        <f t="shared" si="3715"/>
        <v>9/2</v>
      </c>
      <c r="R4001">
        <v>36</v>
      </c>
      <c r="AA4001" s="10">
        <f t="shared" si="3681"/>
        <v>2272.0630000000001</v>
      </c>
      <c r="AB4001" s="3">
        <f t="shared" si="3682"/>
        <v>43999.26</v>
      </c>
      <c r="AC4001" s="3" cm="1">
        <f t="array" ref="AC4001">100000000/LvacE(AA4001)</f>
        <v>43999.265169610335</v>
      </c>
      <c r="AD4001" s="10">
        <f t="shared" si="3683"/>
        <v>1.4682668387630611E-2</v>
      </c>
      <c r="AE4001" s="10" t="b">
        <f t="shared" si="3684"/>
        <v>1</v>
      </c>
      <c r="AJ4001" t="s">
        <v>4744</v>
      </c>
      <c r="AK4001" t="s">
        <v>4848</v>
      </c>
      <c r="AL4001">
        <v>18063.36</v>
      </c>
      <c r="AM4001">
        <v>62062.63</v>
      </c>
      <c r="AN4001" s="10" cm="1">
        <f t="array" ref="AN4001">Lair(100000000/($AM4001-$AL4001))</f>
        <v>2272.0627567566744</v>
      </c>
      <c r="AO4001" s="10">
        <f t="shared" si="3716"/>
        <v>2272.7649799644405</v>
      </c>
      <c r="AP4001" s="12">
        <v>50600000</v>
      </c>
      <c r="AQ4001" s="3">
        <v>0.127</v>
      </c>
      <c r="AR4001" s="3">
        <f t="shared" si="3717"/>
        <v>-5.8610350562050417</v>
      </c>
      <c r="AS4001" s="13">
        <f t="shared" si="3718"/>
        <v>18.677617708272734</v>
      </c>
      <c r="AT4001" s="3">
        <f t="shared" si="3719"/>
        <v>0.73010131565457292</v>
      </c>
      <c r="AU4001" s="13" cm="1">
        <f t="array" ref="AU4001">$C4001*EXP(poly_from_str(100000000/$E4001,AU$4343))</f>
        <v>63.413365780650764</v>
      </c>
      <c r="AV4001" s="13">
        <f t="shared" si="3720"/>
        <v>-1.2223487629631713</v>
      </c>
      <c r="AW4001" s="13"/>
      <c r="AX4001" s="13"/>
      <c r="AY4001" s="13"/>
    </row>
    <row r="4002" spans="1:51" x14ac:dyDescent="0.25">
      <c r="A4002" t="s">
        <v>4444</v>
      </c>
      <c r="B4002" s="2">
        <f t="shared" si="3680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3712"/>
        <v>e</v>
      </c>
      <c r="N4002" t="str">
        <f t="shared" si="3713"/>
        <v>11/2</v>
      </c>
      <c r="O4002">
        <v>62240.83</v>
      </c>
      <c r="P4002" t="str">
        <f t="shared" si="3714"/>
        <v>o</v>
      </c>
      <c r="Q4002" t="str">
        <f t="shared" si="3715"/>
        <v>11/2</v>
      </c>
      <c r="R4002">
        <v>36</v>
      </c>
      <c r="AA4002" s="10">
        <f t="shared" si="3681"/>
        <v>2272.0630000000001</v>
      </c>
      <c r="AB4002" s="3">
        <f t="shared" si="3682"/>
        <v>43999.26</v>
      </c>
      <c r="AC4002" s="3" cm="1">
        <f t="array" ref="AC4002">100000000/LvacE(AA4002)</f>
        <v>43999.265169610335</v>
      </c>
      <c r="AD4002" s="10">
        <f t="shared" si="3683"/>
        <v>1.4682668387630611E-2</v>
      </c>
      <c r="AE4002" s="10" t="b">
        <f t="shared" si="3684"/>
        <v>1</v>
      </c>
      <c r="AJ4002" t="s">
        <v>4724</v>
      </c>
      <c r="AK4002" t="s">
        <v>4892</v>
      </c>
      <c r="AL4002">
        <v>18241.54</v>
      </c>
      <c r="AM4002">
        <v>62240.83</v>
      </c>
      <c r="AN4002" s="10" cm="1">
        <f t="array" ref="AN4002">Lair(100000000/($AM4002-$AL4002))</f>
        <v>2272.0617238889249</v>
      </c>
      <c r="AO4002" s="10">
        <f t="shared" si="3716"/>
        <v>2272.7639468727789</v>
      </c>
      <c r="AP4002" s="12">
        <v>202000000</v>
      </c>
      <c r="AQ4002" s="3">
        <v>0.221</v>
      </c>
      <c r="AR4002" s="3">
        <f t="shared" si="3717"/>
        <v>-7.2453516318657192</v>
      </c>
      <c r="AS4002" s="13">
        <f t="shared" si="3718"/>
        <v>73.572339717406862</v>
      </c>
      <c r="AT4002" s="3">
        <f t="shared" si="3719"/>
        <v>2.101044558703959</v>
      </c>
      <c r="AU4002" s="13" cm="1">
        <f t="array" ref="AU4002">$C4002*EXP(poly_from_str(100000000/$E4002,AU$4343))</f>
        <v>63.413365780650764</v>
      </c>
      <c r="AV4002" s="13">
        <f t="shared" si="3720"/>
        <v>0.14859448008621479</v>
      </c>
      <c r="AW4002" s="13"/>
      <c r="AX4002" s="13"/>
      <c r="AY4002" s="13"/>
    </row>
    <row r="4003" spans="1:51" x14ac:dyDescent="0.25">
      <c r="A4003" t="s">
        <v>4445</v>
      </c>
      <c r="B4003" s="2" t="str">
        <f t="shared" si="3680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3712"/>
        <v>e</v>
      </c>
      <c r="N4003" t="str">
        <f t="shared" si="3713"/>
        <v>7/2</v>
      </c>
      <c r="O4003">
        <v>65295.9</v>
      </c>
      <c r="P4003" t="str">
        <f t="shared" si="3714"/>
        <v>o</v>
      </c>
      <c r="Q4003" t="str">
        <f t="shared" si="3715"/>
        <v>7/2</v>
      </c>
      <c r="R4003">
        <v>36</v>
      </c>
      <c r="AA4003" s="10">
        <f t="shared" si="3681"/>
        <v>2271.9769999999999</v>
      </c>
      <c r="AB4003" s="3">
        <f t="shared" si="3682"/>
        <v>44000.93</v>
      </c>
      <c r="AC4003" s="3" cm="1">
        <f t="array" ref="AC4003">100000000/LvacE(AA4003)</f>
        <v>44000.930497901063</v>
      </c>
      <c r="AD4003" s="10">
        <f t="shared" si="3683"/>
        <v>1.4683401394006423E-2</v>
      </c>
      <c r="AE4003" s="10" t="b">
        <f t="shared" si="3684"/>
        <v>1</v>
      </c>
      <c r="AJ4003" t="s">
        <v>4791</v>
      </c>
      <c r="AK4003" t="s">
        <v>4825</v>
      </c>
      <c r="AL4003">
        <v>21294.89</v>
      </c>
      <c r="AM4003">
        <v>65295.9</v>
      </c>
      <c r="AN4003" s="10" cm="1">
        <f t="array" ref="AN4003">Lair(100000000/($AM4003-$AL4003))</f>
        <v>2271.9729007747223</v>
      </c>
      <c r="AO4003" s="10">
        <f t="shared" si="3716"/>
        <v>2272.6751045032829</v>
      </c>
      <c r="AP4003" s="12">
        <v>41600000</v>
      </c>
      <c r="AQ4003" s="3">
        <v>4.2999999999999997E-2</v>
      </c>
      <c r="AR4003" s="3"/>
      <c r="AS4003" s="13">
        <f t="shared" si="3718"/>
        <v>12.04762556489796</v>
      </c>
      <c r="AT4003" s="3"/>
      <c r="AU4003" s="13" cm="1">
        <f t="array" ref="AU4003">$C4003*EXP(poly_from_str(100000000/$E4003,AU$4343))</f>
        <v>42.302516948710021</v>
      </c>
      <c r="AV4003" s="13"/>
      <c r="AW4003" s="13"/>
      <c r="AX4003" s="13"/>
      <c r="AY4003" s="13"/>
    </row>
    <row r="4004" spans="1:51" x14ac:dyDescent="0.25">
      <c r="A4004" t="s">
        <v>4446</v>
      </c>
      <c r="B4004" s="2" t="str">
        <f t="shared" si="3680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3681"/>
        <v>2271.8510000000001</v>
      </c>
      <c r="AB4004" s="3">
        <f t="shared" si="3682"/>
        <v>44003.37</v>
      </c>
      <c r="AC4004" s="3" cm="1">
        <f t="array" ref="AC4004">100000000/LvacE(AA4004)</f>
        <v>44003.370625126496</v>
      </c>
      <c r="AD4004" s="10">
        <f t="shared" si="3683"/>
        <v>1.4684475483895398E-2</v>
      </c>
      <c r="AE4004" s="10" t="b">
        <f t="shared" si="3684"/>
        <v>1</v>
      </c>
      <c r="AP4004"/>
      <c r="AQ4004"/>
      <c r="AU4004" s="13" cm="1">
        <f t="array" ref="AU4004">$C4004*EXP(poly_from_str(100000000/$E4004,AU$4343))</f>
        <v>7.0569900912443204</v>
      </c>
    </row>
    <row r="4005" spans="1:51" x14ac:dyDescent="0.25">
      <c r="A4005" t="s">
        <v>4447</v>
      </c>
      <c r="B4005" s="2" t="str">
        <f t="shared" si="3680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3681"/>
        <v>2271.5039999999999</v>
      </c>
      <c r="AB4005" s="3">
        <f t="shared" si="3682"/>
        <v>44010.09</v>
      </c>
      <c r="AC4005" s="3" cm="1">
        <f t="array" ref="AC4005">100000000/LvacE(AA4005)</f>
        <v>44010.092057091344</v>
      </c>
      <c r="AD4005" s="10">
        <f t="shared" si="3683"/>
        <v>1.4687434417260843E-2</v>
      </c>
      <c r="AE4005" s="10" t="b">
        <f t="shared" si="3684"/>
        <v>1</v>
      </c>
      <c r="AP4005"/>
      <c r="AQ4005"/>
      <c r="AU4005" s="13" cm="1">
        <f t="array" ref="AU4005">$C4005*EXP(poly_from_str(100000000/$E4005,AU$4343))</f>
        <v>63.676352822960489</v>
      </c>
    </row>
    <row r="4006" spans="1:51" x14ac:dyDescent="0.25">
      <c r="A4006" t="s">
        <v>4448</v>
      </c>
      <c r="B4006" s="2" t="str">
        <f t="shared" si="3680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3721">$G4006&amp;""</f>
        <v>e</v>
      </c>
      <c r="N4006" s="6" t="s">
        <v>8</v>
      </c>
      <c r="O4006" s="4">
        <v>68492.429999999993</v>
      </c>
      <c r="P4006" s="4" t="str">
        <f t="shared" ref="P4006:P4009" si="3722">$J4006&amp;""</f>
        <v>o</v>
      </c>
      <c r="Q4006" s="6" t="s">
        <v>8</v>
      </c>
      <c r="R4006">
        <v>36</v>
      </c>
      <c r="S4006" t="s">
        <v>4449</v>
      </c>
      <c r="T4006">
        <v>1</v>
      </c>
      <c r="U4006" s="4" t="s">
        <v>4669</v>
      </c>
      <c r="AA4006" s="10">
        <f t="shared" si="3681"/>
        <v>2270.866</v>
      </c>
      <c r="AB4006" s="3">
        <f t="shared" si="3682"/>
        <v>44022.46</v>
      </c>
      <c r="AC4006" s="3" cm="1">
        <f t="array" ref="AC4006">100000000/LvacE(AA4006)</f>
        <v>44022.455553596701</v>
      </c>
      <c r="AD4006" s="10">
        <f t="shared" si="3683"/>
        <v>1.4692878301404994E-2</v>
      </c>
      <c r="AE4006" s="10" t="b">
        <f t="shared" si="3684"/>
        <v>1</v>
      </c>
      <c r="AJ4006" t="s">
        <v>4747</v>
      </c>
      <c r="AK4006" t="s">
        <v>4831</v>
      </c>
      <c r="AL4006">
        <v>24470.9</v>
      </c>
      <c r="AM4006">
        <v>68492.429999999993</v>
      </c>
      <c r="AN4006" s="10" cm="1">
        <f t="array" ref="AN4006">Lair(100000000/($AM4006-$AL4006))</f>
        <v>2270.9137556679275</v>
      </c>
      <c r="AO4006" s="10">
        <f t="shared" ref="AO4006:AO4009" si="3723">100000000/($AM4006-$AL4006)</f>
        <v>2271.6157298485541</v>
      </c>
      <c r="AP4006" s="12">
        <v>26400000</v>
      </c>
      <c r="AQ4006" s="3">
        <v>3.2000000000000001E-2</v>
      </c>
      <c r="AR4006" s="3"/>
      <c r="AS4006" s="13">
        <f t="shared" ref="AS4006:AS4009" si="3724">EXP(AR$4341*$AM4006+AR$4342)*$AP4006/(100000000/($AM4006-$AL4006))</f>
        <v>6.0177200581328547</v>
      </c>
      <c r="AT4006" s="3"/>
      <c r="AU4006" s="13" cm="1">
        <f t="array" ref="AU4006">$C4006*EXP(poly_from_str(100000000/$E4006,AU$4343))</f>
        <v>56.870614018282239</v>
      </c>
      <c r="AV4006" s="13"/>
      <c r="AW4006" s="13"/>
      <c r="AX4006" s="13"/>
      <c r="AY4006" s="13"/>
    </row>
    <row r="4007" spans="1:51" x14ac:dyDescent="0.25">
      <c r="A4007" t="s">
        <v>4450</v>
      </c>
      <c r="B4007" s="2" t="str">
        <f t="shared" si="3680"/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3721"/>
        <v>e</v>
      </c>
      <c r="N4007" t="str">
        <f t="shared" ref="N4007:N4009" si="3725">$H4007&amp;""</f>
        <v>9/2</v>
      </c>
      <c r="O4007">
        <v>67870.759999999995</v>
      </c>
      <c r="P4007" t="str">
        <f t="shared" si="3722"/>
        <v>o</v>
      </c>
      <c r="Q4007" t="str">
        <f t="shared" ref="Q4007:Q4009" si="3726">$K4007&amp;""</f>
        <v>9/2</v>
      </c>
      <c r="R4007">
        <v>36</v>
      </c>
      <c r="AA4007" s="10">
        <f t="shared" si="3681"/>
        <v>2270.6770000000001</v>
      </c>
      <c r="AB4007" s="3">
        <f t="shared" si="3682"/>
        <v>44026.12</v>
      </c>
      <c r="AC4007" s="3" cm="1">
        <f t="array" ref="AC4007">100000000/LvacE(AA4007)</f>
        <v>44026.119427762511</v>
      </c>
      <c r="AD4007" s="10">
        <f t="shared" si="3683"/>
        <v>1.4694491869112716E-2</v>
      </c>
      <c r="AE4007" s="10" t="b">
        <f t="shared" si="3684"/>
        <v>1</v>
      </c>
      <c r="AJ4007" t="s">
        <v>4763</v>
      </c>
      <c r="AK4007" t="s">
        <v>4755</v>
      </c>
      <c r="AL4007">
        <v>23844.58</v>
      </c>
      <c r="AM4007">
        <v>67870.759999999995</v>
      </c>
      <c r="AN4007" s="10" cm="1">
        <f t="array" ref="AN4007">Lair(100000000/($AM4007-$AL4007))</f>
        <v>2270.6738819164884</v>
      </c>
      <c r="AO4007" s="10">
        <f t="shared" si="3723"/>
        <v>2271.3758041238193</v>
      </c>
      <c r="AP4007" s="12">
        <v>443000000</v>
      </c>
      <c r="AQ4007" s="3">
        <v>0.30599999999999999</v>
      </c>
      <c r="AR4007" s="3">
        <f t="shared" ref="AR4007:AR4009" si="3727">LN(AU4007*100000000/($AM4007-$AL4007)/AP4007)</f>
        <v>-8.0209681612806278</v>
      </c>
      <c r="AS4007" s="13">
        <f t="shared" si="3724"/>
        <v>105.81308233749395</v>
      </c>
      <c r="AT4007" s="3">
        <f t="shared" ref="AT4007:AT4009" si="3728">LN(AS4007/$C4007)</f>
        <v>2.4644495860268716</v>
      </c>
      <c r="AU4007" s="13" cm="1">
        <f t="array" ref="AU4007">$C4007*EXP(poly_from_str(100000000/$E4007,AU$4343))</f>
        <v>64.069674722789856</v>
      </c>
      <c r="AV4007" s="13">
        <f t="shared" ref="AV4007:AV4009" si="3729">LN(AS4007/AU4007)</f>
        <v>0.5017030046285933</v>
      </c>
      <c r="AW4007" s="13"/>
      <c r="AX4007" s="13"/>
      <c r="AY4007" s="13"/>
    </row>
    <row r="4008" spans="1:51" x14ac:dyDescent="0.25">
      <c r="A4008" t="s">
        <v>4451</v>
      </c>
      <c r="B4008" s="2" t="str">
        <f t="shared" si="3680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3721"/>
        <v>e</v>
      </c>
      <c r="N4008" t="str">
        <f t="shared" si="3725"/>
        <v>7/2</v>
      </c>
      <c r="O4008">
        <v>67679.210000000006</v>
      </c>
      <c r="P4008" t="str">
        <f t="shared" si="3722"/>
        <v>o</v>
      </c>
      <c r="Q4008" t="str">
        <f t="shared" si="3726"/>
        <v>7/2</v>
      </c>
      <c r="R4008">
        <v>36</v>
      </c>
      <c r="S4008" t="s">
        <v>2205</v>
      </c>
      <c r="AA4008" s="10">
        <f t="shared" si="3681"/>
        <v>2270.6170000000002</v>
      </c>
      <c r="AB4008" s="3">
        <f t="shared" si="3682"/>
        <v>44027.28</v>
      </c>
      <c r="AC4008" s="3" cm="1">
        <f t="array" ref="AC4008">100000000/LvacE(AA4008)</f>
        <v>44027.282689944572</v>
      </c>
      <c r="AD4008" s="10">
        <f t="shared" si="3683"/>
        <v>1.4695004197084881E-2</v>
      </c>
      <c r="AE4008" s="10" t="b">
        <f t="shared" si="3684"/>
        <v>1</v>
      </c>
      <c r="AJ4008" t="s">
        <v>4759</v>
      </c>
      <c r="AK4008" t="s">
        <v>4861</v>
      </c>
      <c r="AL4008">
        <v>23651.88</v>
      </c>
      <c r="AM4008">
        <v>67679.210000000006</v>
      </c>
      <c r="AN4008" s="10" cm="1">
        <f t="array" ref="AN4008">Lair(100000000/($AM4008-$AL4008))</f>
        <v>2270.6145661147957</v>
      </c>
      <c r="AO4008" s="10">
        <f t="shared" si="3723"/>
        <v>2271.316475471031</v>
      </c>
      <c r="AP4008" s="12">
        <v>208000000</v>
      </c>
      <c r="AQ4008" s="3">
        <v>0.13400000000000001</v>
      </c>
      <c r="AR4008" s="3">
        <f t="shared" si="3727"/>
        <v>-7.3822985249134341</v>
      </c>
      <c r="AS4008" s="13">
        <f t="shared" si="3724"/>
        <v>50.40265238381663</v>
      </c>
      <c r="AT4008" s="3">
        <f t="shared" si="3728"/>
        <v>1.8406022586757811</v>
      </c>
      <c r="AU4008" s="13" cm="1">
        <f t="array" ref="AU4008">$C4008*EXP(poly_from_str(100000000/$E4008,AU$4343))</f>
        <v>56.97629050444597</v>
      </c>
      <c r="AV4008" s="13">
        <f t="shared" si="3729"/>
        <v>-0.12259142488286182</v>
      </c>
      <c r="AW4008" s="13"/>
      <c r="AX4008" s="13"/>
      <c r="AY4008" s="13"/>
    </row>
    <row r="4009" spans="1:51" x14ac:dyDescent="0.25">
      <c r="A4009" t="s">
        <v>4452</v>
      </c>
      <c r="B4009" s="2" t="str">
        <f t="shared" si="3680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3721"/>
        <v>e</v>
      </c>
      <c r="N4009" t="str">
        <f t="shared" si="3725"/>
        <v>7/2</v>
      </c>
      <c r="O4009">
        <v>60166.2</v>
      </c>
      <c r="P4009" t="str">
        <f t="shared" si="3722"/>
        <v>o</v>
      </c>
      <c r="Q4009" t="str">
        <f t="shared" si="3726"/>
        <v>9/2</v>
      </c>
      <c r="R4009">
        <v>36</v>
      </c>
      <c r="AA4009" s="10">
        <f t="shared" si="3681"/>
        <v>2270.4670000000001</v>
      </c>
      <c r="AB4009" s="3">
        <f t="shared" si="3682"/>
        <v>44030.19</v>
      </c>
      <c r="AC4009" s="3" cm="1">
        <f t="array" ref="AC4009">100000000/LvacE(AA4009)</f>
        <v>44030.191114327608</v>
      </c>
      <c r="AD4009" s="10">
        <f t="shared" si="3683"/>
        <v>1.4696285194703909E-2</v>
      </c>
      <c r="AE4009" s="10" t="b">
        <f t="shared" si="3684"/>
        <v>1</v>
      </c>
      <c r="AJ4009" t="s">
        <v>4743</v>
      </c>
      <c r="AK4009" t="s">
        <v>4726</v>
      </c>
      <c r="AL4009">
        <v>16135.97</v>
      </c>
      <c r="AM4009">
        <v>60166.2</v>
      </c>
      <c r="AN4009" s="10" cm="1">
        <f t="array" ref="AN4009">Lair(100000000/($AM4009-$AL4009))</f>
        <v>2270.4650008937815</v>
      </c>
      <c r="AO4009" s="10">
        <f t="shared" si="3723"/>
        <v>2271.1668778473336</v>
      </c>
      <c r="AP4009" s="12">
        <v>140000000</v>
      </c>
      <c r="AQ4009" s="3">
        <v>0.36399999999999999</v>
      </c>
      <c r="AR4009" s="3">
        <f t="shared" si="3727"/>
        <v>-6.8675632022561555</v>
      </c>
      <c r="AS4009" s="13">
        <f t="shared" si="3724"/>
        <v>59.622979792438201</v>
      </c>
      <c r="AT4009" s="3">
        <f t="shared" si="3728"/>
        <v>1.8908164894104529</v>
      </c>
      <c r="AU4009" s="13" cm="1">
        <f t="array" ref="AU4009">$C4009*EXP(poly_from_str(100000000/$E4009,AU$4343))</f>
        <v>64.170317324636372</v>
      </c>
      <c r="AV4009" s="13">
        <f t="shared" si="3729"/>
        <v>-7.3499690065647022E-2</v>
      </c>
      <c r="AW4009" s="13"/>
      <c r="AX4009" s="13"/>
      <c r="AY4009" s="13"/>
    </row>
    <row r="4010" spans="1:51" x14ac:dyDescent="0.25">
      <c r="A4010" t="s">
        <v>4453</v>
      </c>
      <c r="B4010" s="2" t="str">
        <f t="shared" si="3680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3681"/>
        <v>2270.2310000000002</v>
      </c>
      <c r="AB4010" s="3">
        <f t="shared" si="3682"/>
        <v>44034.77</v>
      </c>
      <c r="AC4010" s="3" cm="1">
        <f t="array" ref="AC4010">100000000/LvacE(AA4010)</f>
        <v>44034.767813231978</v>
      </c>
      <c r="AD4010" s="10">
        <f t="shared" si="3683"/>
        <v>1.469830114495661E-2</v>
      </c>
      <c r="AE4010" s="10" t="b">
        <f t="shared" si="3684"/>
        <v>1</v>
      </c>
      <c r="AP4010"/>
      <c r="AQ4010"/>
      <c r="AU4010" s="13" cm="1">
        <f t="array" ref="AU4010">$C4010*EXP(poly_from_str(100000000/$E4010,AU$4343))</f>
        <v>7.1426612056703211</v>
      </c>
    </row>
    <row r="4011" spans="1:51" x14ac:dyDescent="0.25">
      <c r="A4011" t="s">
        <v>4454</v>
      </c>
      <c r="B4011" s="2" t="str">
        <f t="shared" si="3680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3681"/>
        <v>2269.5970000000002</v>
      </c>
      <c r="AB4011" s="3">
        <f t="shared" si="3682"/>
        <v>44047.07</v>
      </c>
      <c r="AC4011" s="3" cm="1">
        <f t="array" ref="AC4011">100000000/LvacE(AA4011)</f>
        <v>44047.067555435227</v>
      </c>
      <c r="AD4011" s="10">
        <f t="shared" si="3683"/>
        <v>1.4703719989812118E-2</v>
      </c>
      <c r="AE4011" s="10" t="b">
        <f t="shared" si="3684"/>
        <v>1</v>
      </c>
      <c r="AP4011"/>
      <c r="AQ4011"/>
      <c r="AU4011" s="13" cm="1">
        <f t="array" ref="AU4011">$C4011*EXP(poly_from_str(100000000/$E4011,AU$4343))</f>
        <v>7.1767917306485467</v>
      </c>
    </row>
    <row r="4012" spans="1:51" x14ac:dyDescent="0.25">
      <c r="A4012" t="s">
        <v>4455</v>
      </c>
      <c r="B4012" s="2" t="str">
        <f t="shared" si="3680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3681"/>
        <v>2268.2489999999998</v>
      </c>
      <c r="AB4012" s="3">
        <f t="shared" si="3682"/>
        <v>44073.24</v>
      </c>
      <c r="AC4012" s="3" cm="1">
        <f t="array" ref="AC4012">100000000/LvacE(AA4012)</f>
        <v>44073.241904482165</v>
      </c>
      <c r="AD4012" s="10">
        <f t="shared" si="3683"/>
        <v>1.4715256549100688E-2</v>
      </c>
      <c r="AE4012" s="10" t="b">
        <f t="shared" si="3684"/>
        <v>1</v>
      </c>
      <c r="AJ4012" t="s">
        <v>4747</v>
      </c>
      <c r="AK4012" t="s">
        <v>4901</v>
      </c>
      <c r="AL4012">
        <v>24470.9</v>
      </c>
      <c r="AM4012">
        <v>68544.19</v>
      </c>
      <c r="AN4012" s="10" cm="1">
        <f t="array" ref="AN4012">Lair(100000000/($AM4012-$AL4012))</f>
        <v>2268.2465308429541</v>
      </c>
      <c r="AO4012" s="10">
        <f>100000000/($AM4012-$AL4012)</f>
        <v>2268.9479274181708</v>
      </c>
      <c r="AP4012" s="12">
        <v>62200000</v>
      </c>
      <c r="AQ4012" s="3">
        <v>0.20899999999999999</v>
      </c>
      <c r="AR4012" s="3">
        <f>LN(AU4012*100000000/($AM4012-$AL4012)/AP4012)</f>
        <v>-8.2377234499959666</v>
      </c>
      <c r="AS4012" s="13">
        <f>EXP(AR$4341*$AM4012+AR$4342)*$AP4012/(100000000/($AM4012-$AL4012))</f>
        <v>14.139752073353788</v>
      </c>
      <c r="AT4012" s="3">
        <f>LN(AS4012/$C4012)</f>
        <v>2.6489901266056419</v>
      </c>
      <c r="AU4012" s="13" cm="1">
        <f t="array" ref="AU4012">$C4012*EXP(poly_from_str(100000000/$E4012,AU$4343))</f>
        <v>7.2505010206126217</v>
      </c>
      <c r="AV4012" s="13">
        <f>LN(AS4012/AU4012)</f>
        <v>0.66791955383539237</v>
      </c>
      <c r="AW4012" s="13"/>
      <c r="AX4012" s="13"/>
      <c r="AY4012" s="13"/>
    </row>
    <row r="4013" spans="1:51" x14ac:dyDescent="0.25">
      <c r="A4013" t="s">
        <v>4456</v>
      </c>
      <c r="B4013" s="2" t="str">
        <f t="shared" si="3680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3681"/>
        <v>2268.1390000000001</v>
      </c>
      <c r="AB4013" s="3">
        <f t="shared" si="3682"/>
        <v>44075.38</v>
      </c>
      <c r="AC4013" s="3" cm="1">
        <f t="array" ref="AC4013">100000000/LvacE(AA4013)</f>
        <v>44075.379166214065</v>
      </c>
      <c r="AD4013" s="10">
        <f t="shared" si="3683"/>
        <v>1.4716198867488737E-2</v>
      </c>
      <c r="AE4013" s="10" t="b">
        <f t="shared" si="3684"/>
        <v>1</v>
      </c>
      <c r="AP4013"/>
      <c r="AQ4013"/>
      <c r="AU4013" s="13" cm="1">
        <f t="array" ref="AU4013">$C4013*EXP(poly_from_str(100000000/$E4013,AU$4343))</f>
        <v>7.2565949111525061</v>
      </c>
    </row>
    <row r="4014" spans="1:51" x14ac:dyDescent="0.25">
      <c r="A4014">
        <v>2267.848</v>
      </c>
      <c r="B4014" s="2" t="str">
        <f t="shared" si="3680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3681"/>
        <v>2267.848</v>
      </c>
      <c r="AB4014" s="3">
        <f t="shared" si="3682"/>
        <v>44081.03</v>
      </c>
      <c r="AC4014" s="3" cm="1">
        <f t="array" ref="AC4014">100000000/LvacE(AA4014)</f>
        <v>44081.034194522013</v>
      </c>
      <c r="AD4014" s="10">
        <f t="shared" si="3683"/>
        <v>1.4718692389111179E-2</v>
      </c>
      <c r="AE4014" s="10" t="b">
        <f t="shared" si="3684"/>
        <v>1</v>
      </c>
      <c r="AP4014"/>
      <c r="AQ4014"/>
      <c r="AU4014" s="13" cm="1">
        <f t="array" ref="AU4014">$C4014*EXP(poly_from_str(100000000/$E4014,AU$4343))</f>
        <v>36.363663357472944</v>
      </c>
    </row>
    <row r="4015" spans="1:51" x14ac:dyDescent="0.25">
      <c r="A4015">
        <v>2267.703</v>
      </c>
      <c r="B4015" s="2" t="str">
        <f t="shared" si="3680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3681"/>
        <v>2267.703</v>
      </c>
      <c r="AB4015" s="3">
        <f t="shared" si="3682"/>
        <v>44083.85</v>
      </c>
      <c r="AC4015" s="3" cm="1">
        <f t="array" ref="AC4015">100000000/LvacE(AA4015)</f>
        <v>44083.852533788733</v>
      </c>
      <c r="AD4015" s="10">
        <f t="shared" si="3683"/>
        <v>1.4719935223834149E-2</v>
      </c>
      <c r="AE4015" s="10" t="b">
        <f t="shared" si="3684"/>
        <v>1</v>
      </c>
      <c r="AJ4015" t="s">
        <v>4783</v>
      </c>
      <c r="AK4015" t="s">
        <v>4860</v>
      </c>
      <c r="AL4015">
        <v>27452.45</v>
      </c>
      <c r="AM4015">
        <v>71536.38</v>
      </c>
      <c r="AN4015" s="10" cm="1">
        <f t="array" ref="AN4015">Lair(100000000/($AM4015-$AL4015))</f>
        <v>2267.6990210663839</v>
      </c>
      <c r="AO4015" s="10">
        <f>100000000/($AM4015-$AL4015)</f>
        <v>2268.4002991566313</v>
      </c>
      <c r="AP4015" s="12">
        <v>103000000</v>
      </c>
      <c r="AQ4015" s="3">
        <v>0.161</v>
      </c>
      <c r="AR4015" s="3">
        <f>LN(AU4015*100000000/($AM4015-$AL4015)/AP4015)</f>
        <v>-7.1287288431687621</v>
      </c>
      <c r="AS4015" s="13">
        <f>EXP(AR$4341*$AM4015+AR$4342)*$AP4015/(100000000/($AM4015-$AL4015))</f>
        <v>18.709872721369319</v>
      </c>
      <c r="AT4015" s="3">
        <f>LN(AS4015/$C4015)</f>
        <v>1.3196134251226834</v>
      </c>
      <c r="AU4015" s="13" cm="1">
        <f t="array" ref="AU4015">$C4015*EXP(poly_from_str(100000000/$E4015,AU$4343))</f>
        <v>36.404069032612313</v>
      </c>
      <c r="AV4015" s="13">
        <f>LN(AS4015/AU4015)</f>
        <v>-0.66562921744848202</v>
      </c>
      <c r="AW4015" s="13"/>
      <c r="AX4015" s="13"/>
      <c r="AY4015" s="13"/>
    </row>
    <row r="4016" spans="1:51" x14ac:dyDescent="0.25">
      <c r="A4016">
        <v>2267.6089999999999</v>
      </c>
      <c r="B4016" s="2" t="str">
        <f t="shared" si="3680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3681"/>
        <v>2267.6089999999999</v>
      </c>
      <c r="AB4016" s="3">
        <f t="shared" si="3682"/>
        <v>44085.68</v>
      </c>
      <c r="AC4016" s="3" cm="1">
        <f t="array" ref="AC4016">100000000/LvacE(AA4016)</f>
        <v>44085.679787635599</v>
      </c>
      <c r="AD4016" s="10">
        <f t="shared" si="3683"/>
        <v>1.4720741050956228E-2</v>
      </c>
      <c r="AE4016" s="10" t="b">
        <f t="shared" si="3684"/>
        <v>1</v>
      </c>
      <c r="AP4016"/>
      <c r="AQ4016"/>
      <c r="AU4016" s="13" cm="1">
        <f t="array" ref="AU4016">$C4016*EXP(poly_from_str(100000000/$E4016,AU$4343))</f>
        <v>7.2860674289571348</v>
      </c>
    </row>
    <row r="4017" spans="1:51" x14ac:dyDescent="0.25">
      <c r="A4017">
        <v>2267.3069999999998</v>
      </c>
      <c r="B4017" s="2" t="str">
        <f t="shared" si="3680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3681"/>
        <v>2267.3069999999998</v>
      </c>
      <c r="AB4017" s="3">
        <f t="shared" si="3682"/>
        <v>44091.55</v>
      </c>
      <c r="AC4017" s="3" cm="1">
        <f t="array" ref="AC4017">100000000/LvacE(AA4017)</f>
        <v>44091.551351714414</v>
      </c>
      <c r="AD4017" s="10">
        <f t="shared" si="3683"/>
        <v>1.4723330663142315E-2</v>
      </c>
      <c r="AE4017" s="10" t="b">
        <f t="shared" si="3684"/>
        <v>1</v>
      </c>
      <c r="AP4017"/>
      <c r="AQ4017"/>
      <c r="AU4017" s="13" cm="1">
        <f t="array" ref="AU4017">$C4017*EXP(poly_from_str(100000000/$E4017,AU$4343))</f>
        <v>7.3029697262238695</v>
      </c>
    </row>
    <row r="4018" spans="1:51" x14ac:dyDescent="0.25">
      <c r="A4018">
        <v>2267.2130000000002</v>
      </c>
      <c r="B4018" s="2" t="str">
        <f t="shared" si="3680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3681"/>
        <v>2267.2130000000002</v>
      </c>
      <c r="AB4018" s="3">
        <f t="shared" si="3682"/>
        <v>44093.38</v>
      </c>
      <c r="AC4018" s="3" cm="1">
        <f t="array" ref="AC4018">100000000/LvacE(AA4018)</f>
        <v>44093.379243786861</v>
      </c>
      <c r="AD4018" s="10">
        <f t="shared" si="3683"/>
        <v>1.472413691254127E-2</v>
      </c>
      <c r="AE4018" s="10" t="b">
        <f t="shared" si="3684"/>
        <v>1</v>
      </c>
      <c r="AP4018"/>
      <c r="AQ4018"/>
      <c r="AU4018" s="13" cm="1">
        <f t="array" ref="AU4018">$C4018*EXP(poly_from_str(100000000/$E4018,AU$4343))</f>
        <v>7.3082548873775526</v>
      </c>
    </row>
    <row r="4019" spans="1:51" x14ac:dyDescent="0.25">
      <c r="A4019">
        <v>2267.127</v>
      </c>
      <c r="B4019" s="2" t="str">
        <f t="shared" si="3680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3681"/>
        <v>2267.127</v>
      </c>
      <c r="AB4019" s="3">
        <f t="shared" si="3682"/>
        <v>44095.05</v>
      </c>
      <c r="AC4019" s="3" cm="1">
        <f t="array" ref="AC4019">100000000/LvacE(AA4019)</f>
        <v>44095.051703325575</v>
      </c>
      <c r="AD4019" s="10">
        <f t="shared" si="3683"/>
        <v>1.472487463281183E-2</v>
      </c>
      <c r="AE4019" s="10" t="b">
        <f t="shared" si="3684"/>
        <v>1</v>
      </c>
      <c r="AP4019"/>
      <c r="AQ4019"/>
      <c r="AU4019" s="13" cm="1">
        <f t="array" ref="AU4019">$C4019*EXP(poly_from_str(100000000/$E4019,AU$4343))</f>
        <v>7.3130845255514307</v>
      </c>
    </row>
    <row r="4020" spans="1:51" x14ac:dyDescent="0.25">
      <c r="A4020">
        <v>2266.645</v>
      </c>
      <c r="B4020" s="2" t="str">
        <f t="shared" si="3680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3730">$G4020&amp;""</f>
        <v>e</v>
      </c>
      <c r="N4020" t="str">
        <f t="shared" ref="N4020:N4023" si="3731">$H4020&amp;""</f>
        <v>9/2</v>
      </c>
      <c r="O4020">
        <v>69138.28</v>
      </c>
      <c r="P4020" t="str">
        <f t="shared" ref="P4020:P4023" si="3732">$J4020&amp;""</f>
        <v>o</v>
      </c>
      <c r="Q4020" t="str">
        <f t="shared" ref="Q4020:Q4023" si="3733">$K4020&amp;""</f>
        <v>9/2</v>
      </c>
      <c r="R4020">
        <v>37</v>
      </c>
      <c r="AA4020" s="10">
        <f t="shared" si="3681"/>
        <v>2266.645</v>
      </c>
      <c r="AB4020" s="3">
        <f t="shared" si="3682"/>
        <v>44104.43</v>
      </c>
      <c r="AC4020" s="3" cm="1">
        <f t="array" ref="AC4020">100000000/LvacE(AA4020)</f>
        <v>44104.427604080323</v>
      </c>
      <c r="AD4020" s="10">
        <f t="shared" si="3683"/>
        <v>1.4729010851739097E-2</v>
      </c>
      <c r="AE4020" s="10" t="b">
        <f t="shared" si="3684"/>
        <v>1</v>
      </c>
      <c r="AJ4020" t="s">
        <v>4746</v>
      </c>
      <c r="AK4020" t="s">
        <v>4879</v>
      </c>
      <c r="AL4020">
        <v>25033.91</v>
      </c>
      <c r="AM4020">
        <v>69138.28</v>
      </c>
      <c r="AN4020" s="10" cm="1">
        <f t="array" ref="AN4020">Lair(100000000/($AM4020-$AL4020))</f>
        <v>2266.6479670824206</v>
      </c>
      <c r="AO4020" s="10">
        <f t="shared" ref="AO4020:AO4023" si="3734">100000000/($AM4020-$AL4020)</f>
        <v>2267.3490177957424</v>
      </c>
      <c r="AP4020" s="12">
        <v>394000000</v>
      </c>
      <c r="AQ4020" s="3">
        <v>0.27200000000000002</v>
      </c>
      <c r="AR4020" s="3">
        <f>LN(AU4020*100000000/($AM4020-$AL4020)/AP4020)</f>
        <v>-7.9926697527504391</v>
      </c>
      <c r="AS4020" s="13">
        <f t="shared" ref="AS4020:AS4023" si="3735">EXP(AR$4341*$AM4020+AR$4342)*$AP4020/(100000000/($AM4020-$AL4020))</f>
        <v>85.721738115824664</v>
      </c>
      <c r="AT4020" s="3">
        <f t="shared" ref="AT4020:AT4023" si="3736">LN(AS4020/$C4020)</f>
        <v>2.3716649053861483</v>
      </c>
      <c r="AU4020" s="13" cm="1">
        <f t="array" ref="AU4020">$C4020*EXP(poly_from_str(100000000/$E4020,AU$4343))</f>
        <v>58.722626941952747</v>
      </c>
      <c r="AV4020" s="13">
        <f>LN(AS4020/AU4020)</f>
        <v>0.37828132701050599</v>
      </c>
      <c r="AW4020" s="13"/>
      <c r="AX4020" s="13"/>
      <c r="AY4020" s="13"/>
    </row>
    <row r="4021" spans="1:51" x14ac:dyDescent="0.25">
      <c r="A4021">
        <v>2266.3319999999999</v>
      </c>
      <c r="B4021" s="2" t="str">
        <f t="shared" si="3680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3730"/>
        <v>e</v>
      </c>
      <c r="N4021" t="str">
        <f t="shared" si="3731"/>
        <v>5/2</v>
      </c>
      <c r="O4021">
        <v>73378.42</v>
      </c>
      <c r="P4021" t="str">
        <f t="shared" si="3732"/>
        <v>o</v>
      </c>
      <c r="Q4021" t="str">
        <f t="shared" si="3733"/>
        <v>7/2</v>
      </c>
      <c r="R4021">
        <v>37</v>
      </c>
      <c r="AA4021" s="10">
        <f t="shared" si="3681"/>
        <v>2266.3319999999999</v>
      </c>
      <c r="AB4021" s="3">
        <f t="shared" si="3682"/>
        <v>44110.52</v>
      </c>
      <c r="AC4021" s="3" cm="1">
        <f t="array" ref="AC4021">100000000/LvacE(AA4021)</f>
        <v>44110.518239289391</v>
      </c>
      <c r="AD4021" s="10">
        <f t="shared" si="3683"/>
        <v>1.4731698232935287E-2</v>
      </c>
      <c r="AE4021" s="10" t="b">
        <f t="shared" si="3684"/>
        <v>1</v>
      </c>
      <c r="AJ4021" t="s">
        <v>4700</v>
      </c>
      <c r="AK4021" t="s">
        <v>4919</v>
      </c>
      <c r="AL4021">
        <v>29267.86</v>
      </c>
      <c r="AM4021">
        <v>73378.42</v>
      </c>
      <c r="AN4021" s="10" cm="1">
        <f t="array" ref="AN4021">Lair(100000000/($AM4021-$AL4021))</f>
        <v>2266.3298605841928</v>
      </c>
      <c r="AO4021" s="10">
        <f t="shared" si="3734"/>
        <v>2267.0308425012063</v>
      </c>
      <c r="AP4021" s="12">
        <v>13900000</v>
      </c>
      <c r="AQ4021" s="3">
        <v>2.8000000000000001E-2</v>
      </c>
      <c r="AR4021" s="3"/>
      <c r="AS4021" s="13">
        <f t="shared" si="3735"/>
        <v>2.200260909384673</v>
      </c>
      <c r="AT4021" s="3"/>
      <c r="AU4021" s="13" cm="1">
        <f t="array" ref="AU4021">$C4021*EXP(poly_from_str(100000000/$E4021,AU$4343))</f>
        <v>7.3581233057606736</v>
      </c>
      <c r="AV4021" s="13"/>
      <c r="AW4021" s="13"/>
      <c r="AX4021" s="13"/>
      <c r="AY4021" s="13"/>
    </row>
    <row r="4022" spans="1:51" x14ac:dyDescent="0.25">
      <c r="A4022">
        <v>2266.14</v>
      </c>
      <c r="B4022" s="2" t="str">
        <f t="shared" si="3680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3730"/>
        <v>e</v>
      </c>
      <c r="N4022" t="str">
        <f t="shared" si="3731"/>
        <v>1/2</v>
      </c>
      <c r="O4022">
        <v>78312.91</v>
      </c>
      <c r="P4022" t="str">
        <f t="shared" si="3732"/>
        <v>o</v>
      </c>
      <c r="Q4022" t="str">
        <f t="shared" si="3733"/>
        <v>1/2</v>
      </c>
      <c r="R4022">
        <v>37</v>
      </c>
      <c r="AA4022" s="10">
        <f t="shared" si="3681"/>
        <v>2266.14</v>
      </c>
      <c r="AB4022" s="3">
        <f t="shared" si="3682"/>
        <v>44114.25</v>
      </c>
      <c r="AC4022" s="3" cm="1">
        <f t="array" ref="AC4022">100000000/LvacE(AA4022)</f>
        <v>44114.255180198619</v>
      </c>
      <c r="AD4022" s="10">
        <f t="shared" si="3683"/>
        <v>1.4733347273380864E-2</v>
      </c>
      <c r="AE4022" s="10" t="b">
        <f t="shared" si="3684"/>
        <v>1</v>
      </c>
      <c r="AJ4022" t="s">
        <v>4727</v>
      </c>
      <c r="AK4022" t="s">
        <v>4872</v>
      </c>
      <c r="AL4022">
        <v>34198.61</v>
      </c>
      <c r="AM4022">
        <v>78312.91</v>
      </c>
      <c r="AN4022" s="10" cm="1">
        <f t="array" ref="AN4022">Lair(100000000/($AM4022-$AL4022))</f>
        <v>2266.1377037942525</v>
      </c>
      <c r="AO4022" s="10">
        <f t="shared" si="3734"/>
        <v>2266.8386441584698</v>
      </c>
      <c r="AP4022" s="12">
        <v>295000000</v>
      </c>
      <c r="AQ4022" s="3">
        <v>0.72799999999999998</v>
      </c>
      <c r="AR4022" s="3">
        <f t="shared" ref="AR4022:AR4023" si="3737">LN(AU4022*100000000/($AM4022-$AL4022)/AP4022)</f>
        <v>-8.1696158221853619</v>
      </c>
      <c r="AS4022" s="13">
        <f t="shared" si="3735"/>
        <v>32.247153052098646</v>
      </c>
      <c r="AT4022" s="3">
        <f t="shared" si="3736"/>
        <v>1.8639918494566918</v>
      </c>
      <c r="AU4022" s="13" cm="1">
        <f t="array" ref="AU4022">$C4022*EXP(poly_from_str(100000000/$E4022,AU$4343))</f>
        <v>36.845320400317696</v>
      </c>
      <c r="AV4022" s="13">
        <f t="shared" ref="AV4022:AV4023" si="3738">LN(AS4022/AU4022)</f>
        <v>-0.13329885818716417</v>
      </c>
      <c r="AW4022" s="13"/>
      <c r="AX4022" s="13"/>
      <c r="AY4022" s="13"/>
    </row>
    <row r="4023" spans="1:51" x14ac:dyDescent="0.25">
      <c r="A4023">
        <v>2266.0500000000002</v>
      </c>
      <c r="B4023" s="2" t="str">
        <f t="shared" si="3680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3730"/>
        <v>e</v>
      </c>
      <c r="N4023" t="str">
        <f t="shared" si="3731"/>
        <v>11/2</v>
      </c>
      <c r="O4023">
        <v>63816.91</v>
      </c>
      <c r="P4023" t="str">
        <f t="shared" si="3732"/>
        <v>o</v>
      </c>
      <c r="Q4023" t="str">
        <f t="shared" si="3733"/>
        <v>11/2</v>
      </c>
      <c r="R4023">
        <v>37</v>
      </c>
      <c r="AA4023" s="10">
        <f t="shared" si="3681"/>
        <v>2266.0500000000002</v>
      </c>
      <c r="AB4023" s="3">
        <f t="shared" si="3682"/>
        <v>44116.01</v>
      </c>
      <c r="AC4023" s="3" cm="1">
        <f t="array" ref="AC4023">100000000/LvacE(AA4023)</f>
        <v>44116.007089196595</v>
      </c>
      <c r="AD4023" s="10">
        <f t="shared" si="3683"/>
        <v>1.4734120405374241E-2</v>
      </c>
      <c r="AE4023" s="10" t="b">
        <f t="shared" si="3684"/>
        <v>1</v>
      </c>
      <c r="AJ4023" t="s">
        <v>4962</v>
      </c>
      <c r="AK4023" t="s">
        <v>4928</v>
      </c>
      <c r="AL4023">
        <v>19700.900000000001</v>
      </c>
      <c r="AM4023">
        <v>63816.91</v>
      </c>
      <c r="AN4023" s="10" cm="1">
        <f t="array" ref="AN4023">Lair(100000000/($AM4023-$AL4023))</f>
        <v>2266.0498568632302</v>
      </c>
      <c r="AO4023" s="10">
        <f t="shared" si="3734"/>
        <v>2266.7507782322109</v>
      </c>
      <c r="AP4023" s="12">
        <v>46100000</v>
      </c>
      <c r="AQ4023" s="3">
        <v>8.6999999999999994E-2</v>
      </c>
      <c r="AR4023" s="3">
        <f t="shared" si="3737"/>
        <v>-6.312790374529091</v>
      </c>
      <c r="AS4023" s="13">
        <f t="shared" si="3735"/>
        <v>14.957067775425662</v>
      </c>
      <c r="AT4023" s="3">
        <f t="shared" si="3736"/>
        <v>1.0957460365844078</v>
      </c>
      <c r="AU4023" s="13" cm="1">
        <f t="array" ref="AU4023">$C4023*EXP(poly_from_str(100000000/$E4023,AU$4343))</f>
        <v>36.871187651252349</v>
      </c>
      <c r="AV4023" s="13">
        <f t="shared" si="3738"/>
        <v>-0.90224647456805296</v>
      </c>
      <c r="AW4023" s="13"/>
      <c r="AX4023" s="13"/>
      <c r="AY4023" s="13"/>
    </row>
    <row r="4024" spans="1:51" x14ac:dyDescent="0.25">
      <c r="A4024">
        <v>2265.694</v>
      </c>
      <c r="B4024" s="2" t="str">
        <f t="shared" si="3680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3681"/>
        <v>2265.694</v>
      </c>
      <c r="AB4024" s="3">
        <f t="shared" si="3682"/>
        <v>44122.94</v>
      </c>
      <c r="AC4024" s="3" cm="1">
        <f t="array" ref="AC4024">100000000/LvacE(AA4024)</f>
        <v>44122.938226414226</v>
      </c>
      <c r="AD4024" s="10">
        <f t="shared" si="3683"/>
        <v>1.473717947490134E-2</v>
      </c>
      <c r="AE4024" s="10" t="b">
        <f t="shared" si="3684"/>
        <v>1</v>
      </c>
      <c r="AP4024"/>
      <c r="AQ4024"/>
      <c r="AU4024" s="13" cm="1">
        <f t="array" ref="AU4024">$C4024*EXP(poly_from_str(100000000/$E4024,AU$4343))</f>
        <v>36.973385444372767</v>
      </c>
    </row>
    <row r="4025" spans="1:51" x14ac:dyDescent="0.25">
      <c r="A4025">
        <v>2265.223</v>
      </c>
      <c r="B4025" s="2" t="str">
        <f t="shared" si="3680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3681"/>
        <v>2265.223</v>
      </c>
      <c r="AB4025" s="3">
        <f t="shared" si="3682"/>
        <v>44132.11</v>
      </c>
      <c r="AC4025" s="3" cm="1">
        <f t="array" ref="AC4025">100000000/LvacE(AA4025)</f>
        <v>44132.111701798669</v>
      </c>
      <c r="AD4025" s="10">
        <f t="shared" si="3683"/>
        <v>1.4741228943419404E-2</v>
      </c>
      <c r="AE4025" s="10" t="b">
        <f t="shared" si="3684"/>
        <v>1</v>
      </c>
      <c r="AJ4025" t="s">
        <v>4718</v>
      </c>
      <c r="AK4025" t="s">
        <v>4875</v>
      </c>
      <c r="AL4025">
        <v>27604.26</v>
      </c>
      <c r="AM4025">
        <v>71736.45</v>
      </c>
      <c r="AN4025" s="10" cm="1">
        <f t="array" ref="AN4025">Lair(100000000/($AM4025-$AL4025))</f>
        <v>2265.2189871422379</v>
      </c>
      <c r="AO4025" s="10">
        <f>100000000/($AM4025-$AL4025)</f>
        <v>2265.919728887236</v>
      </c>
      <c r="AP4025" s="12">
        <v>187000000</v>
      </c>
      <c r="AQ4025" s="3">
        <v>0.68500000000000005</v>
      </c>
      <c r="AR4025" s="3">
        <f>LN(AU4025*100000000/($AM4025-$AL4025)/AP4025)</f>
        <v>-7.5246894563211031</v>
      </c>
      <c r="AS4025" s="13">
        <f>EXP(AR$4341*$AM4025+AR$4342)*$AP4025/(100000000/($AM4025-$AL4025))</f>
        <v>33.498829306181293</v>
      </c>
      <c r="AT4025" s="3">
        <f>LN(AS4025/$C4025)</f>
        <v>1.7197510229081965</v>
      </c>
      <c r="AU4025" s="13" cm="1">
        <f t="array" ref="AU4025">$C4025*EXP(poly_from_str(100000000/$E4025,AU$4343))</f>
        <v>44.531361852813205</v>
      </c>
      <c r="AV4025" s="13">
        <f>LN(AS4025/AU4025)</f>
        <v>-0.28468320954609028</v>
      </c>
      <c r="AW4025" s="13"/>
      <c r="AX4025" s="13"/>
      <c r="AY4025" s="13"/>
    </row>
    <row r="4026" spans="1:51" x14ac:dyDescent="0.25">
      <c r="A4026">
        <v>2265.1239999999998</v>
      </c>
      <c r="B4026" s="2" t="str">
        <f t="shared" si="3680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3681"/>
        <v>2265.1239999999998</v>
      </c>
      <c r="AB4026" s="3">
        <f t="shared" si="3682"/>
        <v>44134.04</v>
      </c>
      <c r="AC4026" s="3" cm="1">
        <f t="array" ref="AC4026">100000000/LvacE(AA4026)</f>
        <v>44134.040369637274</v>
      </c>
      <c r="AD4026" s="10">
        <f t="shared" si="3683"/>
        <v>1.4742080426863449E-2</v>
      </c>
      <c r="AE4026" s="10" t="b">
        <f t="shared" si="3684"/>
        <v>1</v>
      </c>
      <c r="AP4026"/>
      <c r="AQ4026"/>
      <c r="AU4026" s="13" cm="1">
        <f t="array" ref="AU4026">$C4026*EXP(poly_from_str(100000000/$E4026,AU$4343))</f>
        <v>7.427646715707672</v>
      </c>
    </row>
    <row r="4027" spans="1:51" x14ac:dyDescent="0.25">
      <c r="A4027">
        <v>2264.4920000000002</v>
      </c>
      <c r="B4027" s="2" t="str">
        <f t="shared" si="3680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3681"/>
        <v>2264.4920000000002</v>
      </c>
      <c r="AB4027" s="3">
        <f t="shared" si="3682"/>
        <v>44146.36</v>
      </c>
      <c r="AC4027" s="3" cm="1">
        <f t="array" ref="AC4027">100000000/LvacE(AA4027)</f>
        <v>44146.356647150962</v>
      </c>
      <c r="AD4027" s="10">
        <f t="shared" si="3683"/>
        <v>1.4747518791665186E-2</v>
      </c>
      <c r="AE4027" s="10" t="b">
        <f t="shared" si="3684"/>
        <v>1</v>
      </c>
      <c r="AJ4027" t="s">
        <v>4756</v>
      </c>
      <c r="AK4027" t="s">
        <v>4861</v>
      </c>
      <c r="AL4027">
        <v>23532.86</v>
      </c>
      <c r="AM4027">
        <v>67679.210000000006</v>
      </c>
      <c r="AN4027" s="10" cm="1">
        <f t="array" ref="AN4027">Lair(100000000/($AM4027-$AL4027))</f>
        <v>2264.4923474374527</v>
      </c>
      <c r="AO4027" s="10">
        <f>100000000/($AM4027-$AL4027)</f>
        <v>2265.1929321450129</v>
      </c>
      <c r="AP4027" s="12">
        <v>140000000</v>
      </c>
      <c r="AQ4027" s="3">
        <v>0.24199999999999999</v>
      </c>
      <c r="AR4027" s="3">
        <f>LN(AU4027*100000000/($AM4027-$AL4027)/AP4027)</f>
        <v>-7.2298096806760821</v>
      </c>
      <c r="AS4027" s="13">
        <f>EXP(AR$4341*$AM4027+AR$4342)*$AP4027/(100000000/($AM4027-$AL4027))</f>
        <v>34.016571969331586</v>
      </c>
      <c r="AT4027" s="3">
        <f>LN(AS4027/$C4027)</f>
        <v>1.7350883475047094</v>
      </c>
      <c r="AU4027" s="13" cm="1">
        <f t="array" ref="AU4027">$C4027*EXP(poly_from_str(100000000/$E4027,AU$4343))</f>
        <v>44.787455356823386</v>
      </c>
      <c r="AV4027" s="13">
        <f>LN(AS4027/AU4027)</f>
        <v>-0.27508026912021433</v>
      </c>
      <c r="AW4027" s="13"/>
      <c r="AX4027" s="13"/>
      <c r="AY4027" s="13"/>
    </row>
    <row r="4028" spans="1:51" x14ac:dyDescent="0.25">
      <c r="A4028">
        <v>2264.0239999999999</v>
      </c>
      <c r="B4028" s="2" t="str">
        <f t="shared" si="3680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3681"/>
        <v>2264.0239999999999</v>
      </c>
      <c r="AB4028" s="3">
        <f t="shared" si="3682"/>
        <v>44155.48</v>
      </c>
      <c r="AC4028" s="3" cm="1">
        <f t="array" ref="AC4028">100000000/LvacE(AA4028)</f>
        <v>44155.481358898833</v>
      </c>
      <c r="AD4028" s="10">
        <f t="shared" si="3683"/>
        <v>1.4751548870263486E-2</v>
      </c>
      <c r="AE4028" s="10" t="b">
        <f t="shared" si="3684"/>
        <v>1</v>
      </c>
      <c r="AP4028"/>
      <c r="AQ4028"/>
      <c r="AU4028" s="13" cm="1">
        <f t="array" ref="AU4028">$C4028*EXP(poly_from_str(100000000/$E4028,AU$4343))</f>
        <v>7.4921428181824572</v>
      </c>
    </row>
    <row r="4029" spans="1:51" x14ac:dyDescent="0.25">
      <c r="A4029">
        <v>2263.4569999999999</v>
      </c>
      <c r="B4029" s="2" t="str">
        <f t="shared" si="3680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3739">$G4029&amp;""</f>
        <v>e</v>
      </c>
      <c r="N4029" t="str">
        <f t="shared" ref="N4029:N4030" si="3740">$H4029&amp;""</f>
        <v>11/2</v>
      </c>
      <c r="O4029">
        <v>65922.42</v>
      </c>
      <c r="P4029" t="str">
        <f t="shared" ref="P4029:P4030" si="3741">$J4029&amp;""</f>
        <v>o</v>
      </c>
      <c r="Q4029" t="str">
        <f t="shared" ref="Q4029:Q4030" si="3742">$K4029&amp;""</f>
        <v>11/2</v>
      </c>
      <c r="R4029">
        <v>37</v>
      </c>
      <c r="AA4029" s="10">
        <f t="shared" si="3681"/>
        <v>2263.4569999999999</v>
      </c>
      <c r="AB4029" s="3">
        <f t="shared" si="3682"/>
        <v>44166.54</v>
      </c>
      <c r="AC4029" s="3" cm="1">
        <f t="array" ref="AC4029">100000000/LvacE(AA4029)</f>
        <v>44166.541352156804</v>
      </c>
      <c r="AD4029" s="10">
        <f t="shared" si="3683"/>
        <v>1.4756434814568335E-2</v>
      </c>
      <c r="AE4029" s="10" t="b">
        <f t="shared" si="3684"/>
        <v>1</v>
      </c>
      <c r="AJ4029" t="s">
        <v>4965</v>
      </c>
      <c r="AK4029" t="s">
        <v>4833</v>
      </c>
      <c r="AL4029">
        <v>21755.84</v>
      </c>
      <c r="AM4029">
        <v>65922.42</v>
      </c>
      <c r="AN4029" s="10" cm="1">
        <f t="array" ref="AN4029">Lair(100000000/($AM4029-$AL4029))</f>
        <v>2263.4550256536181</v>
      </c>
      <c r="AO4029" s="10">
        <f t="shared" ref="AO4029:AO4030" si="3743">100000000/($AM4029-$AL4029)</f>
        <v>2264.1553862671731</v>
      </c>
      <c r="AP4029" s="12">
        <v>23000000</v>
      </c>
      <c r="AQ4029" s="3">
        <v>8.1000000000000003E-2</v>
      </c>
      <c r="AR4029" s="3">
        <f t="shared" ref="AR4029:AR4030" si="3744">LN(AU4029*100000000/($AM4029-$AL4029)/AP4029)</f>
        <v>-6.5145582947967409</v>
      </c>
      <c r="AS4029" s="13">
        <f t="shared" ref="AS4029:AS4030" si="3745">EXP(AR$4341*$AM4029+AR$4342)*$AP4029/(100000000/($AM4029-$AL4029))</f>
        <v>6.3789222127501501</v>
      </c>
      <c r="AT4029" s="3">
        <f t="shared" ref="AT4029:AT4030" si="3746">LN(AS4029/$C4029)</f>
        <v>1.1598519703552839</v>
      </c>
      <c r="AU4029" s="13" cm="1">
        <f t="array" ref="AU4029">$C4029*EXP(poly_from_str(100000000/$E4029,AU$4343))</f>
        <v>15.051676925643726</v>
      </c>
      <c r="AV4029" s="13">
        <f t="shared" ref="AV4029:AV4030" si="3747">LN(AS4029/AU4029)</f>
        <v>-0.85849025770331611</v>
      </c>
      <c r="AW4029" s="13"/>
      <c r="AX4029" s="13"/>
      <c r="AY4029" s="13"/>
    </row>
    <row r="4030" spans="1:51" x14ac:dyDescent="0.25">
      <c r="A4030">
        <v>2262.8939999999998</v>
      </c>
      <c r="B4030" s="2" t="str">
        <f t="shared" si="3680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3739"/>
        <v>e</v>
      </c>
      <c r="N4030" t="str">
        <f t="shared" si="3740"/>
        <v>9/2</v>
      </c>
      <c r="O4030">
        <v>62240.83</v>
      </c>
      <c r="P4030" t="str">
        <f t="shared" si="3741"/>
        <v>o</v>
      </c>
      <c r="Q4030" t="str">
        <f t="shared" si="3742"/>
        <v>11/2</v>
      </c>
      <c r="R4030">
        <v>37</v>
      </c>
      <c r="AA4030" s="10">
        <f t="shared" si="3681"/>
        <v>2262.8939999999998</v>
      </c>
      <c r="AB4030" s="3">
        <f t="shared" si="3682"/>
        <v>44177.53</v>
      </c>
      <c r="AC4030" s="3" cm="1">
        <f t="array" ref="AC4030">100000000/LvacE(AA4030)</f>
        <v>44177.528803632275</v>
      </c>
      <c r="AD4030" s="10">
        <f t="shared" si="3683"/>
        <v>1.4761289924236903E-2</v>
      </c>
      <c r="AE4030" s="10" t="b">
        <f t="shared" si="3684"/>
        <v>1</v>
      </c>
      <c r="AJ4030" t="s">
        <v>4744</v>
      </c>
      <c r="AK4030" t="s">
        <v>4892</v>
      </c>
      <c r="AL4030">
        <v>18063.36</v>
      </c>
      <c r="AM4030">
        <v>62240.83</v>
      </c>
      <c r="AN4030" s="10" cm="1">
        <f t="array" ref="AN4030">Lair(100000000/($AM4030-$AL4030))</f>
        <v>2262.8970188560907</v>
      </c>
      <c r="AO4030" s="10">
        <f t="shared" si="3743"/>
        <v>2263.5972589648072</v>
      </c>
      <c r="AP4030" s="12">
        <v>258000000</v>
      </c>
      <c r="AQ4030" s="3">
        <v>0.28799999999999998</v>
      </c>
      <c r="AR4030" s="3">
        <f t="shared" si="3744"/>
        <v>-7.5414983545532959</v>
      </c>
      <c r="AS4030" s="13">
        <f t="shared" si="3745"/>
        <v>94.349168303011908</v>
      </c>
      <c r="AT4030" s="3">
        <f t="shared" si="3746"/>
        <v>2.4675609150774491</v>
      </c>
      <c r="AU4030" s="13" cm="1">
        <f t="array" ref="AU4030">$C4030*EXP(poly_from_str(100000000/$E4030,AU$4343))</f>
        <v>60.476886697480651</v>
      </c>
      <c r="AV4030" s="13">
        <f t="shared" si="3747"/>
        <v>0.44474120277379114</v>
      </c>
      <c r="AW4030" s="13"/>
      <c r="AX4030" s="13"/>
      <c r="AY4030" s="13"/>
    </row>
    <row r="4031" spans="1:51" x14ac:dyDescent="0.25">
      <c r="A4031">
        <v>2262.3620000000001</v>
      </c>
      <c r="B4031" s="2" t="str">
        <f t="shared" si="3680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3681"/>
        <v>2262.3620000000001</v>
      </c>
      <c r="AB4031" s="3">
        <f t="shared" si="3682"/>
        <v>44187.92</v>
      </c>
      <c r="AC4031" s="3" cm="1">
        <f t="array" ref="AC4031">100000000/LvacE(AA4031)</f>
        <v>44187.916286397427</v>
      </c>
      <c r="AD4031" s="10">
        <f t="shared" si="3683"/>
        <v>1.4765881031947457E-2</v>
      </c>
      <c r="AE4031" s="10" t="b">
        <f t="shared" si="3684"/>
        <v>1</v>
      </c>
      <c r="AP4031"/>
      <c r="AQ4031"/>
      <c r="AU4031" s="13" cm="1">
        <f t="array" ref="AU4031">$C4031*EXP(poly_from_str(100000000/$E4031,AU$4343))</f>
        <v>7.5918077358083016</v>
      </c>
    </row>
    <row r="4032" spans="1:51" x14ac:dyDescent="0.25">
      <c r="A4032">
        <v>2262.23</v>
      </c>
      <c r="B4032" s="2" t="str">
        <f t="shared" si="3680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3681"/>
        <v>2262.23</v>
      </c>
      <c r="AB4032" s="3">
        <f t="shared" si="3682"/>
        <v>44190.49</v>
      </c>
      <c r="AC4032" s="3" cm="1">
        <f t="array" ref="AC4032">100000000/LvacE(AA4032)</f>
        <v>44190.494388084364</v>
      </c>
      <c r="AD4032" s="10">
        <f t="shared" si="3683"/>
        <v>1.4767020680497643E-2</v>
      </c>
      <c r="AE4032" s="10" t="b">
        <f t="shared" si="3684"/>
        <v>1</v>
      </c>
      <c r="AP4032"/>
      <c r="AQ4032"/>
      <c r="AU4032" s="13" cm="1">
        <f t="array" ref="AU4032">$C4032*EXP(poly_from_str(100000000/$E4032,AU$4343))</f>
        <v>45.598873528507383</v>
      </c>
    </row>
    <row r="4033" spans="1:51" x14ac:dyDescent="0.25">
      <c r="A4033">
        <v>2261.5300000000002</v>
      </c>
      <c r="B4033" s="2" t="str">
        <f t="shared" si="3680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3681"/>
        <v>2261.5300000000002</v>
      </c>
      <c r="AB4033" s="3">
        <f t="shared" si="3682"/>
        <v>44204.17</v>
      </c>
      <c r="AC4033" s="3" cm="1">
        <f t="array" ref="AC4033">100000000/LvacE(AA4033)</f>
        <v>44204.171168177309</v>
      </c>
      <c r="AD4033" s="10">
        <f t="shared" si="3683"/>
        <v>1.4773067606482625E-2</v>
      </c>
      <c r="AE4033" s="10" t="b">
        <f t="shared" si="3684"/>
        <v>1</v>
      </c>
      <c r="AJ4033" t="s">
        <v>4779</v>
      </c>
      <c r="AK4033" t="s">
        <v>4930</v>
      </c>
      <c r="AL4033">
        <v>40205.74</v>
      </c>
      <c r="AM4033">
        <v>84409.93</v>
      </c>
      <c r="AN4033" s="10" cm="1">
        <f t="array" ref="AN4033">Lair(100000000/($AM4033-$AL4033))</f>
        <v>2261.5290429837273</v>
      </c>
      <c r="AO4033" s="10">
        <f>100000000/($AM4033-$AL4033)</f>
        <v>2262.2289877950489</v>
      </c>
      <c r="AP4033" s="15">
        <v>27400000</v>
      </c>
      <c r="AQ4033" s="3">
        <v>0.2</v>
      </c>
      <c r="AR4033" s="14"/>
      <c r="AS4033" s="13">
        <f>EXP(AR$4341*$AM4033+AR$4342)*$AP4033/(100000000/($AM4033-$AL4033))</f>
        <v>1.8992734362031163</v>
      </c>
      <c r="AT4033" s="14"/>
      <c r="AU4033" s="13" cm="1">
        <f t="array" ref="AU4033">$C4033*EXP(poly_from_str(100000000/$E4033,AU$4343))</f>
        <v>45.856154678708208</v>
      </c>
      <c r="AV4033" s="13"/>
      <c r="AW4033" s="13"/>
      <c r="AX4033" s="13"/>
      <c r="AY4033" s="13"/>
    </row>
    <row r="4034" spans="1:51" x14ac:dyDescent="0.25">
      <c r="A4034">
        <v>2261.4560000000001</v>
      </c>
      <c r="B4034" s="2" t="str">
        <f t="shared" ref="B4034:B4097" si="3748">IF(OR(A4034=A4033,A4034=A4035),IF(B4033="",1,B4033+1),"")</f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3681"/>
        <v>2261.4560000000001</v>
      </c>
      <c r="AB4034" s="3">
        <f t="shared" si="3682"/>
        <v>44205.62</v>
      </c>
      <c r="AC4034" s="3" cm="1">
        <f t="array" ref="AC4034">100000000/LvacE(AA4034)</f>
        <v>44205.617493962389</v>
      </c>
      <c r="AD4034" s="10">
        <f t="shared" si="3683"/>
        <v>1.4773707181117472E-2</v>
      </c>
      <c r="AE4034" s="10" t="b">
        <f t="shared" si="3684"/>
        <v>1</v>
      </c>
      <c r="AP4034"/>
      <c r="AQ4034"/>
      <c r="AU4034" s="13" cm="1">
        <f t="array" ref="AU4034">$C4034*EXP(poly_from_str(100000000/$E4034,AU$4343))</f>
        <v>45.883587148970939</v>
      </c>
    </row>
    <row r="4035" spans="1:51" x14ac:dyDescent="0.25">
      <c r="A4035">
        <v>2261.1260000000002</v>
      </c>
      <c r="B4035" s="2" t="str">
        <f t="shared" si="3748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3749">ROUND($A4035,3)+0</f>
        <v>2261.1260000000002</v>
      </c>
      <c r="AB4035" s="3">
        <f t="shared" ref="AB4035:AB4098" si="3750">ROUND($E4035,2)+0</f>
        <v>44212.07</v>
      </c>
      <c r="AC4035" s="3" cm="1">
        <f t="array" ref="AC4035">100000000/LvacE(AA4035)</f>
        <v>44212.068477338398</v>
      </c>
      <c r="AD4035" s="10">
        <f t="shared" ref="AD4035:AD4098" si="3751">0.0005/$AA4035*AC4035+0.005</f>
        <v>1.4776560102652041E-2</v>
      </c>
      <c r="AE4035" s="10" t="b">
        <f t="shared" ref="AE4035:AE4098" si="3752">ABS(AB4035-AC4035)&lt;AD4035</f>
        <v>1</v>
      </c>
      <c r="AJ4035" t="s">
        <v>4712</v>
      </c>
      <c r="AK4035" t="s">
        <v>4881</v>
      </c>
      <c r="AL4035">
        <v>27380.31</v>
      </c>
      <c r="AM4035">
        <v>71592.34</v>
      </c>
      <c r="AN4035" s="10" cm="1">
        <f t="array" ref="AN4035">Lair(100000000/($AM4035-$AL4035))</f>
        <v>2261.1279745632828</v>
      </c>
      <c r="AO4035" s="10">
        <f>100000000/($AM4035-$AL4035)</f>
        <v>2261.8278328319238</v>
      </c>
      <c r="AP4035" s="12">
        <v>551000000</v>
      </c>
      <c r="AQ4035" s="3">
        <v>0.317</v>
      </c>
      <c r="AR4035" s="3">
        <f>LN(AU4035*100000000/($AM4035-$AL4035)/AP4035)</f>
        <v>-8.1690800393187679</v>
      </c>
      <c r="AS4035" s="13">
        <f>EXP(AR$4341*$AM4035+AR$4342)*$AP4035/(100000000/($AM4035-$AL4035))</f>
        <v>99.958904732001173</v>
      </c>
      <c r="AT4035" s="3">
        <f>LN(AS4035/$C4035)</f>
        <v>2.4075345715076897</v>
      </c>
      <c r="AU4035" s="13" cm="1">
        <f t="array" ref="AU4035">$C4035*EXP(poly_from_str(100000000/$E4035,AU$4343))</f>
        <v>69.008990059357103</v>
      </c>
      <c r="AV4035" s="13">
        <f>LN(AS4035/AU4035)</f>
        <v>0.37052236201842753</v>
      </c>
      <c r="AW4035" s="13"/>
      <c r="AX4035" s="13"/>
      <c r="AY4035" s="13"/>
    </row>
    <row r="4036" spans="1:51" x14ac:dyDescent="0.25">
      <c r="A4036">
        <v>2261.0039999999999</v>
      </c>
      <c r="B4036" s="2" t="str">
        <f t="shared" si="3748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3749"/>
        <v>2261.0039999999999</v>
      </c>
      <c r="AB4036" s="3">
        <f t="shared" si="3750"/>
        <v>44214.45</v>
      </c>
      <c r="AC4036" s="3" cm="1">
        <f t="array" ref="AC4036">100000000/LvacE(AA4036)</f>
        <v>44214.453863017952</v>
      </c>
      <c r="AD4036" s="10">
        <f t="shared" si="3751"/>
        <v>1.4777615135359769E-2</v>
      </c>
      <c r="AE4036" s="10" t="b">
        <f t="shared" si="3752"/>
        <v>1</v>
      </c>
      <c r="AP4036"/>
      <c r="AQ4036"/>
      <c r="AU4036" s="13" cm="1">
        <f t="array" ref="AU4036">$C4036*EXP(poly_from_str(100000000/$E4036,AU$4343))</f>
        <v>53.726536628663901</v>
      </c>
    </row>
    <row r="4037" spans="1:51" x14ac:dyDescent="0.25">
      <c r="A4037">
        <v>2260.779</v>
      </c>
      <c r="B4037" s="2" t="str">
        <f t="shared" si="3748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3749"/>
        <v>2260.779</v>
      </c>
      <c r="AB4037" s="3">
        <f t="shared" si="3750"/>
        <v>44218.85</v>
      </c>
      <c r="AC4037" s="3" cm="1">
        <f t="array" ref="AC4037">100000000/LvacE(AA4037)</f>
        <v>44218.853814981223</v>
      </c>
      <c r="AD4037" s="10">
        <f t="shared" si="3751"/>
        <v>1.4779561340356847E-2</v>
      </c>
      <c r="AE4037" s="10" t="b">
        <f t="shared" si="3752"/>
        <v>1</v>
      </c>
      <c r="AJ4037" t="s">
        <v>4759</v>
      </c>
      <c r="AK4037" t="s">
        <v>4755</v>
      </c>
      <c r="AL4037">
        <v>23651.88</v>
      </c>
      <c r="AM4037">
        <v>67870.759999999995</v>
      </c>
      <c r="AN4037" s="10" cm="1">
        <f t="array" ref="AN4037">Lair(100000000/($AM4037-$AL4037))</f>
        <v>2260.7776676642034</v>
      </c>
      <c r="AO4037" s="10">
        <f>100000000/($AM4037-$AL4037)</f>
        <v>2261.4774503560475</v>
      </c>
      <c r="AP4037" s="12">
        <v>5770000</v>
      </c>
      <c r="AQ4037" s="3">
        <v>0.01</v>
      </c>
      <c r="AR4037" s="3"/>
      <c r="AS4037" s="13">
        <f>EXP(AR$4341*$AM4037+AR$4342)*$AP4037/(100000000/($AM4037-$AL4037))</f>
        <v>1.3842297725783015</v>
      </c>
      <c r="AT4037" s="3"/>
      <c r="AU4037" s="13" cm="1">
        <f t="array" ref="AU4037">$C4037*EXP(poly_from_str(100000000/$E4037,AU$4343))</f>
        <v>7.6892220528480415</v>
      </c>
      <c r="AV4037" s="13"/>
      <c r="AW4037" s="13"/>
      <c r="AX4037" s="13"/>
      <c r="AY4037" s="13"/>
    </row>
    <row r="4038" spans="1:51" x14ac:dyDescent="0.25">
      <c r="A4038">
        <v>2260.6579999999999</v>
      </c>
      <c r="B4038" s="2" t="str">
        <f t="shared" si="3748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3749"/>
        <v>2260.6579999999999</v>
      </c>
      <c r="AB4038" s="3">
        <f t="shared" si="3750"/>
        <v>44221.22</v>
      </c>
      <c r="AC4038" s="3" cm="1">
        <f t="array" ref="AC4038">100000000/LvacE(AA4038)</f>
        <v>44221.22037345024</v>
      </c>
      <c r="AD4038" s="10">
        <f t="shared" si="3751"/>
        <v>1.4780608206427119E-2</v>
      </c>
      <c r="AE4038" s="10" t="b">
        <f t="shared" si="3752"/>
        <v>1</v>
      </c>
      <c r="AP4038"/>
      <c r="AQ4038"/>
      <c r="AU4038" s="13" cm="1">
        <f t="array" ref="AU4038">$C4038*EXP(poly_from_str(100000000/$E4038,AU$4343))</f>
        <v>7.6967844081007177</v>
      </c>
    </row>
    <row r="4039" spans="1:51" x14ac:dyDescent="0.25">
      <c r="A4039">
        <v>2260.4749999999999</v>
      </c>
      <c r="B4039" s="2" t="str">
        <f t="shared" si="3748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3749"/>
        <v>2260.4749999999999</v>
      </c>
      <c r="AB4039" s="3">
        <f t="shared" si="3750"/>
        <v>44224.800000000003</v>
      </c>
      <c r="AC4039" s="3" cm="1">
        <f t="array" ref="AC4039">100000000/LvacE(AA4039)</f>
        <v>44224.800029903708</v>
      </c>
      <c r="AD4039" s="10">
        <f t="shared" si="3751"/>
        <v>1.478219180258656E-2</v>
      </c>
      <c r="AE4039" s="10" t="b">
        <f t="shared" si="3752"/>
        <v>1</v>
      </c>
      <c r="AP4039"/>
      <c r="AQ4039"/>
      <c r="AU4039" s="13" cm="1">
        <f t="array" ref="AU4039">$C4039*EXP(poly_from_str(100000000/$E4039,AU$4343))</f>
        <v>7.7082344521685533</v>
      </c>
    </row>
    <row r="4040" spans="1:51" x14ac:dyDescent="0.25">
      <c r="A4040">
        <v>2259.67</v>
      </c>
      <c r="B4040" s="2" t="str">
        <f t="shared" si="3748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3749"/>
        <v>2259.67</v>
      </c>
      <c r="AB4040" s="3">
        <f t="shared" si="3750"/>
        <v>44240.55</v>
      </c>
      <c r="AC4040" s="3" cm="1">
        <f t="array" ref="AC4040">100000000/LvacE(AA4040)</f>
        <v>44240.553489621918</v>
      </c>
      <c r="AD4040" s="10">
        <f t="shared" si="3751"/>
        <v>1.4789162463904444E-2</v>
      </c>
      <c r="AE4040" s="10" t="b">
        <f t="shared" si="3752"/>
        <v>1</v>
      </c>
      <c r="AP4040"/>
      <c r="AQ4040"/>
      <c r="AU4040" s="13" cm="1">
        <f t="array" ref="AU4040">$C4040*EXP(poly_from_str(100000000/$E4040,AU$4343))</f>
        <v>23.276978543584974</v>
      </c>
    </row>
    <row r="4041" spans="1:51" x14ac:dyDescent="0.25">
      <c r="A4041">
        <v>2259.5920000000001</v>
      </c>
      <c r="B4041" s="2" t="str">
        <f t="shared" si="3748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3753">$G4041&amp;""</f>
        <v>e</v>
      </c>
      <c r="N4041" t="str">
        <f t="shared" ref="N4041:N4043" si="3754">$H4041&amp;""</f>
        <v>7/2</v>
      </c>
      <c r="O4041">
        <v>63232.14</v>
      </c>
      <c r="P4041" t="str">
        <f t="shared" ref="P4041:P4043" si="3755">$J4041&amp;""</f>
        <v>o</v>
      </c>
      <c r="Q4041" t="str">
        <f t="shared" ref="Q4041:Q4043" si="3756">$K4041&amp;""</f>
        <v>7/2</v>
      </c>
      <c r="R4041">
        <v>37</v>
      </c>
      <c r="AA4041" s="10">
        <f t="shared" si="3749"/>
        <v>2259.5920000000001</v>
      </c>
      <c r="AB4041" s="3">
        <f t="shared" si="3750"/>
        <v>44242.080000000002</v>
      </c>
      <c r="AC4041" s="3" cm="1">
        <f t="array" ref="AC4041">100000000/LvacE(AA4041)</f>
        <v>44242.080508178202</v>
      </c>
      <c r="AD4041" s="10">
        <f t="shared" si="3751"/>
        <v>1.4789838277923226E-2</v>
      </c>
      <c r="AE4041" s="10" t="b">
        <f t="shared" si="3752"/>
        <v>1</v>
      </c>
      <c r="AJ4041" t="s">
        <v>4968</v>
      </c>
      <c r="AK4041" t="s">
        <v>4819</v>
      </c>
      <c r="AL4041">
        <v>18990.080000000002</v>
      </c>
      <c r="AM4041">
        <v>63232.14</v>
      </c>
      <c r="AN4041" s="10" cm="1">
        <f t="array" ref="AN4041">Lair(100000000/($AM4041-$AL4041))</f>
        <v>2259.5930541081143</v>
      </c>
      <c r="AO4041" s="10">
        <f t="shared" ref="AO4041:AO4043" si="3757">100000000/($AM4041-$AL4041)</f>
        <v>2260.2925813128954</v>
      </c>
      <c r="AP4041" s="12">
        <v>42900000</v>
      </c>
      <c r="AQ4041" s="3">
        <v>0.115</v>
      </c>
      <c r="AR4041" s="3">
        <f>LN(AU4041*100000000/($AM4041-$AL4041)/AP4041)</f>
        <v>-7.1084934975977712</v>
      </c>
      <c r="AS4041" s="13">
        <f t="shared" ref="AS4041:AS4042" si="3758">EXP(AR$4341*$AM4041+AR$4342)*$AP4041/(100000000/($AM4041-$AL4041))</f>
        <v>14.584817405894235</v>
      </c>
      <c r="AT4041" s="3">
        <f t="shared" ref="AT4041" si="3759">LN(AS4041/$C4041)</f>
        <v>1.9868339033734692</v>
      </c>
      <c r="AU4041" s="13" cm="1">
        <f t="array" ref="AU4041">$C4041*EXP(poly_from_str(100000000/$E4041,AU$4343))</f>
        <v>15.527914530844265</v>
      </c>
      <c r="AV4041" s="13">
        <f>LN(AS4041/AU4041)</f>
        <v>-6.2658257722130517E-2</v>
      </c>
      <c r="AW4041" s="13"/>
      <c r="AX4041" s="13"/>
      <c r="AY4041" s="13"/>
    </row>
    <row r="4042" spans="1:51" x14ac:dyDescent="0.25">
      <c r="A4042">
        <v>2259.415</v>
      </c>
      <c r="B4042" s="2" t="str">
        <f t="shared" si="3748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3753"/>
        <v>e</v>
      </c>
      <c r="N4042" t="str">
        <f t="shared" si="3754"/>
        <v>5/2</v>
      </c>
      <c r="O4042">
        <v>80897.850000000006</v>
      </c>
      <c r="P4042" t="str">
        <f t="shared" si="3755"/>
        <v>o</v>
      </c>
      <c r="Q4042" t="str">
        <f t="shared" si="3756"/>
        <v>3/2</v>
      </c>
      <c r="R4042">
        <v>37</v>
      </c>
      <c r="AA4042" s="10">
        <f t="shared" si="3749"/>
        <v>2259.415</v>
      </c>
      <c r="AB4042" s="3">
        <f t="shared" si="3750"/>
        <v>44245.55</v>
      </c>
      <c r="AC4042" s="3" cm="1">
        <f t="array" ref="AC4042">100000000/LvacE(AA4042)</f>
        <v>44245.546056673593</v>
      </c>
      <c r="AD4042" s="10">
        <f t="shared" si="3751"/>
        <v>1.4791372115497504E-2</v>
      </c>
      <c r="AE4042" s="10" t="b">
        <f t="shared" si="3752"/>
        <v>1</v>
      </c>
      <c r="AJ4042" t="s">
        <v>4771</v>
      </c>
      <c r="AK4042" t="s">
        <v>4911</v>
      </c>
      <c r="AL4042">
        <v>36652.29</v>
      </c>
      <c r="AM4042">
        <v>80897.850000000006</v>
      </c>
      <c r="AN4042" s="10" cm="1">
        <f t="array" ref="AN4042">Lair(100000000/($AM4042-$AL4042))</f>
        <v>2259.4142945051631</v>
      </c>
      <c r="AO4042" s="10">
        <f t="shared" si="3757"/>
        <v>2260.1137831682995</v>
      </c>
      <c r="AP4042" s="12">
        <v>6810000</v>
      </c>
      <c r="AQ4042" s="3">
        <v>7.0000000000000001E-3</v>
      </c>
      <c r="AR4042" s="3"/>
      <c r="AS4042" s="13">
        <f t="shared" si="3758"/>
        <v>0.61497490845108482</v>
      </c>
      <c r="AT4042" s="3"/>
      <c r="AU4042" s="13" cm="1">
        <f t="array" ref="AU4042">$C4042*EXP(poly_from_str(100000000/$E4042,AU$4343))</f>
        <v>7.7752386191854743</v>
      </c>
      <c r="AV4042" s="13"/>
      <c r="AW4042" s="13"/>
      <c r="AX4042" s="13"/>
      <c r="AY4042" s="13"/>
    </row>
    <row r="4043" spans="1:51" x14ac:dyDescent="0.25">
      <c r="A4043">
        <v>2259.337</v>
      </c>
      <c r="B4043" s="2" t="str">
        <f t="shared" si="3748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3753"/>
        <v>e</v>
      </c>
      <c r="N4043" t="str">
        <f t="shared" si="3754"/>
        <v>7/2</v>
      </c>
      <c r="O4043">
        <v>71385.600000000006</v>
      </c>
      <c r="P4043" t="str">
        <f t="shared" si="3755"/>
        <v>o</v>
      </c>
      <c r="Q4043" t="str">
        <f t="shared" si="3756"/>
        <v>7/2</v>
      </c>
      <c r="R4043">
        <v>37</v>
      </c>
      <c r="AA4043" s="10">
        <f t="shared" si="3749"/>
        <v>2259.337</v>
      </c>
      <c r="AB4043" s="3">
        <f t="shared" si="3750"/>
        <v>44247.07</v>
      </c>
      <c r="AC4043" s="3" cm="1">
        <f t="array" ref="AC4043">100000000/LvacE(AA4043)</f>
        <v>44247.07341986744</v>
      </c>
      <c r="AD4043" s="10">
        <f t="shared" si="3751"/>
        <v>1.4792048158346328E-2</v>
      </c>
      <c r="AE4043" s="10" t="b">
        <f t="shared" si="3752"/>
        <v>1</v>
      </c>
      <c r="AJ4043" t="s">
        <v>4723</v>
      </c>
      <c r="AK4043" t="s">
        <v>4874</v>
      </c>
      <c r="AL4043">
        <v>27138.55</v>
      </c>
      <c r="AM4043">
        <v>71385.600000000006</v>
      </c>
      <c r="AN4043" s="10" cm="1">
        <f t="array" ref="AN4043">Lair(100000000/($AM4043-$AL4043))</f>
        <v>2259.3382025698525</v>
      </c>
      <c r="AO4043" s="10">
        <f t="shared" si="3757"/>
        <v>2260.0376748280391</v>
      </c>
      <c r="AU4043" s="13" cm="1">
        <f t="array" ref="AU4043">$C4043*EXP(poly_from_str(100000000/$E4043,AU$4343))</f>
        <v>15.560380048013839</v>
      </c>
    </row>
    <row r="4044" spans="1:51" x14ac:dyDescent="0.25">
      <c r="A4044">
        <v>2258.768</v>
      </c>
      <c r="B4044" s="2" t="str">
        <f t="shared" si="3748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3749"/>
        <v>2258.768</v>
      </c>
      <c r="AB4044" s="3">
        <f t="shared" si="3750"/>
        <v>44258.22</v>
      </c>
      <c r="AC4044" s="3" cm="1">
        <f t="array" ref="AC4044">100000000/LvacE(AA4044)</f>
        <v>44258.218529388352</v>
      </c>
      <c r="AD4044" s="10">
        <f t="shared" si="3751"/>
        <v>1.4796981923196263E-2</v>
      </c>
      <c r="AE4044" s="10" t="b">
        <f t="shared" si="3752"/>
        <v>1</v>
      </c>
      <c r="AP4044"/>
      <c r="AQ4044"/>
      <c r="AU4044" s="13" cm="1">
        <f t="array" ref="AU4044">$C4044*EXP(poly_from_str(100000000/$E4044,AU$4343))</f>
        <v>15.633386033584305</v>
      </c>
    </row>
    <row r="4045" spans="1:51" x14ac:dyDescent="0.25">
      <c r="A4045">
        <v>2257.5459999999998</v>
      </c>
      <c r="B4045" s="2" t="str">
        <f t="shared" si="3748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3760">$G4045&amp;""</f>
        <v>e</v>
      </c>
      <c r="N4045" t="str">
        <f t="shared" ref="N4045:N4047" si="3761">$H4045&amp;""</f>
        <v>7/2</v>
      </c>
      <c r="O4045">
        <v>85306.1</v>
      </c>
      <c r="P4045" t="str">
        <f t="shared" ref="P4045:P4047" si="3762">$J4045&amp;""</f>
        <v>o</v>
      </c>
      <c r="Q4045" t="str">
        <f t="shared" ref="Q4045:Q4047" si="3763">$K4045&amp;""</f>
        <v>5/2</v>
      </c>
      <c r="R4045">
        <v>37</v>
      </c>
      <c r="AA4045" s="10">
        <f t="shared" si="3749"/>
        <v>2257.5459999999998</v>
      </c>
      <c r="AB4045" s="3">
        <f t="shared" si="3750"/>
        <v>44282.17</v>
      </c>
      <c r="AC4045" s="3" cm="1">
        <f t="array" ref="AC4045">100000000/LvacE(AA4045)</f>
        <v>44282.173057312044</v>
      </c>
      <c r="AD4045" s="10">
        <f t="shared" si="3751"/>
        <v>1.480759042281133E-2</v>
      </c>
      <c r="AE4045" s="10" t="b">
        <f t="shared" si="3752"/>
        <v>1</v>
      </c>
      <c r="AJ4045" t="s">
        <v>4711</v>
      </c>
      <c r="AK4045" t="s">
        <v>4929</v>
      </c>
      <c r="AL4045">
        <v>41023.980000000003</v>
      </c>
      <c r="AM4045">
        <v>85306.1</v>
      </c>
      <c r="AN4045" s="10" cm="1">
        <f t="array" ref="AN4045">Lair(100000000/($AM4045-$AL4045))</f>
        <v>2257.5487118188812</v>
      </c>
      <c r="AO4045" s="10">
        <f t="shared" ref="AO4045:AO4047" si="3764">100000000/($AM4045-$AL4045)</f>
        <v>2258.2477984342213</v>
      </c>
      <c r="AP4045" s="12">
        <v>389000000</v>
      </c>
      <c r="AQ4045" s="3">
        <v>0.52400000000000002</v>
      </c>
      <c r="AR4045" s="3">
        <f t="shared" ref="AR4045:AR4047" si="3765">LN(AU4045*100000000/($AM4045-$AL4045)/AP4045)</f>
        <v>-8.6040701310879175</v>
      </c>
      <c r="AS4045" s="13">
        <f t="shared" ref="AS4045:AS4047" si="3766">EXP(AR$4341*$AM4045+AR$4342)*$AP4045/(100000000/($AM4045-$AL4045))</f>
        <v>25.254755871400178</v>
      </c>
      <c r="AT4045" s="3">
        <f t="shared" ref="AT4045:AT4047" si="3767">LN(AS4045/$C4045)</f>
        <v>1.8427201282081724</v>
      </c>
      <c r="AU4045" s="13" cm="1">
        <f t="array" ref="AU4045">$C4045*EXP(poly_from_str(100000000/$E4045,AU$4343))</f>
        <v>31.584777800739658</v>
      </c>
      <c r="AV4045" s="13">
        <f t="shared" ref="AV4045:AV4047" si="3768">LN(AS4045/AU4045)</f>
        <v>-0.223660800036312</v>
      </c>
      <c r="AW4045" s="13"/>
      <c r="AX4045" s="13"/>
      <c r="AY4045" s="13"/>
    </row>
    <row r="4046" spans="1:51" x14ac:dyDescent="0.25">
      <c r="A4046">
        <v>2257.4299999999998</v>
      </c>
      <c r="B4046" s="2" t="str">
        <f t="shared" si="3748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3760"/>
        <v>e</v>
      </c>
      <c r="N4046" t="str">
        <f t="shared" si="3761"/>
        <v>11/2</v>
      </c>
      <c r="O4046">
        <v>63593.35</v>
      </c>
      <c r="P4046" t="str">
        <f t="shared" si="3762"/>
        <v>o</v>
      </c>
      <c r="Q4046" t="str">
        <f t="shared" si="3763"/>
        <v>9/2</v>
      </c>
      <c r="R4046">
        <v>37</v>
      </c>
      <c r="AA4046" s="10">
        <f t="shared" si="3749"/>
        <v>2257.4299999999998</v>
      </c>
      <c r="AB4046" s="3">
        <f t="shared" si="3750"/>
        <v>44284.45</v>
      </c>
      <c r="AC4046" s="3" cm="1">
        <f t="array" ref="AC4046">100000000/LvacE(AA4046)</f>
        <v>44284.448320717434</v>
      </c>
      <c r="AD4046" s="10">
        <f t="shared" si="3751"/>
        <v>1.4808598344293607E-2</v>
      </c>
      <c r="AE4046" s="10" t="b">
        <f t="shared" si="3752"/>
        <v>1</v>
      </c>
      <c r="AJ4046" t="s">
        <v>4813</v>
      </c>
      <c r="AK4046" t="s">
        <v>4840</v>
      </c>
      <c r="AL4046">
        <v>19308.93</v>
      </c>
      <c r="AM4046">
        <v>63593.35</v>
      </c>
      <c r="AN4046" s="10" cm="1">
        <f t="array" ref="AN4046">Lair(100000000/($AM4046-$AL4046))</f>
        <v>2257.4314504585382</v>
      </c>
      <c r="AO4046" s="10">
        <f t="shared" si="3764"/>
        <v>2258.1305118143132</v>
      </c>
      <c r="AP4046" s="12">
        <v>208000000</v>
      </c>
      <c r="AQ4046" s="3">
        <v>0.19</v>
      </c>
      <c r="AR4046" s="3">
        <f t="shared" si="3765"/>
        <v>-7.2839656445649208</v>
      </c>
      <c r="AS4046" s="13">
        <f t="shared" si="3766"/>
        <v>68.889012801185316</v>
      </c>
      <c r="AT4046" s="3">
        <f t="shared" si="3767"/>
        <v>2.1530551577483479</v>
      </c>
      <c r="AU4046" s="13" cm="1">
        <f t="array" ref="AU4046">$C4046*EXP(poly_from_str(100000000/$E4046,AU$4343))</f>
        <v>63.230732097002502</v>
      </c>
      <c r="AV4046" s="13">
        <f t="shared" si="3768"/>
        <v>8.5706249107396021E-2</v>
      </c>
      <c r="AW4046" s="13"/>
      <c r="AX4046" s="13"/>
      <c r="AY4046" s="13"/>
    </row>
    <row r="4047" spans="1:51" x14ac:dyDescent="0.25">
      <c r="A4047">
        <v>2257.3420000000001</v>
      </c>
      <c r="B4047" s="2" t="str">
        <f t="shared" si="3748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3760"/>
        <v>e</v>
      </c>
      <c r="N4047" t="str">
        <f t="shared" si="3761"/>
        <v>11/2</v>
      </c>
      <c r="O4047">
        <v>70381.48</v>
      </c>
      <c r="P4047" t="str">
        <f t="shared" si="3762"/>
        <v>o</v>
      </c>
      <c r="Q4047" t="str">
        <f t="shared" si="3763"/>
        <v>13/2</v>
      </c>
      <c r="R4047">
        <v>37</v>
      </c>
      <c r="AA4047" s="10">
        <f t="shared" si="3749"/>
        <v>2257.3420000000001</v>
      </c>
      <c r="AB4047" s="3">
        <f t="shared" si="3750"/>
        <v>44286.17</v>
      </c>
      <c r="AC4047" s="3" cm="1">
        <f t="array" ref="AC4047">100000000/LvacE(AA4047)</f>
        <v>44286.174538566767</v>
      </c>
      <c r="AD4047" s="10">
        <f t="shared" si="3751"/>
        <v>1.4809363078028666E-2</v>
      </c>
      <c r="AE4047" s="10" t="b">
        <f t="shared" si="3752"/>
        <v>1</v>
      </c>
      <c r="AJ4047" t="s">
        <v>4738</v>
      </c>
      <c r="AK4047" t="s">
        <v>4876</v>
      </c>
      <c r="AL4047">
        <v>26095.23</v>
      </c>
      <c r="AM4047">
        <v>70381.48</v>
      </c>
      <c r="AN4047" s="10" cm="1">
        <f t="array" ref="AN4047">Lair(100000000/($AM4047-$AL4047))</f>
        <v>2257.3381599021213</v>
      </c>
      <c r="AO4047" s="10">
        <f t="shared" si="3764"/>
        <v>2258.0372011628892</v>
      </c>
      <c r="AP4047" s="12">
        <v>32700000</v>
      </c>
      <c r="AQ4047" s="3">
        <v>0.13900000000000001</v>
      </c>
      <c r="AR4047" s="3">
        <f t="shared" si="3765"/>
        <v>-5.9031168302344375</v>
      </c>
      <c r="AS4047" s="13">
        <f t="shared" si="3766"/>
        <v>6.5074511972395825</v>
      </c>
      <c r="AT4047" s="3">
        <f t="shared" si="3767"/>
        <v>0.26350994596060195</v>
      </c>
      <c r="AU4047" s="13" cm="1">
        <f t="array" ref="AU4047">$C4047*EXP(poly_from_str(100000000/$E4047,AU$4343))</f>
        <v>39.548097357521009</v>
      </c>
      <c r="AV4047" s="13">
        <f t="shared" si="3768"/>
        <v>-1.8045697273930206</v>
      </c>
      <c r="AW4047" s="13"/>
      <c r="AX4047" s="13"/>
      <c r="AY4047" s="13"/>
    </row>
    <row r="4048" spans="1:51" x14ac:dyDescent="0.25">
      <c r="A4048">
        <v>2257.194</v>
      </c>
      <c r="B4048" s="2" t="str">
        <f t="shared" si="3748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3749"/>
        <v>2257.194</v>
      </c>
      <c r="AB4048" s="3">
        <f t="shared" si="3750"/>
        <v>44289.08</v>
      </c>
      <c r="AC4048" s="3" cm="1">
        <f t="array" ref="AC4048">100000000/LvacE(AA4048)</f>
        <v>44289.07802661114</v>
      </c>
      <c r="AD4048" s="10">
        <f t="shared" si="3751"/>
        <v>1.4810649422825672E-2</v>
      </c>
      <c r="AE4048" s="10" t="b">
        <f t="shared" si="3752"/>
        <v>1</v>
      </c>
      <c r="AP4048"/>
      <c r="AQ4048"/>
      <c r="AU4048" s="13" cm="1">
        <f t="array" ref="AU4048">$C4048*EXP(poly_from_str(100000000/$E4048,AU$4343))</f>
        <v>7.9194128749455199</v>
      </c>
    </row>
    <row r="4049" spans="1:51" x14ac:dyDescent="0.25">
      <c r="A4049">
        <v>2256.723</v>
      </c>
      <c r="B4049" s="2" t="str">
        <f t="shared" si="3748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3769">$G4049&amp;""</f>
        <v>e</v>
      </c>
      <c r="N4049" t="str">
        <f t="shared" ref="N4049:N4051" si="3770">$H4049&amp;""</f>
        <v>5/2</v>
      </c>
      <c r="O4049">
        <v>65909.440000000002</v>
      </c>
      <c r="P4049" t="str">
        <f t="shared" ref="P4049:P4051" si="3771">$J4049&amp;""</f>
        <v>o</v>
      </c>
      <c r="Q4049" t="str">
        <f t="shared" ref="Q4049:Q4051" si="3772">$K4049&amp;""</f>
        <v>5/2</v>
      </c>
      <c r="R4049">
        <v>37</v>
      </c>
      <c r="AA4049" s="10">
        <f t="shared" si="3749"/>
        <v>2256.723</v>
      </c>
      <c r="AB4049" s="3">
        <f t="shared" si="3750"/>
        <v>44298.32</v>
      </c>
      <c r="AC4049" s="3" cm="1">
        <f t="array" ref="AC4049">100000000/LvacE(AA4049)</f>
        <v>44298.320715111484</v>
      </c>
      <c r="AD4049" s="10">
        <f t="shared" si="3751"/>
        <v>1.4814744812524951E-2</v>
      </c>
      <c r="AE4049" s="10" t="b">
        <f t="shared" si="3752"/>
        <v>1</v>
      </c>
      <c r="AJ4049" t="s">
        <v>4796</v>
      </c>
      <c r="AK4049" t="s">
        <v>4907</v>
      </c>
      <c r="AL4049">
        <v>21611.19</v>
      </c>
      <c r="AM4049">
        <v>65909.440000000002</v>
      </c>
      <c r="AN4049" s="10" cm="1">
        <f t="array" ref="AN4049">Lair(100000000/($AM4049-$AL4049))</f>
        <v>2256.7266095146229</v>
      </c>
      <c r="AO4049" s="10">
        <f t="shared" ref="AO4049:AO4051" si="3773">100000000/($AM4049-$AL4049)</f>
        <v>2257.4255190667805</v>
      </c>
      <c r="AP4049" s="12">
        <v>13300000</v>
      </c>
      <c r="AQ4049" s="3">
        <v>4.7E-2</v>
      </c>
      <c r="AR4049" s="3"/>
      <c r="AS4049" s="13">
        <f t="shared" ref="AS4049:AS4051" si="3774">EXP(AR$4341*$AM4049+AR$4342)*$AP4049/(100000000/($AM4049-$AL4049))</f>
        <v>3.7032834888995469</v>
      </c>
      <c r="AT4049" s="3"/>
      <c r="AU4049" s="13" cm="1">
        <f t="array" ref="AU4049">$C4049*EXP(poly_from_str(100000000/$E4049,AU$4343))</f>
        <v>7.9506592343013285</v>
      </c>
      <c r="AV4049" s="13"/>
      <c r="AW4049" s="13"/>
      <c r="AX4049" s="13"/>
      <c r="AY4049" s="13"/>
    </row>
    <row r="4050" spans="1:51" x14ac:dyDescent="0.25">
      <c r="A4050">
        <v>2256.6210000000001</v>
      </c>
      <c r="B4050" s="2" t="str">
        <f t="shared" si="3748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3769"/>
        <v>e</v>
      </c>
      <c r="N4050" t="str">
        <f t="shared" si="3770"/>
        <v>3/2</v>
      </c>
      <c r="O4050">
        <v>80164.039999999994</v>
      </c>
      <c r="P4050" t="str">
        <f t="shared" si="3771"/>
        <v>o</v>
      </c>
      <c r="Q4050" t="str">
        <f t="shared" si="3772"/>
        <v>3/2</v>
      </c>
      <c r="R4050">
        <v>37</v>
      </c>
      <c r="AA4050" s="10">
        <f t="shared" si="3749"/>
        <v>2256.6210000000001</v>
      </c>
      <c r="AB4050" s="3">
        <f t="shared" si="3750"/>
        <v>44300.32</v>
      </c>
      <c r="AC4050" s="3" cm="1">
        <f t="array" ref="AC4050">100000000/LvacE(AA4050)</f>
        <v>44300.32282458491</v>
      </c>
      <c r="AD4050" s="10">
        <f t="shared" si="3751"/>
        <v>1.4815632049995305E-2</v>
      </c>
      <c r="AE4050" s="10" t="b">
        <f t="shared" si="3752"/>
        <v>1</v>
      </c>
      <c r="AJ4050" t="s">
        <v>4811</v>
      </c>
      <c r="AK4050" t="s">
        <v>4893</v>
      </c>
      <c r="AL4050">
        <v>35863.74</v>
      </c>
      <c r="AM4050">
        <v>80164.039999999994</v>
      </c>
      <c r="AN4050" s="10" cm="1">
        <f t="array" ref="AN4050">Lair(100000000/($AM4050-$AL4050))</f>
        <v>2256.6221694538649</v>
      </c>
      <c r="AO4050" s="10">
        <f t="shared" si="3773"/>
        <v>2257.3210565165473</v>
      </c>
      <c r="AP4050" s="12">
        <v>294000000</v>
      </c>
      <c r="AQ4050" s="3">
        <v>0.58199999999999996</v>
      </c>
      <c r="AR4050" s="3">
        <f t="shared" ref="AR4050:AR4051" si="3775">LN(AU4050*100000000/($AM4050-$AL4050)/AP4050)</f>
        <v>-8.0936094694168386</v>
      </c>
      <c r="AS4050" s="13">
        <f t="shared" si="3774"/>
        <v>28.08737874265573</v>
      </c>
      <c r="AT4050" s="3">
        <f t="shared" ref="AT4050:AT4051" si="3776">LN(AS4050/$C4050)</f>
        <v>1.7258824079396164</v>
      </c>
      <c r="AU4050" s="13" cm="1">
        <f t="array" ref="AU4050">$C4050*EXP(poly_from_str(100000000/$E4050,AU$4343))</f>
        <v>39.787263159438815</v>
      </c>
      <c r="AV4050" s="13">
        <f t="shared" ref="AV4050:AV4051" si="3777">LN(AS4050/AU4050)</f>
        <v>-0.34822651957936152</v>
      </c>
      <c r="AW4050" s="13"/>
      <c r="AX4050" s="13"/>
      <c r="AY4050" s="13"/>
    </row>
    <row r="4051" spans="1:51" x14ac:dyDescent="0.25">
      <c r="A4051">
        <v>2256.5639999999999</v>
      </c>
      <c r="B4051" s="2" t="str">
        <f t="shared" si="3748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3769"/>
        <v>e</v>
      </c>
      <c r="N4051" t="str">
        <f t="shared" si="3770"/>
        <v>9/2</v>
      </c>
      <c r="O4051">
        <v>67049.179999999993</v>
      </c>
      <c r="P4051" t="str">
        <f t="shared" si="3771"/>
        <v>o</v>
      </c>
      <c r="Q4051" t="str">
        <f t="shared" si="3772"/>
        <v>9/2</v>
      </c>
      <c r="R4051">
        <v>37</v>
      </c>
      <c r="AA4051" s="10">
        <f t="shared" si="3749"/>
        <v>2256.5639999999999</v>
      </c>
      <c r="AB4051" s="3">
        <f t="shared" si="3750"/>
        <v>44301.440000000002</v>
      </c>
      <c r="AC4051" s="3" cm="1">
        <f t="array" ref="AC4051">100000000/LvacE(AA4051)</f>
        <v>44301.441729284794</v>
      </c>
      <c r="AD4051" s="10">
        <f t="shared" si="3751"/>
        <v>1.481612791156927E-2</v>
      </c>
      <c r="AE4051" s="10" t="b">
        <f t="shared" si="3752"/>
        <v>1</v>
      </c>
      <c r="AJ4051" t="s">
        <v>4797</v>
      </c>
      <c r="AK4051" t="s">
        <v>4862</v>
      </c>
      <c r="AL4051">
        <v>22747.69</v>
      </c>
      <c r="AM4051">
        <v>67049.179999999993</v>
      </c>
      <c r="AN4051" s="10" cm="1">
        <f t="array" ref="AN4051">Lair(100000000/($AM4051-$AL4051))</f>
        <v>2256.5615477056817</v>
      </c>
      <c r="AO4051" s="10">
        <f t="shared" si="3773"/>
        <v>2257.260421714936</v>
      </c>
      <c r="AP4051" s="12">
        <v>153000000</v>
      </c>
      <c r="AQ4051" s="3">
        <v>0.154</v>
      </c>
      <c r="AR4051" s="3">
        <f t="shared" si="3775"/>
        <v>-7.4400159288480934</v>
      </c>
      <c r="AS4051" s="13">
        <f t="shared" si="3774"/>
        <v>39.112147070799253</v>
      </c>
      <c r="AT4051" s="3">
        <f t="shared" si="3776"/>
        <v>2.0569951730826497</v>
      </c>
      <c r="AU4051" s="13" cm="1">
        <f t="array" ref="AU4051">$C4051*EXP(poly_from_str(100000000/$E4051,AU$4343))</f>
        <v>39.806308164848623</v>
      </c>
      <c r="AV4051" s="13">
        <f t="shared" si="3777"/>
        <v>-1.7592310818619068E-2</v>
      </c>
      <c r="AW4051" s="13"/>
      <c r="AX4051" s="13"/>
      <c r="AY4051" s="13"/>
    </row>
    <row r="4052" spans="1:51" x14ac:dyDescent="0.25">
      <c r="A4052">
        <v>2256.337</v>
      </c>
      <c r="B4052" s="2" t="str">
        <f t="shared" si="3748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3749"/>
        <v>2256.337</v>
      </c>
      <c r="AB4052" s="3">
        <f t="shared" si="3750"/>
        <v>44305.9</v>
      </c>
      <c r="AC4052" s="3" cm="1">
        <f t="array" ref="AC4052">100000000/LvacE(AA4052)</f>
        <v>44305.898278928289</v>
      </c>
      <c r="AD4052" s="10">
        <f t="shared" si="3751"/>
        <v>1.4818103031357527E-2</v>
      </c>
      <c r="AE4052" s="10" t="b">
        <f t="shared" si="3752"/>
        <v>1</v>
      </c>
      <c r="AP4052"/>
      <c r="AQ4052"/>
      <c r="AU4052" s="13" cm="1">
        <f t="array" ref="AU4052">$C4052*EXP(poly_from_str(100000000/$E4052,AU$4343))</f>
        <v>7.9764631557687524</v>
      </c>
    </row>
    <row r="4053" spans="1:51" x14ac:dyDescent="0.25">
      <c r="A4053">
        <v>2256.16</v>
      </c>
      <c r="B4053" s="2" t="str">
        <f t="shared" si="3748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3749"/>
        <v>2256.16</v>
      </c>
      <c r="AB4053" s="3">
        <f t="shared" si="3750"/>
        <v>44309.37</v>
      </c>
      <c r="AC4053" s="3" cm="1">
        <f t="array" ref="AC4053">100000000/LvacE(AA4053)</f>
        <v>44309.373831820449</v>
      </c>
      <c r="AD4053" s="10">
        <f t="shared" si="3751"/>
        <v>1.4819643516377486E-2</v>
      </c>
      <c r="AE4053" s="10" t="b">
        <f t="shared" si="3752"/>
        <v>1</v>
      </c>
      <c r="AP4053"/>
      <c r="AQ4053"/>
      <c r="AU4053" s="13" cm="1">
        <f t="array" ref="AU4053">$C4053*EXP(poly_from_str(100000000/$E4053,AU$4343))</f>
        <v>7.9883275290579254</v>
      </c>
    </row>
    <row r="4054" spans="1:51" x14ac:dyDescent="0.25">
      <c r="A4054">
        <v>2255.9189999999999</v>
      </c>
      <c r="B4054" s="2" t="str">
        <f t="shared" si="3748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3749"/>
        <v>2255.9189999999999</v>
      </c>
      <c r="AB4054" s="3">
        <f t="shared" si="3750"/>
        <v>44314.11</v>
      </c>
      <c r="AC4054" s="3" cm="1">
        <f t="array" ref="AC4054">100000000/LvacE(AA4054)</f>
        <v>44314.106958465112</v>
      </c>
      <c r="AD4054" s="10">
        <f t="shared" si="3751"/>
        <v>1.4821741595878467E-2</v>
      </c>
      <c r="AE4054" s="10" t="b">
        <f t="shared" si="3752"/>
        <v>1</v>
      </c>
      <c r="AP4054"/>
      <c r="AQ4054"/>
      <c r="AU4054" s="13" cm="1">
        <f t="array" ref="AU4054">$C4054*EXP(poly_from_str(100000000/$E4054,AU$4343))</f>
        <v>8.0045869710017659</v>
      </c>
    </row>
    <row r="4055" spans="1:51" x14ac:dyDescent="0.25">
      <c r="A4055">
        <v>2255.7629999999999</v>
      </c>
      <c r="B4055" s="2" t="str">
        <f t="shared" si="3748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3778">$G4055&amp;""</f>
        <v>e</v>
      </c>
      <c r="N4055" t="str">
        <f t="shared" ref="N4055:N4064" si="3779">$H4055&amp;""</f>
        <v>11/2</v>
      </c>
      <c r="O4055">
        <v>62558.67</v>
      </c>
      <c r="P4055" t="str">
        <f t="shared" ref="P4055:P4064" si="3780">$J4055&amp;""</f>
        <v>o</v>
      </c>
      <c r="Q4055" t="str">
        <f t="shared" ref="Q4055:Q4064" si="3781">$K4055&amp;""</f>
        <v>11/2</v>
      </c>
      <c r="R4055">
        <v>37</v>
      </c>
      <c r="AA4055" s="10">
        <f t="shared" si="3749"/>
        <v>2255.7629999999999</v>
      </c>
      <c r="AB4055" s="3">
        <f t="shared" si="3750"/>
        <v>44317.17</v>
      </c>
      <c r="AC4055" s="3" cm="1">
        <f t="array" ref="AC4055">100000000/LvacE(AA4055)</f>
        <v>44317.171264183504</v>
      </c>
      <c r="AD4055" s="10">
        <f t="shared" si="3751"/>
        <v>1.4823100047341744E-2</v>
      </c>
      <c r="AE4055" s="10" t="b">
        <f t="shared" si="3752"/>
        <v>1</v>
      </c>
      <c r="AJ4055" t="s">
        <v>4724</v>
      </c>
      <c r="AK4055" t="s">
        <v>4821</v>
      </c>
      <c r="AL4055">
        <v>18241.54</v>
      </c>
      <c r="AM4055">
        <v>62558.67</v>
      </c>
      <c r="AN4055" s="10" cm="1">
        <f t="array" ref="AN4055">Lair(100000000/($AM4055-$AL4055))</f>
        <v>2255.7651072699355</v>
      </c>
      <c r="AO4055" s="10">
        <f t="shared" ref="AO4055:AO4064" si="3782">100000000/($AM4055-$AL4055)</f>
        <v>2256.4638098180094</v>
      </c>
      <c r="AP4055" s="12">
        <v>116000000</v>
      </c>
      <c r="AQ4055" s="3">
        <v>8.3000000000000004E-2</v>
      </c>
      <c r="AR4055" s="3">
        <f t="shared" ref="AR4055:AR4056" si="3783">LN(AU4055*100000000/($AM4055-$AL4055)/AP4055)</f>
        <v>-6.6867757614396535</v>
      </c>
      <c r="AS4055" s="13">
        <f t="shared" ref="AS4055:AS4064" si="3784">EXP(AR$4341*$AM4055+AR$4342)*$AP4055/(100000000/($AM4055-$AL4055))</f>
        <v>41.551621847922178</v>
      </c>
      <c r="AT4055" s="3">
        <f t="shared" ref="AT4055:AT4064" si="3785">LN(AS4055/$C4055)</f>
        <v>1.6474950125041647</v>
      </c>
      <c r="AU4055" s="13" cm="1">
        <f t="array" ref="AU4055">$C4055*EXP(poly_from_str(100000000/$E4055,AU$4343))</f>
        <v>64.120928396607979</v>
      </c>
      <c r="AV4055" s="13">
        <f t="shared" ref="AV4055:AV4056" si="3786">LN(AS4055/AU4055)</f>
        <v>-0.43383425250131424</v>
      </c>
      <c r="AW4055" s="13"/>
      <c r="AX4055" s="13"/>
      <c r="AY4055" s="13"/>
    </row>
    <row r="4056" spans="1:51" x14ac:dyDescent="0.25">
      <c r="A4056">
        <v>2255.712</v>
      </c>
      <c r="B4056" s="2" t="str">
        <f t="shared" si="3748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3778"/>
        <v>e</v>
      </c>
      <c r="N4056" t="str">
        <f t="shared" si="3779"/>
        <v>11/2</v>
      </c>
      <c r="O4056">
        <v>80988.759999999995</v>
      </c>
      <c r="P4056" t="str">
        <f t="shared" si="3780"/>
        <v>o</v>
      </c>
      <c r="Q4056" t="str">
        <f t="shared" si="3781"/>
        <v>13/2</v>
      </c>
      <c r="R4056">
        <v>37</v>
      </c>
      <c r="AA4056" s="10">
        <f t="shared" si="3749"/>
        <v>2255.712</v>
      </c>
      <c r="AB4056" s="3">
        <f t="shared" si="3750"/>
        <v>44318.17</v>
      </c>
      <c r="AC4056" s="3" cm="1">
        <f t="array" ref="AC4056">100000000/LvacE(AA4056)</f>
        <v>44318.173148350354</v>
      </c>
      <c r="AD4056" s="10">
        <f t="shared" si="3751"/>
        <v>1.4823544217601882E-2</v>
      </c>
      <c r="AE4056" s="10" t="b">
        <f t="shared" si="3752"/>
        <v>1</v>
      </c>
      <c r="AJ4056" t="s">
        <v>4772</v>
      </c>
      <c r="AK4056" t="s">
        <v>4844</v>
      </c>
      <c r="AL4056">
        <v>36670.57</v>
      </c>
      <c r="AM4056">
        <v>80988.759999999995</v>
      </c>
      <c r="AN4056" s="10" cm="1">
        <f t="array" ref="AN4056">Lair(100000000/($AM4056-$AL4056))</f>
        <v>2255.7111489083827</v>
      </c>
      <c r="AO4056" s="10">
        <f t="shared" si="3782"/>
        <v>2256.4098398422861</v>
      </c>
      <c r="AP4056" s="12">
        <v>297000000</v>
      </c>
      <c r="AQ4056" s="3">
        <v>0.495</v>
      </c>
      <c r="AR4056" s="3">
        <f t="shared" si="3783"/>
        <v>-7.6265117304977474</v>
      </c>
      <c r="AS4056" s="13">
        <f t="shared" si="3784"/>
        <v>26.681858598781428</v>
      </c>
      <c r="AT4056" s="3">
        <f t="shared" si="3785"/>
        <v>1.2045423395642512</v>
      </c>
      <c r="AU4056" s="13" cm="1">
        <f t="array" ref="AU4056">$C4056*EXP(poly_from_str(100000000/$E4056,AU$4343))</f>
        <v>64.148499708922017</v>
      </c>
      <c r="AV4056" s="13">
        <f t="shared" si="3786"/>
        <v>-0.87721682230980946</v>
      </c>
      <c r="AW4056" s="13"/>
      <c r="AX4056" s="13"/>
      <c r="AY4056" s="13"/>
    </row>
    <row r="4057" spans="1:51" x14ac:dyDescent="0.25">
      <c r="A4057">
        <v>2255.4140000000002</v>
      </c>
      <c r="B4057" s="2" t="str">
        <f t="shared" si="3748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3778"/>
        <v>e</v>
      </c>
      <c r="N4057" t="str">
        <f t="shared" si="3779"/>
        <v>5/2</v>
      </c>
      <c r="O4057">
        <v>65935.25</v>
      </c>
      <c r="P4057" t="str">
        <f t="shared" si="3780"/>
        <v>o</v>
      </c>
      <c r="Q4057" t="str">
        <f t="shared" si="3781"/>
        <v>7/2</v>
      </c>
      <c r="R4057">
        <v>37</v>
      </c>
      <c r="AA4057" s="10">
        <f t="shared" si="3749"/>
        <v>2255.4140000000002</v>
      </c>
      <c r="AB4057" s="3">
        <f t="shared" si="3750"/>
        <v>44324.03</v>
      </c>
      <c r="AC4057" s="3" cm="1">
        <f t="array" ref="AC4057">100000000/LvacE(AA4057)</f>
        <v>44324.02820072951</v>
      </c>
      <c r="AD4057" s="10">
        <f t="shared" si="3751"/>
        <v>1.4826140167776183E-2</v>
      </c>
      <c r="AE4057" s="10" t="b">
        <f t="shared" si="3752"/>
        <v>1</v>
      </c>
      <c r="AJ4057" t="s">
        <v>4796</v>
      </c>
      <c r="AK4057" t="s">
        <v>4858</v>
      </c>
      <c r="AL4057">
        <v>21611.19</v>
      </c>
      <c r="AM4057">
        <v>65935.25</v>
      </c>
      <c r="AN4057" s="10" cm="1">
        <f t="array" ref="AN4057">Lair(100000000/($AM4057-$AL4057))</f>
        <v>2255.4123884681976</v>
      </c>
      <c r="AO4057" s="10">
        <f t="shared" si="3782"/>
        <v>2256.1110151010535</v>
      </c>
      <c r="AP4057" s="12">
        <v>22200000</v>
      </c>
      <c r="AQ4057" s="3">
        <v>3.6999999999999998E-2</v>
      </c>
      <c r="AR4057" s="3"/>
      <c r="AS4057" s="13">
        <f t="shared" si="3784"/>
        <v>6.1730535866428289</v>
      </c>
      <c r="AT4057" s="3"/>
      <c r="AU4057" s="13" cm="1">
        <f t="array" ref="AU4057">$C4057*EXP(poly_from_str(100000000/$E4057,AU$4343))</f>
        <v>16.077626901877842</v>
      </c>
      <c r="AV4057" s="13"/>
      <c r="AW4057" s="13"/>
      <c r="AX4057" s="13"/>
      <c r="AY4057" s="13"/>
    </row>
    <row r="4058" spans="1:51" x14ac:dyDescent="0.25">
      <c r="A4058">
        <v>2255.069</v>
      </c>
      <c r="B4058" s="2" t="str">
        <f t="shared" si="3748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3778"/>
        <v>e</v>
      </c>
      <c r="N4058" t="str">
        <f t="shared" si="3779"/>
        <v>7/2</v>
      </c>
      <c r="O4058">
        <v>68801.67</v>
      </c>
      <c r="P4058" t="str">
        <f t="shared" si="3780"/>
        <v>o</v>
      </c>
      <c r="Q4058" t="str">
        <f t="shared" si="3781"/>
        <v>7/2</v>
      </c>
      <c r="R4058">
        <v>37</v>
      </c>
      <c r="S4058" t="s">
        <v>2205</v>
      </c>
      <c r="AA4058" s="10">
        <f t="shared" si="3749"/>
        <v>2255.069</v>
      </c>
      <c r="AB4058" s="3">
        <f t="shared" si="3750"/>
        <v>44330.81</v>
      </c>
      <c r="AC4058" s="3" cm="1">
        <f t="array" ref="AC4058">100000000/LvacE(AA4058)</f>
        <v>44330.808633363107</v>
      </c>
      <c r="AD4058" s="10">
        <f t="shared" si="3751"/>
        <v>1.4829146831729565E-2</v>
      </c>
      <c r="AE4058" s="10" t="b">
        <f t="shared" si="3752"/>
        <v>1</v>
      </c>
      <c r="AJ4058" t="s">
        <v>4747</v>
      </c>
      <c r="AK4058" t="s">
        <v>4857</v>
      </c>
      <c r="AL4058">
        <v>24470.9</v>
      </c>
      <c r="AM4058">
        <v>68801.67</v>
      </c>
      <c r="AN4058" s="10" cm="1">
        <f t="array" ref="AN4058">Lair(100000000/($AM4058-$AL4058))</f>
        <v>2255.0709721589224</v>
      </c>
      <c r="AO4058" s="10">
        <f t="shared" si="3782"/>
        <v>2255.7695253206748</v>
      </c>
      <c r="AP4058" s="12">
        <v>20200000</v>
      </c>
      <c r="AQ4058" s="3">
        <v>2.4E-2</v>
      </c>
      <c r="AR4058" s="3"/>
      <c r="AS4058" s="13">
        <f t="shared" si="3784"/>
        <v>4.5304432384411228</v>
      </c>
      <c r="AT4058" s="3"/>
      <c r="AU4058" s="13" cm="1">
        <f t="array" ref="AU4058">$C4058*EXP(poly_from_str(100000000/$E4058,AU$4343))</f>
        <v>48.374168998444915</v>
      </c>
      <c r="AV4058" s="13"/>
      <c r="AW4058" s="13"/>
      <c r="AX4058" s="13"/>
      <c r="AY4058" s="13"/>
    </row>
    <row r="4059" spans="1:51" x14ac:dyDescent="0.25">
      <c r="A4059">
        <v>2255.038</v>
      </c>
      <c r="B4059" s="2" t="str">
        <f t="shared" si="3748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3778"/>
        <v>e</v>
      </c>
      <c r="N4059" t="str">
        <f t="shared" si="3779"/>
        <v>5/2</v>
      </c>
      <c r="O4059">
        <v>83025.91</v>
      </c>
      <c r="P4059" t="str">
        <f t="shared" si="3780"/>
        <v>o</v>
      </c>
      <c r="Q4059" t="str">
        <f t="shared" si="3781"/>
        <v>3/2</v>
      </c>
      <c r="R4059">
        <v>37</v>
      </c>
      <c r="AA4059" s="10">
        <f t="shared" si="3749"/>
        <v>2255.038</v>
      </c>
      <c r="AB4059" s="3">
        <f t="shared" si="3750"/>
        <v>44331.42</v>
      </c>
      <c r="AC4059" s="3" cm="1">
        <f t="array" ref="AC4059">100000000/LvacE(AA4059)</f>
        <v>44331.41799119403</v>
      </c>
      <c r="AD4059" s="10">
        <f t="shared" si="3751"/>
        <v>1.4829417063303152E-2</v>
      </c>
      <c r="AE4059" s="10" t="b">
        <f t="shared" si="3752"/>
        <v>1</v>
      </c>
      <c r="AJ4059" t="s">
        <v>4794</v>
      </c>
      <c r="AK4059" t="s">
        <v>4884</v>
      </c>
      <c r="AL4059">
        <v>38694.51</v>
      </c>
      <c r="AM4059">
        <v>83025.91</v>
      </c>
      <c r="AN4059" s="10" cm="1">
        <f t="array" ref="AN4059">Lair(100000000/($AM4059-$AL4059))</f>
        <v>2255.0389219852004</v>
      </c>
      <c r="AO4059" s="10">
        <f t="shared" si="3782"/>
        <v>2255.7374682504951</v>
      </c>
      <c r="AP4059" s="12">
        <v>655000000</v>
      </c>
      <c r="AQ4059" s="3">
        <v>0.68500000000000005</v>
      </c>
      <c r="AR4059" s="3">
        <f t="shared" ref="AR4059:AR4060" si="3787">LN(AU4059*100000000/($AM4059-$AL4059)/AP4059)</f>
        <v>-8.5455333888496483</v>
      </c>
      <c r="AS4059" s="13">
        <f t="shared" si="3784"/>
        <v>50.516675945011528</v>
      </c>
      <c r="AT4059" s="3">
        <f t="shared" si="3785"/>
        <v>1.9763933494493566</v>
      </c>
      <c r="AU4059" s="13" cm="1">
        <f t="array" ref="AU4059">$C4059*EXP(poly_from_str(100000000/$E4059,AU$4343))</f>
        <v>56.451404423707174</v>
      </c>
      <c r="AV4059" s="13">
        <f t="shared" ref="AV4059:AV4060" si="3788">LN(AS4059/AU4059)</f>
        <v>-0.11107667085516547</v>
      </c>
      <c r="AW4059" s="13"/>
      <c r="AX4059" s="13"/>
      <c r="AY4059" s="13"/>
    </row>
    <row r="4060" spans="1:51" x14ac:dyDescent="0.25">
      <c r="A4060">
        <v>2254.4940000000001</v>
      </c>
      <c r="B4060" s="2" t="str">
        <f t="shared" si="3748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3778"/>
        <v>e</v>
      </c>
      <c r="N4060" t="str">
        <f t="shared" si="3779"/>
        <v>7/2</v>
      </c>
      <c r="O4060">
        <v>79366.649999999994</v>
      </c>
      <c r="P4060" t="str">
        <f t="shared" si="3780"/>
        <v>o</v>
      </c>
      <c r="Q4060" t="str">
        <f t="shared" si="3781"/>
        <v>5/2</v>
      </c>
      <c r="R4060">
        <v>37</v>
      </c>
      <c r="AA4060" s="10">
        <f t="shared" si="3749"/>
        <v>2254.4940000000001</v>
      </c>
      <c r="AB4060" s="3">
        <f t="shared" si="3750"/>
        <v>44342.11</v>
      </c>
      <c r="AC4060" s="3" cm="1">
        <f t="array" ref="AC4060">100000000/LvacE(AA4060)</f>
        <v>44342.11396500573</v>
      </c>
      <c r="AD4060" s="10">
        <f t="shared" si="3751"/>
        <v>1.4834161005752449E-2</v>
      </c>
      <c r="AE4060" s="10" t="b">
        <f t="shared" si="3752"/>
        <v>1</v>
      </c>
      <c r="AJ4060" t="s">
        <v>4770</v>
      </c>
      <c r="AK4060" t="s">
        <v>4859</v>
      </c>
      <c r="AL4060">
        <v>35024.49</v>
      </c>
      <c r="AM4060">
        <v>79366.649999999994</v>
      </c>
      <c r="AN4060" s="10" cm="1">
        <f t="array" ref="AN4060">Lair(100000000/($AM4060-$AL4060))</f>
        <v>2254.491665959622</v>
      </c>
      <c r="AO4060" s="10">
        <f t="shared" si="3782"/>
        <v>2255.1900944834442</v>
      </c>
      <c r="AP4060" s="12">
        <v>135000000</v>
      </c>
      <c r="AQ4060" s="3">
        <v>0.14499999999999999</v>
      </c>
      <c r="AR4060" s="3">
        <f t="shared" si="3787"/>
        <v>-8.9076983113454773</v>
      </c>
      <c r="AS4060" s="13">
        <f t="shared" si="3784"/>
        <v>13.705556516884375</v>
      </c>
      <c r="AT4060" s="3">
        <f t="shared" si="3785"/>
        <v>2.6178013357806873</v>
      </c>
      <c r="AU4060" s="13" cm="1">
        <f t="array" ref="AU4060">$C4060*EXP(poly_from_str(100000000/$E4060,AU$4343))</f>
        <v>8.1018908893764259</v>
      </c>
      <c r="AV4060" s="13">
        <f t="shared" si="3788"/>
        <v>0.52570385821301047</v>
      </c>
      <c r="AW4060" s="13"/>
      <c r="AX4060" s="13"/>
      <c r="AY4060" s="13"/>
    </row>
    <row r="4061" spans="1:51" x14ac:dyDescent="0.25">
      <c r="A4061">
        <v>2254.364</v>
      </c>
      <c r="B4061" s="2" t="str">
        <f t="shared" si="3748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3778"/>
        <v>e</v>
      </c>
      <c r="N4061" t="str">
        <f t="shared" si="3779"/>
        <v>3/2</v>
      </c>
      <c r="O4061">
        <v>67395.320000000007</v>
      </c>
      <c r="P4061" t="str">
        <f t="shared" si="3780"/>
        <v>o</v>
      </c>
      <c r="Q4061" t="str">
        <f t="shared" si="3781"/>
        <v>5/2</v>
      </c>
      <c r="R4061">
        <v>37</v>
      </c>
      <c r="AA4061" s="10">
        <f t="shared" si="3749"/>
        <v>2254.364</v>
      </c>
      <c r="AB4061" s="3">
        <f t="shared" si="3750"/>
        <v>44344.67</v>
      </c>
      <c r="AC4061" s="3" cm="1">
        <f t="array" ref="AC4061">100000000/LvacE(AA4061)</f>
        <v>44344.670752191829</v>
      </c>
      <c r="AD4061" s="10">
        <f t="shared" si="3751"/>
        <v>1.4835295176864036E-2</v>
      </c>
      <c r="AE4061" s="10" t="b">
        <f t="shared" si="3752"/>
        <v>1</v>
      </c>
      <c r="AJ4061" t="s">
        <v>4769</v>
      </c>
      <c r="AK4061" t="s">
        <v>4894</v>
      </c>
      <c r="AL4061">
        <v>23050.61</v>
      </c>
      <c r="AM4061">
        <v>67395.320000000007</v>
      </c>
      <c r="AN4061" s="10" cm="1">
        <f t="array" ref="AN4061">Lair(100000000/($AM4061-$AL4061))</f>
        <v>2254.3620113078582</v>
      </c>
      <c r="AO4061" s="10">
        <f t="shared" si="3782"/>
        <v>2255.0604119409054</v>
      </c>
      <c r="AP4061" s="12">
        <v>30100000</v>
      </c>
      <c r="AQ4061" s="3">
        <v>4.9000000000000002E-2</v>
      </c>
      <c r="AR4061" s="3"/>
      <c r="AS4061" s="13">
        <f t="shared" si="3784"/>
        <v>7.5046194889237539</v>
      </c>
      <c r="AT4061" s="3"/>
      <c r="AU4061" s="13" cm="1">
        <f t="array" ref="AU4061">$C4061*EXP(poly_from_str(100000000/$E4061,AU$4343))</f>
        <v>8.1108956063208151</v>
      </c>
      <c r="AV4061" s="13"/>
      <c r="AW4061" s="13"/>
      <c r="AX4061" s="13"/>
      <c r="AY4061" s="13"/>
    </row>
    <row r="4062" spans="1:51" x14ac:dyDescent="0.25">
      <c r="A4062">
        <v>2254.2629999999999</v>
      </c>
      <c r="B4062" s="2" t="str">
        <f t="shared" si="3748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3778"/>
        <v>e</v>
      </c>
      <c r="N4062" t="str">
        <f t="shared" si="3779"/>
        <v>13/2</v>
      </c>
      <c r="O4062">
        <v>80988.759999999995</v>
      </c>
      <c r="P4062" t="str">
        <f t="shared" si="3780"/>
        <v>o</v>
      </c>
      <c r="Q4062" t="str">
        <f t="shared" si="3781"/>
        <v>13/2</v>
      </c>
      <c r="R4062">
        <v>37</v>
      </c>
      <c r="AA4062" s="10">
        <f t="shared" si="3749"/>
        <v>2254.2629999999999</v>
      </c>
      <c r="AB4062" s="3">
        <f t="shared" si="3750"/>
        <v>44346.66</v>
      </c>
      <c r="AC4062" s="3" cm="1">
        <f t="array" ref="AC4062">100000000/LvacE(AA4062)</f>
        <v>44346.657382672034</v>
      </c>
      <c r="AD4062" s="10">
        <f t="shared" si="3751"/>
        <v>1.4836176476008354E-2</v>
      </c>
      <c r="AE4062" s="10" t="b">
        <f t="shared" si="3752"/>
        <v>1</v>
      </c>
      <c r="AJ4062" t="s">
        <v>4793</v>
      </c>
      <c r="AK4062" t="s">
        <v>4844</v>
      </c>
      <c r="AL4062">
        <v>36642.129999999997</v>
      </c>
      <c r="AM4062">
        <v>80988.759999999995</v>
      </c>
      <c r="AN4062" s="10" cm="1">
        <f t="array" ref="AN4062">Lair(100000000/($AM4062-$AL4062))</f>
        <v>2254.2643988207674</v>
      </c>
      <c r="AO4062" s="10">
        <f t="shared" si="3782"/>
        <v>2254.9627784568975</v>
      </c>
      <c r="AP4062" s="12">
        <v>1440000000</v>
      </c>
      <c r="AQ4062" s="3">
        <v>0.53800000000000003</v>
      </c>
      <c r="AR4062" s="3">
        <f t="shared" ref="AR4062:AR4064" si="3789">LN(AU4062*100000000/($AM4062-$AL4062)/AP4062)</f>
        <v>-9.1935061742452824</v>
      </c>
      <c r="AS4062" s="13">
        <f t="shared" si="3784"/>
        <v>129.44960465463473</v>
      </c>
      <c r="AT4062" s="3">
        <f t="shared" si="3785"/>
        <v>2.7838501104739177</v>
      </c>
      <c r="AU4062" s="13" cm="1">
        <f t="array" ref="AU4062">$C4062*EXP(poly_from_str(100000000/$E4062,AU$4343))</f>
        <v>64.943264228879912</v>
      </c>
      <c r="AV4062" s="13">
        <f t="shared" ref="AV4062:AV4064" si="3790">LN(AS4062/AU4062)</f>
        <v>0.68977762143772459</v>
      </c>
      <c r="AW4062" s="13"/>
      <c r="AX4062" s="13"/>
      <c r="AY4062" s="13"/>
    </row>
    <row r="4063" spans="1:51" x14ac:dyDescent="0.25">
      <c r="A4063">
        <v>2253.7829999999999</v>
      </c>
      <c r="B4063" s="2" t="str">
        <f t="shared" si="3748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3778"/>
        <v>e</v>
      </c>
      <c r="N4063" t="str">
        <f t="shared" si="3779"/>
        <v>11/2</v>
      </c>
      <c r="O4063">
        <v>71736.45</v>
      </c>
      <c r="P4063" t="str">
        <f t="shared" si="3780"/>
        <v>o</v>
      </c>
      <c r="Q4063" t="str">
        <f t="shared" si="3781"/>
        <v>11/2</v>
      </c>
      <c r="R4063">
        <v>37</v>
      </c>
      <c r="AA4063" s="10">
        <f t="shared" si="3749"/>
        <v>2253.7829999999999</v>
      </c>
      <c r="AB4063" s="3">
        <f t="shared" si="3750"/>
        <v>44356.1</v>
      </c>
      <c r="AC4063" s="3" cm="1">
        <f t="array" ref="AC4063">100000000/LvacE(AA4063)</f>
        <v>44356.101228247469</v>
      </c>
      <c r="AD4063" s="10">
        <f t="shared" si="3751"/>
        <v>1.4840366447933868E-2</v>
      </c>
      <c r="AE4063" s="10" t="b">
        <f t="shared" si="3752"/>
        <v>1</v>
      </c>
      <c r="AJ4063" t="s">
        <v>4712</v>
      </c>
      <c r="AK4063" t="s">
        <v>4875</v>
      </c>
      <c r="AL4063">
        <v>27380.31</v>
      </c>
      <c r="AM4063">
        <v>71736.45</v>
      </c>
      <c r="AN4063" s="10" cm="1">
        <f t="array" ref="AN4063">Lair(100000000/($AM4063-$AL4063))</f>
        <v>2253.7810365452419</v>
      </c>
      <c r="AO4063" s="10">
        <f t="shared" si="3782"/>
        <v>2254.4793122214874</v>
      </c>
      <c r="AP4063" s="12">
        <v>31100000</v>
      </c>
      <c r="AQ4063" s="3">
        <v>5.8000000000000003E-2</v>
      </c>
      <c r="AR4063" s="3">
        <f t="shared" si="3789"/>
        <v>-7.4338636263294537</v>
      </c>
      <c r="AS4063" s="13">
        <f t="shared" si="3784"/>
        <v>5.5994668602323845</v>
      </c>
      <c r="AT4063" s="3">
        <f t="shared" si="3785"/>
        <v>1.7226713896790284</v>
      </c>
      <c r="AU4063" s="13" cm="1">
        <f t="array" ref="AU4063">$C4063*EXP(poly_from_str(100000000/$E4063,AU$4343))</f>
        <v>8.1513244986204718</v>
      </c>
      <c r="AV4063" s="13">
        <f t="shared" si="3790"/>
        <v>-0.37550903953773945</v>
      </c>
      <c r="AW4063" s="13"/>
      <c r="AX4063" s="13"/>
      <c r="AY4063" s="13"/>
    </row>
    <row r="4064" spans="1:51" x14ac:dyDescent="0.25">
      <c r="A4064">
        <v>2253.4270000000001</v>
      </c>
      <c r="B4064" s="2" t="str">
        <f t="shared" si="3748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3778"/>
        <v>e</v>
      </c>
      <c r="N4064" t="str">
        <f t="shared" si="3779"/>
        <v>7/2</v>
      </c>
      <c r="O4064">
        <v>64235.61</v>
      </c>
      <c r="P4064" t="str">
        <f t="shared" si="3780"/>
        <v>o</v>
      </c>
      <c r="Q4064" t="str">
        <f t="shared" si="3781"/>
        <v>9/2</v>
      </c>
      <c r="R4064">
        <v>37</v>
      </c>
      <c r="AA4064" s="10">
        <f t="shared" si="3749"/>
        <v>2253.4270000000001</v>
      </c>
      <c r="AB4064" s="3">
        <f t="shared" si="3750"/>
        <v>44363.11</v>
      </c>
      <c r="AC4064" s="3" cm="1">
        <f t="array" ref="AC4064">100000000/LvacE(AA4064)</f>
        <v>44363.108011670156</v>
      </c>
      <c r="AD4064" s="10">
        <f t="shared" si="3751"/>
        <v>1.4843475739766621E-2</v>
      </c>
      <c r="AE4064" s="10" t="b">
        <f t="shared" si="3752"/>
        <v>1</v>
      </c>
      <c r="AJ4064" t="s">
        <v>4785</v>
      </c>
      <c r="AK4064" t="s">
        <v>4842</v>
      </c>
      <c r="AL4064">
        <v>19872.43</v>
      </c>
      <c r="AM4064">
        <v>64235.61</v>
      </c>
      <c r="AN4064" s="10" cm="1">
        <f t="array" ref="AN4064">Lair(100000000/($AM4064-$AL4064))</f>
        <v>2253.4233497845612</v>
      </c>
      <c r="AO4064" s="10">
        <f t="shared" si="3782"/>
        <v>2254.1215485454377</v>
      </c>
      <c r="AP4064" s="12">
        <v>26200000</v>
      </c>
      <c r="AQ4064" s="3">
        <v>6.4000000000000001E-2</v>
      </c>
      <c r="AR4064" s="3">
        <f t="shared" si="3789"/>
        <v>-6.5663672151139378</v>
      </c>
      <c r="AS4064" s="13">
        <f t="shared" si="3784"/>
        <v>8.2837471669325691</v>
      </c>
      <c r="AT4064" s="3">
        <f t="shared" si="3785"/>
        <v>1.4211482418572861</v>
      </c>
      <c r="AU4064" s="13" cm="1">
        <f t="array" ref="AU4064">$C4064*EXP(poly_from_str(100000000/$E4064,AU$4343))</f>
        <v>16.352603739126298</v>
      </c>
      <c r="AV4064" s="13">
        <f t="shared" si="3790"/>
        <v>-0.68009171234654764</v>
      </c>
      <c r="AW4064" s="13"/>
      <c r="AX4064" s="13"/>
      <c r="AY4064" s="13"/>
    </row>
    <row r="4065" spans="1:51" x14ac:dyDescent="0.25">
      <c r="A4065">
        <v>2253.2130000000002</v>
      </c>
      <c r="B4065" s="2" t="str">
        <f t="shared" si="3748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3749"/>
        <v>2253.2130000000002</v>
      </c>
      <c r="AB4065" s="3">
        <f t="shared" si="3750"/>
        <v>44367.32</v>
      </c>
      <c r="AC4065" s="3" cm="1">
        <f t="array" ref="AC4065">100000000/LvacE(AA4065)</f>
        <v>44367.321019799812</v>
      </c>
      <c r="AD4065" s="10">
        <f t="shared" si="3751"/>
        <v>1.4845345517667394E-2</v>
      </c>
      <c r="AE4065" s="10" t="b">
        <f t="shared" si="3752"/>
        <v>1</v>
      </c>
      <c r="AP4065"/>
      <c r="AQ4065"/>
      <c r="AU4065" s="13" cm="1">
        <f t="array" ref="AU4065">$C4065*EXP(poly_from_str(100000000/$E4065,AU$4343))</f>
        <v>40.95684822543457</v>
      </c>
    </row>
    <row r="4066" spans="1:51" x14ac:dyDescent="0.25">
      <c r="A4066">
        <v>2253.1370000000002</v>
      </c>
      <c r="B4066" s="2" t="str">
        <f t="shared" si="3748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3791">$G4066&amp;""</f>
        <v>e</v>
      </c>
      <c r="N4066" t="str">
        <f t="shared" ref="N4066:N4077" si="3792">$H4066&amp;""</f>
        <v>5/2</v>
      </c>
      <c r="O4066">
        <v>78889.14</v>
      </c>
      <c r="P4066" t="str">
        <f t="shared" ref="P4066:P4077" si="3793">$J4066&amp;""</f>
        <v>o</v>
      </c>
      <c r="Q4066" t="str">
        <f t="shared" ref="Q4066:Q4077" si="3794">$K4066&amp;""</f>
        <v>3/2</v>
      </c>
      <c r="R4066">
        <v>37</v>
      </c>
      <c r="AA4066" s="10">
        <f t="shared" si="3749"/>
        <v>2253.1370000000002</v>
      </c>
      <c r="AB4066" s="3">
        <f t="shared" si="3750"/>
        <v>44368.82</v>
      </c>
      <c r="AC4066" s="3" cm="1">
        <f t="array" ref="AC4066">100000000/LvacE(AA4066)</f>
        <v>44368.817420831147</v>
      </c>
      <c r="AD4066" s="10">
        <f t="shared" si="3751"/>
        <v>1.484600967913428E-2</v>
      </c>
      <c r="AE4066" s="10" t="b">
        <f t="shared" si="3752"/>
        <v>1</v>
      </c>
      <c r="AJ4066" t="s">
        <v>4722</v>
      </c>
      <c r="AK4066" t="s">
        <v>4877</v>
      </c>
      <c r="AL4066">
        <v>34520.269999999997</v>
      </c>
      <c r="AM4066">
        <v>78889.14</v>
      </c>
      <c r="AN4066" s="10" cm="1">
        <f t="array" ref="AN4066">Lair(100000000/($AM4066-$AL4066))</f>
        <v>2253.1343364611848</v>
      </c>
      <c r="AO4066" s="10">
        <f t="shared" ref="AO4066:AO4077" si="3795">100000000/($AM4066-$AL4066)</f>
        <v>2253.8324730830423</v>
      </c>
      <c r="AP4066" s="12">
        <v>170000000</v>
      </c>
      <c r="AQ4066" s="3">
        <v>0.17699999999999999</v>
      </c>
      <c r="AR4066" s="3">
        <f t="shared" ref="AR4066:AR4077" si="3796">LN(AU4066*100000000/($AM4066-$AL4066)/AP4066)</f>
        <v>-7.517745929055784</v>
      </c>
      <c r="AS4066" s="13">
        <f t="shared" ref="AS4066:AS4077" si="3797">EXP(AR$4341*$AM4066+AR$4342)*$AP4066/(100000000/($AM4066-$AL4066))</f>
        <v>17.899320525055629</v>
      </c>
      <c r="AT4066" s="3">
        <f t="shared" ref="AT4066:AT4077" si="3798">LN(AS4066/$C4066)</f>
        <v>1.2753248401980302</v>
      </c>
      <c r="AU4066" s="13" cm="1">
        <f t="array" ref="AU4066">$C4066*EXP(poly_from_str(100000000/$E4066,AU$4343))</f>
        <v>40.983752119673547</v>
      </c>
      <c r="AV4066" s="13">
        <f t="shared" ref="AV4066:AV4077" si="3799">LN(AS4066/AU4066)</f>
        <v>-0.82841294576457747</v>
      </c>
      <c r="AW4066" s="13"/>
      <c r="AX4066" s="13"/>
      <c r="AY4066" s="13"/>
    </row>
    <row r="4067" spans="1:51" x14ac:dyDescent="0.25">
      <c r="A4067">
        <v>2253.0239999999999</v>
      </c>
      <c r="B4067" s="2" t="str">
        <f t="shared" si="3748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3791"/>
        <v>e</v>
      </c>
      <c r="N4067" t="str">
        <f t="shared" si="3792"/>
        <v>7/2</v>
      </c>
      <c r="O4067">
        <v>79395.55</v>
      </c>
      <c r="P4067" t="str">
        <f t="shared" si="3793"/>
        <v>o</v>
      </c>
      <c r="Q4067" t="str">
        <f t="shared" si="3794"/>
        <v>7/2</v>
      </c>
      <c r="R4067">
        <v>37</v>
      </c>
      <c r="AA4067" s="10">
        <f t="shared" si="3749"/>
        <v>2253.0239999999999</v>
      </c>
      <c r="AB4067" s="3">
        <f t="shared" si="3750"/>
        <v>44371.040000000001</v>
      </c>
      <c r="AC4067" s="3" cm="1">
        <f t="array" ref="AC4067">100000000/LvacE(AA4067)</f>
        <v>44371.042519494396</v>
      </c>
      <c r="AD4067" s="10">
        <f t="shared" si="3751"/>
        <v>1.4846997306618662E-2</v>
      </c>
      <c r="AE4067" s="10" t="b">
        <f t="shared" si="3752"/>
        <v>1</v>
      </c>
      <c r="AJ4067" t="s">
        <v>4770</v>
      </c>
      <c r="AK4067" t="s">
        <v>4917</v>
      </c>
      <c r="AL4067">
        <v>35024.49</v>
      </c>
      <c r="AM4067">
        <v>79395.55</v>
      </c>
      <c r="AN4067" s="10" cm="1">
        <f t="array" ref="AN4067">Lair(100000000/($AM4067-$AL4067))</f>
        <v>2253.0231191000516</v>
      </c>
      <c r="AO4067" s="10">
        <f t="shared" si="3795"/>
        <v>2253.7212318119059</v>
      </c>
      <c r="AP4067" s="12">
        <v>138000000</v>
      </c>
      <c r="AQ4067" s="3">
        <v>0.22500000000000001</v>
      </c>
      <c r="AR4067" s="3">
        <f t="shared" si="3796"/>
        <v>-7.3082780179519089</v>
      </c>
      <c r="AS4067" s="13">
        <f t="shared" si="3797"/>
        <v>13.98888280463691</v>
      </c>
      <c r="AT4067" s="3">
        <f t="shared" si="3798"/>
        <v>1.0288250163452739</v>
      </c>
      <c r="AU4067" s="13" cm="1">
        <f t="array" ref="AU4067">$C4067*EXP(poly_from_str(100000000/$E4067,AU$4343))</f>
        <v>41.023628899492181</v>
      </c>
      <c r="AV4067" s="13">
        <f t="shared" si="3799"/>
        <v>-1.0758852865412003</v>
      </c>
      <c r="AW4067" s="13"/>
      <c r="AX4067" s="13"/>
      <c r="AY4067" s="13"/>
    </row>
    <row r="4068" spans="1:51" x14ac:dyDescent="0.25">
      <c r="A4068">
        <v>2252.86</v>
      </c>
      <c r="B4068" s="2" t="str">
        <f t="shared" si="3748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3791"/>
        <v>e</v>
      </c>
      <c r="N4068" t="str">
        <f t="shared" si="3792"/>
        <v>9/2</v>
      </c>
      <c r="O4068">
        <v>71978.52</v>
      </c>
      <c r="P4068" t="str">
        <f t="shared" si="3793"/>
        <v>o</v>
      </c>
      <c r="Q4068" t="str">
        <f t="shared" si="3794"/>
        <v>7/2</v>
      </c>
      <c r="R4068">
        <v>37</v>
      </c>
      <c r="AA4068" s="10">
        <f t="shared" si="3749"/>
        <v>2252.86</v>
      </c>
      <c r="AB4068" s="3">
        <f t="shared" si="3750"/>
        <v>44374.27</v>
      </c>
      <c r="AC4068" s="3" cm="1">
        <f t="array" ref="AC4068">100000000/LvacE(AA4068)</f>
        <v>44374.272263209219</v>
      </c>
      <c r="AD4068" s="10">
        <f t="shared" si="3751"/>
        <v>1.4848430941827105E-2</v>
      </c>
      <c r="AE4068" s="10" t="b">
        <f t="shared" si="3752"/>
        <v>1</v>
      </c>
      <c r="AJ4068" t="s">
        <v>4718</v>
      </c>
      <c r="AK4068" t="s">
        <v>4716</v>
      </c>
      <c r="AL4068">
        <v>27604.26</v>
      </c>
      <c r="AM4068">
        <v>71978.52</v>
      </c>
      <c r="AN4068" s="10" cm="1">
        <f t="array" ref="AN4068">Lair(100000000/($AM4068-$AL4068))</f>
        <v>2252.8606294512465</v>
      </c>
      <c r="AO4068" s="10">
        <f t="shared" si="3795"/>
        <v>2253.5587072325256</v>
      </c>
      <c r="AP4068" s="12">
        <v>406000000</v>
      </c>
      <c r="AQ4068" s="3">
        <v>0.51500000000000001</v>
      </c>
      <c r="AR4068" s="3">
        <f t="shared" si="3796"/>
        <v>-8.0495610224416563</v>
      </c>
      <c r="AS4068" s="13">
        <f t="shared" si="3797"/>
        <v>71.812502409649611</v>
      </c>
      <c r="AT4068" s="3">
        <f t="shared" si="3798"/>
        <v>2.3281484401083983</v>
      </c>
      <c r="AU4068" s="13" cm="1">
        <f t="array" ref="AU4068">$C4068*EXP(poly_from_str(100000000/$E4068,AU$4343))</f>
        <v>57.514483425960684</v>
      </c>
      <c r="AV4068" s="13">
        <f t="shared" si="3799"/>
        <v>0.22202178740939443</v>
      </c>
      <c r="AW4068" s="13"/>
      <c r="AX4068" s="13"/>
      <c r="AY4068" s="13"/>
    </row>
    <row r="4069" spans="1:51" x14ac:dyDescent="0.25">
      <c r="A4069">
        <v>2252.3470000000002</v>
      </c>
      <c r="B4069" s="2" t="str">
        <f t="shared" si="3748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3791"/>
        <v>e</v>
      </c>
      <c r="N4069" t="str">
        <f t="shared" si="3792"/>
        <v>7/2</v>
      </c>
      <c r="O4069">
        <v>60520.32</v>
      </c>
      <c r="P4069" t="str">
        <f t="shared" si="3793"/>
        <v>o</v>
      </c>
      <c r="Q4069" t="str">
        <f t="shared" si="3794"/>
        <v>7/2</v>
      </c>
      <c r="R4069">
        <v>37</v>
      </c>
      <c r="AA4069" s="10">
        <f t="shared" si="3749"/>
        <v>2252.3470000000002</v>
      </c>
      <c r="AB4069" s="3">
        <f t="shared" si="3750"/>
        <v>44384.38</v>
      </c>
      <c r="AC4069" s="3" cm="1">
        <f t="array" ref="AC4069">100000000/LvacE(AA4069)</f>
        <v>44384.378095126027</v>
      </c>
      <c r="AD4069" s="10">
        <f t="shared" si="3751"/>
        <v>1.485291744458692E-2</v>
      </c>
      <c r="AE4069" s="10" t="b">
        <f t="shared" si="3752"/>
        <v>1</v>
      </c>
      <c r="AJ4069" t="s">
        <v>4743</v>
      </c>
      <c r="AK4069" t="s">
        <v>4730</v>
      </c>
      <c r="AL4069">
        <v>16135.97</v>
      </c>
      <c r="AM4069">
        <v>60520.32</v>
      </c>
      <c r="AN4069" s="10" cm="1">
        <f t="array" ref="AN4069">Lair(100000000/($AM4069-$AL4069))</f>
        <v>2252.3484326734092</v>
      </c>
      <c r="AO4069" s="10">
        <f t="shared" si="3795"/>
        <v>2253.0464003640923</v>
      </c>
      <c r="AP4069" s="12">
        <v>89800000</v>
      </c>
      <c r="AQ4069" s="3">
        <v>0.20300000000000001</v>
      </c>
      <c r="AR4069" s="3">
        <f t="shared" si="3796"/>
        <v>-6.4030449938821761</v>
      </c>
      <c r="AS4069" s="13">
        <f t="shared" si="3797"/>
        <v>37.540432314552113</v>
      </c>
      <c r="AT4069" s="3">
        <f t="shared" si="3798"/>
        <v>1.5459770055164288</v>
      </c>
      <c r="AU4069" s="13" cm="1">
        <f t="array" ref="AU4069">$C4069*EXP(poly_from_str(100000000/$E4069,AU$4343))</f>
        <v>66.023583518987138</v>
      </c>
      <c r="AV4069" s="13">
        <f t="shared" si="3799"/>
        <v>-0.56459345704967301</v>
      </c>
      <c r="AW4069" s="13"/>
      <c r="AX4069" s="13"/>
      <c r="AY4069" s="13"/>
    </row>
    <row r="4070" spans="1:51" x14ac:dyDescent="0.25">
      <c r="A4070">
        <v>2252.2040000000002</v>
      </c>
      <c r="B4070" s="2" t="str">
        <f t="shared" si="3748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3791"/>
        <v>e</v>
      </c>
      <c r="N4070" t="str">
        <f t="shared" si="3792"/>
        <v>9/2</v>
      </c>
      <c r="O4070">
        <v>65922.42</v>
      </c>
      <c r="P4070" t="str">
        <f t="shared" si="3793"/>
        <v>o</v>
      </c>
      <c r="Q4070" t="str">
        <f t="shared" si="3794"/>
        <v>11/2</v>
      </c>
      <c r="R4070">
        <v>37</v>
      </c>
      <c r="AA4070" s="10">
        <f t="shared" si="3749"/>
        <v>2252.2040000000002</v>
      </c>
      <c r="AB4070" s="3">
        <f t="shared" si="3750"/>
        <v>44387.199999999997</v>
      </c>
      <c r="AC4070" s="3" cm="1">
        <f t="array" ref="AC4070">100000000/LvacE(AA4070)</f>
        <v>44387.195940744357</v>
      </c>
      <c r="AD4070" s="10">
        <f t="shared" si="3751"/>
        <v>1.4854168614553645E-2</v>
      </c>
      <c r="AE4070" s="10" t="b">
        <f t="shared" si="3752"/>
        <v>1</v>
      </c>
      <c r="AJ4070" t="s">
        <v>4798</v>
      </c>
      <c r="AK4070" t="s">
        <v>4833</v>
      </c>
      <c r="AL4070">
        <v>21535.17</v>
      </c>
      <c r="AM4070">
        <v>65922.42</v>
      </c>
      <c r="AN4070" s="10" cm="1">
        <f t="array" ref="AN4070">Lair(100000000/($AM4070-$AL4070))</f>
        <v>2252.2012635943674</v>
      </c>
      <c r="AO4070" s="10">
        <f t="shared" si="3795"/>
        <v>2252.8991996575592</v>
      </c>
      <c r="AP4070" s="12">
        <v>63400000</v>
      </c>
      <c r="AQ4070" s="3">
        <v>9.8000000000000004E-2</v>
      </c>
      <c r="AR4070" s="3">
        <f t="shared" si="3796"/>
        <v>-6.3414289036762037</v>
      </c>
      <c r="AS4070" s="13">
        <f t="shared" si="3797"/>
        <v>17.671491086534587</v>
      </c>
      <c r="AT4070" s="3">
        <f t="shared" si="3798"/>
        <v>1.0801931987461819</v>
      </c>
      <c r="AU4070" s="13" cm="1">
        <f t="array" ref="AU4070">$C4070*EXP(poly_from_str(100000000/$E4070,AU$4343))</f>
        <v>49.579245903406928</v>
      </c>
      <c r="AV4070" s="13">
        <f t="shared" si="3799"/>
        <v>-1.0316196488238538</v>
      </c>
      <c r="AW4070" s="13"/>
      <c r="AX4070" s="13"/>
      <c r="AY4070" s="13"/>
    </row>
    <row r="4071" spans="1:51" x14ac:dyDescent="0.25">
      <c r="A4071">
        <v>2251.549</v>
      </c>
      <c r="B4071" s="2" t="str">
        <f t="shared" si="3748"/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3791"/>
        <v>e</v>
      </c>
      <c r="N4071" t="str">
        <f t="shared" si="3792"/>
        <v>9/2</v>
      </c>
      <c r="O4071">
        <v>65935.25</v>
      </c>
      <c r="P4071" t="str">
        <f t="shared" si="3793"/>
        <v>o</v>
      </c>
      <c r="Q4071" t="str">
        <f t="shared" si="3794"/>
        <v>7/2</v>
      </c>
      <c r="R4071">
        <v>37</v>
      </c>
      <c r="AA4071" s="10">
        <f t="shared" si="3749"/>
        <v>2251.549</v>
      </c>
      <c r="AB4071" s="3">
        <f t="shared" si="3750"/>
        <v>44400.11</v>
      </c>
      <c r="AC4071" s="3" cm="1">
        <f t="array" ref="AC4071">100000000/LvacE(AA4071)</f>
        <v>44400.107429552329</v>
      </c>
      <c r="AD4071" s="10">
        <f t="shared" si="3751"/>
        <v>1.4859902544770806E-2</v>
      </c>
      <c r="AE4071" s="10" t="b">
        <f t="shared" si="3752"/>
        <v>1</v>
      </c>
      <c r="AJ4071" t="s">
        <v>4798</v>
      </c>
      <c r="AK4071" t="s">
        <v>4858</v>
      </c>
      <c r="AL4071">
        <v>21535.17</v>
      </c>
      <c r="AM4071">
        <v>65935.25</v>
      </c>
      <c r="AN4071" s="10" cm="1">
        <f t="array" ref="AN4071">Lair(100000000/($AM4071-$AL4071))</f>
        <v>2251.5503979335708</v>
      </c>
      <c r="AO4071" s="10">
        <f t="shared" si="3795"/>
        <v>2252.248194147398</v>
      </c>
      <c r="AP4071" s="12">
        <v>323000000</v>
      </c>
      <c r="AQ4071" s="3">
        <v>0.20200000000000001</v>
      </c>
      <c r="AR4071" s="3">
        <f t="shared" si="3796"/>
        <v>-7.5587376309967809</v>
      </c>
      <c r="AS4071" s="13">
        <f t="shared" si="3797"/>
        <v>89.969190597232966</v>
      </c>
      <c r="AT4071" s="3">
        <f t="shared" si="3798"/>
        <v>2.3022427076894747</v>
      </c>
      <c r="AU4071" s="13" cm="1">
        <f t="array" ref="AU4071">$C4071*EXP(poly_from_str(100000000/$E4071,AU$4343))</f>
        <v>74.794253447295389</v>
      </c>
      <c r="AV4071" s="13">
        <f t="shared" si="3799"/>
        <v>0.18472622856741519</v>
      </c>
      <c r="AW4071" s="13"/>
      <c r="AX4071" s="13"/>
      <c r="AY4071" s="13"/>
    </row>
    <row r="4072" spans="1:51" x14ac:dyDescent="0.25">
      <c r="A4072">
        <v>2251.4450000000002</v>
      </c>
      <c r="B4072" s="2" t="str">
        <f t="shared" si="3748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3791"/>
        <v>e</v>
      </c>
      <c r="N4072" t="str">
        <f t="shared" si="3792"/>
        <v>15/2</v>
      </c>
      <c r="O4072">
        <v>70381.48</v>
      </c>
      <c r="P4072" t="str">
        <f t="shared" si="3793"/>
        <v>o</v>
      </c>
      <c r="Q4072" t="str">
        <f t="shared" si="3794"/>
        <v>13/2</v>
      </c>
      <c r="R4072">
        <v>37</v>
      </c>
      <c r="AA4072" s="10">
        <f t="shared" si="3749"/>
        <v>2251.4450000000002</v>
      </c>
      <c r="AB4072" s="3">
        <f t="shared" si="3750"/>
        <v>44402.16</v>
      </c>
      <c r="AC4072" s="3" cm="1">
        <f t="array" ref="AC4072">100000000/LvacE(AA4072)</f>
        <v>44402.158188974739</v>
      </c>
      <c r="AD4072" s="10">
        <f t="shared" si="3751"/>
        <v>1.4860813430702224E-2</v>
      </c>
      <c r="AE4072" s="10" t="b">
        <f t="shared" si="3752"/>
        <v>1</v>
      </c>
      <c r="AJ4072" t="s">
        <v>4963</v>
      </c>
      <c r="AK4072" t="s">
        <v>4876</v>
      </c>
      <c r="AL4072">
        <v>25979.34</v>
      </c>
      <c r="AM4072">
        <v>70381.48</v>
      </c>
      <c r="AN4072" s="10" cm="1">
        <f t="array" ref="AN4072">Lair(100000000/($AM4072-$AL4072))</f>
        <v>2251.4459292128381</v>
      </c>
      <c r="AO4072" s="10">
        <f t="shared" si="3795"/>
        <v>2252.1437029836852</v>
      </c>
      <c r="AP4072" s="12">
        <v>880000000</v>
      </c>
      <c r="AQ4072" s="3">
        <v>0.32200000000000001</v>
      </c>
      <c r="AR4072" s="3">
        <f t="shared" si="3796"/>
        <v>-8.6779285427998989</v>
      </c>
      <c r="AS4072" s="13">
        <f t="shared" si="3797"/>
        <v>175.5823404646323</v>
      </c>
      <c r="AT4072" s="3">
        <f t="shared" si="3798"/>
        <v>3.0886665676338856</v>
      </c>
      <c r="AU4072" s="13" cm="1">
        <f t="array" ref="AU4072">$C4072*EXP(poly_from_str(100000000/$E4072,AU$4343))</f>
        <v>66.544182406718321</v>
      </c>
      <c r="AV4072" s="13">
        <f t="shared" si="3799"/>
        <v>0.97024198517244187</v>
      </c>
      <c r="AW4072" s="13"/>
      <c r="AX4072" s="13"/>
      <c r="AY4072" s="13"/>
    </row>
    <row r="4073" spans="1:51" x14ac:dyDescent="0.25">
      <c r="A4073">
        <v>2250.1080000000002</v>
      </c>
      <c r="B4073" s="2" t="str">
        <f t="shared" si="3748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3791"/>
        <v>e</v>
      </c>
      <c r="N4073" t="str">
        <f t="shared" si="3792"/>
        <v>11/2</v>
      </c>
      <c r="O4073">
        <v>67870.759999999995</v>
      </c>
      <c r="P4073" t="str">
        <f t="shared" si="3793"/>
        <v>o</v>
      </c>
      <c r="Q4073" t="str">
        <f t="shared" si="3794"/>
        <v>9/2</v>
      </c>
      <c r="R4073">
        <v>37</v>
      </c>
      <c r="AA4073" s="10">
        <f t="shared" si="3749"/>
        <v>2250.1080000000002</v>
      </c>
      <c r="AB4073" s="3">
        <f t="shared" si="3750"/>
        <v>44428.54</v>
      </c>
      <c r="AC4073" s="3" cm="1">
        <f t="array" ref="AC4073">100000000/LvacE(AA4073)</f>
        <v>44428.539159303771</v>
      </c>
      <c r="AD4073" s="10">
        <f t="shared" si="3751"/>
        <v>1.4872534820396126E-2</v>
      </c>
      <c r="AE4073" s="10" t="b">
        <f t="shared" si="3752"/>
        <v>1</v>
      </c>
      <c r="AJ4073" t="s">
        <v>4782</v>
      </c>
      <c r="AK4073" t="s">
        <v>4755</v>
      </c>
      <c r="AL4073">
        <v>23442.25</v>
      </c>
      <c r="AM4073">
        <v>67870.759999999995</v>
      </c>
      <c r="AN4073" s="10" cm="1">
        <f t="array" ref="AN4073">Lair(100000000/($AM4073-$AL4073))</f>
        <v>2250.1094838117338</v>
      </c>
      <c r="AO4073" s="10">
        <f t="shared" si="3795"/>
        <v>2250.8069705691237</v>
      </c>
      <c r="AP4073" s="12">
        <v>241000000</v>
      </c>
      <c r="AQ4073" s="3">
        <v>0.22700000000000001</v>
      </c>
      <c r="AR4073" s="3">
        <f t="shared" si="3796"/>
        <v>-7.253869363661182</v>
      </c>
      <c r="AS4073" s="13">
        <f t="shared" si="3797"/>
        <v>58.090274087537843</v>
      </c>
      <c r="AT4073" s="3">
        <f t="shared" si="3798"/>
        <v>1.8647736729827549</v>
      </c>
      <c r="AU4073" s="13" cm="1">
        <f t="array" ref="AU4073">$C4073*EXP(poly_from_str(100000000/$E4073,AU$4343))</f>
        <v>75.746636692884252</v>
      </c>
      <c r="AV4073" s="13">
        <f t="shared" si="3799"/>
        <v>-0.26539579299085359</v>
      </c>
      <c r="AW4073" s="13"/>
      <c r="AX4073" s="13"/>
      <c r="AY4073" s="13"/>
    </row>
    <row r="4074" spans="1:51" x14ac:dyDescent="0.25">
      <c r="A4074">
        <v>2249.7440000000001</v>
      </c>
      <c r="B4074" s="2" t="str">
        <f t="shared" si="3748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3791"/>
        <v>e</v>
      </c>
      <c r="N4074" t="str">
        <f t="shared" si="3792"/>
        <v>9/2</v>
      </c>
      <c r="O4074">
        <v>62062.63</v>
      </c>
      <c r="P4074" t="str">
        <f t="shared" si="3793"/>
        <v>o</v>
      </c>
      <c r="Q4074" t="str">
        <f t="shared" si="3794"/>
        <v>9/2</v>
      </c>
      <c r="R4074">
        <v>37</v>
      </c>
      <c r="AA4074" s="10">
        <f t="shared" si="3749"/>
        <v>2249.7440000000001</v>
      </c>
      <c r="AB4074" s="3">
        <f t="shared" si="3750"/>
        <v>44435.73</v>
      </c>
      <c r="AC4074" s="3" cm="1">
        <f t="array" ref="AC4074">100000000/LvacE(AA4074)</f>
        <v>44435.726842287688</v>
      </c>
      <c r="AD4074" s="10">
        <f t="shared" si="3751"/>
        <v>1.4875729603521043E-2</v>
      </c>
      <c r="AE4074" s="10" t="b">
        <f t="shared" si="3752"/>
        <v>1</v>
      </c>
      <c r="AJ4074" t="s">
        <v>4820</v>
      </c>
      <c r="AK4074" t="s">
        <v>4848</v>
      </c>
      <c r="AL4074">
        <v>17627</v>
      </c>
      <c r="AM4074">
        <v>62062.63</v>
      </c>
      <c r="AN4074" s="10" cm="1">
        <f t="array" ref="AN4074">Lair(100000000/($AM4074-$AL4074))</f>
        <v>2249.7489104151668</v>
      </c>
      <c r="AO4074" s="10">
        <f t="shared" si="3795"/>
        <v>2250.4463197663677</v>
      </c>
      <c r="AP4074" s="12">
        <v>92300000</v>
      </c>
      <c r="AQ4074" s="3">
        <v>0.154</v>
      </c>
      <c r="AR4074" s="3">
        <f t="shared" si="3796"/>
        <v>-6.5423710560226933</v>
      </c>
      <c r="AS4074" s="13">
        <f t="shared" si="3797"/>
        <v>34.407929290117444</v>
      </c>
      <c r="AT4074" s="3">
        <f t="shared" si="3798"/>
        <v>1.5923768913820853</v>
      </c>
      <c r="AU4074" s="13" cm="1">
        <f t="array" ref="AU4074">$C4074*EXP(poly_from_str(100000000/$E4074,AU$4343))</f>
        <v>59.104070899196628</v>
      </c>
      <c r="AV4074" s="13">
        <f t="shared" si="3799"/>
        <v>-0.54101276314551949</v>
      </c>
      <c r="AW4074" s="13"/>
      <c r="AX4074" s="13"/>
      <c r="AY4074" s="13"/>
    </row>
    <row r="4075" spans="1:51" x14ac:dyDescent="0.25">
      <c r="A4075">
        <v>2249.672</v>
      </c>
      <c r="B4075" s="2" t="str">
        <f t="shared" si="3748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3791"/>
        <v>e</v>
      </c>
      <c r="N4075" t="str">
        <f t="shared" si="3792"/>
        <v>11/2</v>
      </c>
      <c r="O4075">
        <v>62678.7</v>
      </c>
      <c r="P4075" t="str">
        <f t="shared" si="3793"/>
        <v>o</v>
      </c>
      <c r="Q4075" t="str">
        <f t="shared" si="3794"/>
        <v>13/2</v>
      </c>
      <c r="R4075">
        <v>37</v>
      </c>
      <c r="AA4075" s="10">
        <f t="shared" si="3749"/>
        <v>2249.672</v>
      </c>
      <c r="AB4075" s="3">
        <f t="shared" si="3750"/>
        <v>44437.15</v>
      </c>
      <c r="AC4075" s="3" cm="1">
        <f t="array" ref="AC4075">100000000/LvacE(AA4075)</f>
        <v>44437.148857263812</v>
      </c>
      <c r="AD4075" s="10">
        <f t="shared" si="3751"/>
        <v>1.4876361722345261E-2</v>
      </c>
      <c r="AE4075" s="10" t="b">
        <f t="shared" si="3752"/>
        <v>1</v>
      </c>
      <c r="AJ4075" t="s">
        <v>4724</v>
      </c>
      <c r="AK4075" t="s">
        <v>4888</v>
      </c>
      <c r="AL4075">
        <v>18241.54</v>
      </c>
      <c r="AM4075">
        <v>62678.7</v>
      </c>
      <c r="AN4075" s="10" cm="1">
        <f t="array" ref="AN4075">Lair(100000000/($AM4075-$AL4075))</f>
        <v>2249.6714427296515</v>
      </c>
      <c r="AO4075" s="10">
        <f t="shared" si="3795"/>
        <v>2250.368835452131</v>
      </c>
      <c r="AP4075" s="12">
        <v>169000000</v>
      </c>
      <c r="AQ4075" s="3">
        <v>0.65500000000000003</v>
      </c>
      <c r="AR4075" s="3">
        <f t="shared" si="3796"/>
        <v>-7.0130917250534663</v>
      </c>
      <c r="AS4075" s="13">
        <f t="shared" si="3797"/>
        <v>60.156048104163112</v>
      </c>
      <c r="AT4075" s="3">
        <f t="shared" si="3798"/>
        <v>2.0175004460461547</v>
      </c>
      <c r="AU4075" s="13" cm="1">
        <f t="array" ref="AU4075">$C4075*EXP(poly_from_str(100000000/$E4075,AU$4343))</f>
        <v>67.590547216943648</v>
      </c>
      <c r="AV4075" s="13">
        <f t="shared" si="3799"/>
        <v>-0.11652615147635173</v>
      </c>
      <c r="AW4075" s="13"/>
      <c r="AX4075" s="13"/>
      <c r="AY4075" s="13"/>
    </row>
    <row r="4076" spans="1:51" x14ac:dyDescent="0.25">
      <c r="A4076">
        <v>2249.1469999999999</v>
      </c>
      <c r="B4076" s="2" t="str">
        <f t="shared" si="3748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3791"/>
        <v>e</v>
      </c>
      <c r="N4076" t="str">
        <f t="shared" si="3792"/>
        <v>5/2</v>
      </c>
      <c r="O4076">
        <v>65295.9</v>
      </c>
      <c r="P4076" t="str">
        <f t="shared" si="3793"/>
        <v>o</v>
      </c>
      <c r="Q4076" t="str">
        <f t="shared" si="3794"/>
        <v>7/2</v>
      </c>
      <c r="R4076">
        <v>37</v>
      </c>
      <c r="AA4076" s="10">
        <f t="shared" si="3749"/>
        <v>2249.1469999999999</v>
      </c>
      <c r="AB4076" s="3">
        <f t="shared" si="3750"/>
        <v>44447.519999999997</v>
      </c>
      <c r="AC4076" s="3" cm="1">
        <f t="array" ref="AC4076">100000000/LvacE(AA4076)</f>
        <v>44447.520468143535</v>
      </c>
      <c r="AD4076" s="10">
        <f t="shared" si="3751"/>
        <v>1.4880972757259428E-2</v>
      </c>
      <c r="AE4076" s="10" t="b">
        <f t="shared" si="3752"/>
        <v>1</v>
      </c>
      <c r="AJ4076" t="s">
        <v>4800</v>
      </c>
      <c r="AK4076" t="s">
        <v>4825</v>
      </c>
      <c r="AL4076">
        <v>20848.39</v>
      </c>
      <c r="AM4076">
        <v>65295.9</v>
      </c>
      <c r="AN4076" s="10" cm="1">
        <f t="array" ref="AN4076">Lair(100000000/($AM4076-$AL4076))</f>
        <v>2249.1475366740601</v>
      </c>
      <c r="AO4076" s="10">
        <f t="shared" si="3795"/>
        <v>2249.8448169537505</v>
      </c>
      <c r="AP4076" s="12">
        <v>103000000</v>
      </c>
      <c r="AQ4076" s="3">
        <v>0.11600000000000001</v>
      </c>
      <c r="AR4076" s="3">
        <f t="shared" si="3796"/>
        <v>-6.5134937293489443</v>
      </c>
      <c r="AS4076" s="13">
        <f t="shared" si="3797"/>
        <v>30.132151779956704</v>
      </c>
      <c r="AT4076" s="3">
        <f t="shared" si="3798"/>
        <v>1.3261512254392753</v>
      </c>
      <c r="AU4076" s="13" cm="1">
        <f t="array" ref="AU4076">$C4076*EXP(poly_from_str(100000000/$E4076,AU$4343))</f>
        <v>67.906332629131128</v>
      </c>
      <c r="AV4076" s="13">
        <f t="shared" si="3799"/>
        <v>-0.81253652714872271</v>
      </c>
      <c r="AW4076" s="13"/>
      <c r="AX4076" s="13"/>
      <c r="AY4076" s="13"/>
    </row>
    <row r="4077" spans="1:51" x14ac:dyDescent="0.25">
      <c r="A4077">
        <v>2249.018</v>
      </c>
      <c r="B4077" s="2" t="str">
        <f t="shared" si="3748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3791"/>
        <v>e</v>
      </c>
      <c r="N4077" t="str">
        <f t="shared" si="3792"/>
        <v>11/2</v>
      </c>
      <c r="O4077">
        <v>64150.94</v>
      </c>
      <c r="P4077" t="str">
        <f t="shared" si="3793"/>
        <v>o</v>
      </c>
      <c r="Q4077" t="str">
        <f t="shared" si="3794"/>
        <v>11/2</v>
      </c>
      <c r="R4077">
        <v>37</v>
      </c>
      <c r="AA4077" s="10">
        <f t="shared" si="3749"/>
        <v>2249.018</v>
      </c>
      <c r="AB4077" s="3">
        <f t="shared" si="3750"/>
        <v>44450.07</v>
      </c>
      <c r="AC4077" s="3" cm="1">
        <f t="array" ref="AC4077">100000000/LvacE(AA4077)</f>
        <v>44450.069662023139</v>
      </c>
      <c r="AD4077" s="10">
        <f t="shared" si="3751"/>
        <v>1.4882106248598974E-2</v>
      </c>
      <c r="AE4077" s="10" t="b">
        <f t="shared" si="3752"/>
        <v>1</v>
      </c>
      <c r="AJ4077" t="s">
        <v>4962</v>
      </c>
      <c r="AK4077" t="s">
        <v>4931</v>
      </c>
      <c r="AL4077">
        <v>19700.900000000001</v>
      </c>
      <c r="AM4077">
        <v>64150.94</v>
      </c>
      <c r="AN4077" s="10" cm="1">
        <f t="array" ref="AN4077">Lair(100000000/($AM4077-$AL4077))</f>
        <v>2249.0195078540687</v>
      </c>
      <c r="AO4077" s="10">
        <f t="shared" si="3795"/>
        <v>2249.7167606598327</v>
      </c>
      <c r="AP4077" s="12">
        <v>57500000</v>
      </c>
      <c r="AQ4077" s="3">
        <v>0.14799999999999999</v>
      </c>
      <c r="AR4077" s="3">
        <f t="shared" si="3796"/>
        <v>-5.9294578135339329</v>
      </c>
      <c r="AS4077" s="13">
        <f t="shared" si="3797"/>
        <v>18.331688683053301</v>
      </c>
      <c r="AT4077" s="3">
        <f t="shared" si="3798"/>
        <v>0.82918964266341166</v>
      </c>
      <c r="AU4077" s="13" cm="1">
        <f t="array" ref="AU4077">$C4077*EXP(poly_from_str(100000000/$E4077,AU$4343))</f>
        <v>67.984387899997785</v>
      </c>
      <c r="AV4077" s="13">
        <f t="shared" si="3799"/>
        <v>-1.3106469047671929</v>
      </c>
      <c r="AW4077" s="13"/>
      <c r="AX4077" s="13"/>
      <c r="AY4077" s="13"/>
    </row>
    <row r="4078" spans="1:51" x14ac:dyDescent="0.25">
      <c r="A4078">
        <v>2248.913</v>
      </c>
      <c r="B4078" s="2" t="str">
        <f t="shared" si="3748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3749"/>
        <v>2248.913</v>
      </c>
      <c r="AB4078" s="3">
        <f t="shared" si="3750"/>
        <v>44452.14</v>
      </c>
      <c r="AC4078" s="3" cm="1">
        <f t="array" ref="AC4078">100000000/LvacE(AA4078)</f>
        <v>44452.14480312587</v>
      </c>
      <c r="AD4078" s="10">
        <f t="shared" si="3751"/>
        <v>1.4883029001816848E-2</v>
      </c>
      <c r="AE4078" s="10" t="b">
        <f t="shared" si="3752"/>
        <v>1</v>
      </c>
      <c r="AP4078"/>
      <c r="AQ4078"/>
      <c r="AU4078" s="13" cm="1">
        <f t="array" ref="AU4078">$C4078*EXP(poly_from_str(100000000/$E4078,AU$4343))</f>
        <v>8.5059834944844699</v>
      </c>
    </row>
    <row r="4079" spans="1:51" x14ac:dyDescent="0.25">
      <c r="A4079">
        <v>2248.83</v>
      </c>
      <c r="B4079" s="2" t="str">
        <f t="shared" si="3748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3800">$G4079&amp;""</f>
        <v>e</v>
      </c>
      <c r="N4079" t="str">
        <f t="shared" ref="N4079:N4082" si="3801">$H4079&amp;""</f>
        <v>7/2</v>
      </c>
      <c r="O4079">
        <v>71592.34</v>
      </c>
      <c r="P4079" t="str">
        <f t="shared" ref="P4079:P4082" si="3802">$J4079&amp;""</f>
        <v>o</v>
      </c>
      <c r="Q4079" t="str">
        <f t="shared" ref="Q4079:Q4082" si="3803">$K4079&amp;""</f>
        <v>9/2</v>
      </c>
      <c r="R4079">
        <v>37</v>
      </c>
      <c r="AA4079" s="10">
        <f t="shared" si="3749"/>
        <v>2248.83</v>
      </c>
      <c r="AB4079" s="3">
        <f t="shared" si="3750"/>
        <v>44453.79</v>
      </c>
      <c r="AC4079" s="3" cm="1">
        <f t="array" ref="AC4079">100000000/LvacE(AA4079)</f>
        <v>44453.785289862732</v>
      </c>
      <c r="AD4079" s="10">
        <f t="shared" si="3751"/>
        <v>1.4883758507726847E-2</v>
      </c>
      <c r="AE4079" s="10" t="b">
        <f t="shared" si="3752"/>
        <v>1</v>
      </c>
      <c r="AJ4079" t="s">
        <v>4723</v>
      </c>
      <c r="AK4079" t="s">
        <v>4881</v>
      </c>
      <c r="AL4079">
        <v>27138.55</v>
      </c>
      <c r="AM4079">
        <v>71592.34</v>
      </c>
      <c r="AN4079" s="10" cm="1">
        <f t="array" ref="AN4079">Lair(100000000/($AM4079-$AL4079))</f>
        <v>2248.8297686218548</v>
      </c>
      <c r="AO4079" s="10">
        <f t="shared" ref="AO4079:AO4082" si="3804">100000000/($AM4079-$AL4079)</f>
        <v>2249.5269807141308</v>
      </c>
      <c r="AP4079" s="12">
        <v>33200000</v>
      </c>
      <c r="AQ4079" s="3">
        <v>0.10100000000000001</v>
      </c>
      <c r="AR4079" s="3">
        <f t="shared" ref="AR4079:AR4081" si="3805">LN(AU4079*100000000/($AM4079-$AL4079)/AP4079)</f>
        <v>-6.7649237262200961</v>
      </c>
      <c r="AS4079" s="13">
        <f t="shared" ref="AS4079:AS4082" si="3806">EXP(AR$4341*$AM4079+AR$4342)*$AP4079/(100000000/($AM4079-$AL4079))</f>
        <v>6.0558667582505255</v>
      </c>
      <c r="AT4079" s="3">
        <f t="shared" ref="AT4079:AT4081" si="3807">LN(AS4079/$C4079)</f>
        <v>1.1078803337232765</v>
      </c>
      <c r="AU4079" s="13" cm="1">
        <f t="array" ref="AU4079">$C4079*EXP(poly_from_str(100000000/$E4079,AU$4343))</f>
        <v>17.02463589580082</v>
      </c>
      <c r="AV4079" s="13">
        <f t="shared" ref="AV4079:AV4081" si="3808">LN(AS4079/AU4079)</f>
        <v>-1.0336339510802435</v>
      </c>
      <c r="AW4079" s="13"/>
      <c r="AX4079" s="13"/>
      <c r="AY4079" s="13"/>
    </row>
    <row r="4080" spans="1:51" x14ac:dyDescent="0.25">
      <c r="A4080">
        <v>2248.6770000000001</v>
      </c>
      <c r="B4080" s="2" t="str">
        <f t="shared" si="3748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3800"/>
        <v>e</v>
      </c>
      <c r="N4080" t="str">
        <f t="shared" si="3801"/>
        <v>13/2</v>
      </c>
      <c r="O4080">
        <v>63816.91</v>
      </c>
      <c r="P4080" t="str">
        <f t="shared" si="3802"/>
        <v>o</v>
      </c>
      <c r="Q4080" t="str">
        <f t="shared" si="3803"/>
        <v>11/2</v>
      </c>
      <c r="R4080">
        <v>37</v>
      </c>
      <c r="AA4080" s="10">
        <f t="shared" si="3749"/>
        <v>2248.6770000000001</v>
      </c>
      <c r="AB4080" s="3">
        <f t="shared" si="3750"/>
        <v>44456.81</v>
      </c>
      <c r="AC4080" s="3" cm="1">
        <f t="array" ref="AC4080">100000000/LvacE(AA4080)</f>
        <v>44456.809636938742</v>
      </c>
      <c r="AD4080" s="10">
        <f t="shared" si="3751"/>
        <v>1.4885103471271938E-2</v>
      </c>
      <c r="AE4080" s="10" t="b">
        <f t="shared" si="3752"/>
        <v>1</v>
      </c>
      <c r="AJ4080" t="s">
        <v>4748</v>
      </c>
      <c r="AK4080" t="s">
        <v>4928</v>
      </c>
      <c r="AL4080">
        <v>19360.099999999999</v>
      </c>
      <c r="AM4080">
        <v>63816.91</v>
      </c>
      <c r="AN4080" s="10" cm="1">
        <f t="array" ref="AN4080">Lair(100000000/($AM4080-$AL4080))</f>
        <v>2248.6769885602148</v>
      </c>
      <c r="AO4080" s="10">
        <f t="shared" si="3804"/>
        <v>2249.3741678721435</v>
      </c>
      <c r="AP4080" s="12">
        <v>117000000</v>
      </c>
      <c r="AQ4080" s="3">
        <v>0.14899999999999999</v>
      </c>
      <c r="AR4080" s="3">
        <f t="shared" si="3805"/>
        <v>-6.636957709586941</v>
      </c>
      <c r="AS4080" s="13">
        <f t="shared" si="3806"/>
        <v>38.25370180360747</v>
      </c>
      <c r="AT4080" s="3">
        <f t="shared" si="3807"/>
        <v>1.5647987930891865</v>
      </c>
      <c r="AU4080" s="13" cm="1">
        <f t="array" ref="AU4080">$C4080*EXP(poly_from_str(100000000/$E4080,AU$4343))</f>
        <v>68.191469356675654</v>
      </c>
      <c r="AV4080" s="13">
        <f t="shared" si="3808"/>
        <v>-0.57807913951020351</v>
      </c>
      <c r="AW4080" s="13"/>
      <c r="AX4080" s="13"/>
      <c r="AY4080" s="13"/>
    </row>
    <row r="4081" spans="1:51" x14ac:dyDescent="0.25">
      <c r="A4081">
        <v>2247.7069999999999</v>
      </c>
      <c r="B4081" s="2" t="str">
        <f t="shared" si="3748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3800"/>
        <v>e</v>
      </c>
      <c r="N4081" t="str">
        <f t="shared" si="3801"/>
        <v>1/2</v>
      </c>
      <c r="O4081">
        <v>83025.91</v>
      </c>
      <c r="P4081" t="str">
        <f t="shared" si="3802"/>
        <v>o</v>
      </c>
      <c r="Q4081" t="str">
        <f t="shared" si="3803"/>
        <v>3/2</v>
      </c>
      <c r="R4081">
        <v>37</v>
      </c>
      <c r="AA4081" s="10">
        <f t="shared" si="3749"/>
        <v>2247.7069999999999</v>
      </c>
      <c r="AB4081" s="3">
        <f t="shared" si="3750"/>
        <v>44475.99</v>
      </c>
      <c r="AC4081" s="3" cm="1">
        <f t="array" ref="AC4081">100000000/LvacE(AA4081)</f>
        <v>44475.993179778954</v>
      </c>
      <c r="AD4081" s="10">
        <f t="shared" si="3751"/>
        <v>1.4893636755097295E-2</v>
      </c>
      <c r="AE4081" s="10" t="b">
        <f t="shared" si="3752"/>
        <v>1</v>
      </c>
      <c r="AJ4081" t="s">
        <v>4704</v>
      </c>
      <c r="AK4081" t="s">
        <v>4884</v>
      </c>
      <c r="AL4081">
        <v>38549.9</v>
      </c>
      <c r="AM4081">
        <v>83025.91</v>
      </c>
      <c r="AN4081" s="10" cm="1">
        <f t="array" ref="AN4081">Lair(100000000/($AM4081-$AL4081))</f>
        <v>2247.706156823258</v>
      </c>
      <c r="AO4081" s="10">
        <f t="shared" si="3804"/>
        <v>2248.4031278884954</v>
      </c>
      <c r="AP4081" s="12">
        <v>22600000</v>
      </c>
      <c r="AQ4081" s="3">
        <v>8.3000000000000004E-2</v>
      </c>
      <c r="AR4081" s="3">
        <f t="shared" si="3805"/>
        <v>-7.0639126997970374</v>
      </c>
      <c r="AS4081" s="13">
        <f t="shared" si="3806"/>
        <v>1.7487038952534113</v>
      </c>
      <c r="AT4081" s="3">
        <f t="shared" si="3807"/>
        <v>0.55887488224881254</v>
      </c>
      <c r="AU4081" s="13" cm="1">
        <f t="array" ref="AU4081">$C4081*EXP(poly_from_str(100000000/$E4081,AU$4343))</f>
        <v>8.5983664896719212</v>
      </c>
      <c r="AV4081" s="13">
        <f t="shared" si="3808"/>
        <v>-1.5926973599077769</v>
      </c>
      <c r="AW4081" s="13"/>
      <c r="AX4081" s="13"/>
      <c r="AY4081" s="13"/>
    </row>
    <row r="4082" spans="1:51" x14ac:dyDescent="0.25">
      <c r="A4082">
        <v>2247.1439999999998</v>
      </c>
      <c r="B4082" s="2" t="str">
        <f t="shared" si="3748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3800"/>
        <v>e</v>
      </c>
      <c r="N4082" t="str">
        <f t="shared" si="3801"/>
        <v>9/2</v>
      </c>
      <c r="O4082">
        <v>68331.73</v>
      </c>
      <c r="P4082" t="str">
        <f t="shared" si="3802"/>
        <v>o</v>
      </c>
      <c r="Q4082" t="str">
        <f t="shared" si="3803"/>
        <v>7/2</v>
      </c>
      <c r="R4082">
        <v>37</v>
      </c>
      <c r="AA4082" s="10">
        <f t="shared" si="3749"/>
        <v>2247.1439999999998</v>
      </c>
      <c r="AB4082" s="3">
        <f t="shared" si="3750"/>
        <v>44487.13</v>
      </c>
      <c r="AC4082" s="3" cm="1">
        <f t="array" ref="AC4082">100000000/LvacE(AA4082)</f>
        <v>44487.135139646634</v>
      </c>
      <c r="AD4082" s="10">
        <f t="shared" si="3751"/>
        <v>1.4898594647171394E-2</v>
      </c>
      <c r="AE4082" s="10" t="b">
        <f t="shared" si="3752"/>
        <v>1</v>
      </c>
      <c r="AJ4082" t="s">
        <v>4763</v>
      </c>
      <c r="AK4082" t="s">
        <v>4923</v>
      </c>
      <c r="AL4082">
        <v>23844.58</v>
      </c>
      <c r="AM4082">
        <v>68331.75</v>
      </c>
      <c r="AN4082" s="10" cm="1">
        <f t="array" ref="AN4082">Lair(100000000/($AM4082-$AL4082))</f>
        <v>2247.1422459335531</v>
      </c>
      <c r="AO4082" s="10">
        <f t="shared" si="3804"/>
        <v>2247.8390960809602</v>
      </c>
      <c r="AP4082" s="12">
        <v>63100000</v>
      </c>
      <c r="AQ4082" s="3">
        <v>4.7E-2</v>
      </c>
      <c r="AR4082" s="3"/>
      <c r="AS4082" s="13">
        <f t="shared" si="3806"/>
        <v>14.711738801691729</v>
      </c>
      <c r="AT4082" s="3"/>
      <c r="AU4082" s="13" cm="1">
        <f t="array" ref="AU4082">$C4082*EXP(poly_from_str(100000000/$E4082,AU$4343))</f>
        <v>8.6421280457861389</v>
      </c>
      <c r="AV4082" s="13"/>
      <c r="AW4082" s="13"/>
      <c r="AX4082" s="13"/>
      <c r="AY4082" s="13"/>
    </row>
    <row r="4083" spans="1:51" x14ac:dyDescent="0.25">
      <c r="A4083">
        <v>2247.0030000000002</v>
      </c>
      <c r="B4083" s="2" t="str">
        <f t="shared" si="3748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3749"/>
        <v>2247.0030000000002</v>
      </c>
      <c r="AB4083" s="3">
        <f t="shared" si="3750"/>
        <v>44489.93</v>
      </c>
      <c r="AC4083" s="3" cm="1">
        <f t="array" ref="AC4083">100000000/LvacE(AA4083)</f>
        <v>44489.926451277803</v>
      </c>
      <c r="AD4083" s="10">
        <f t="shared" si="3751"/>
        <v>1.4899836905263988E-2</v>
      </c>
      <c r="AE4083" s="10" t="b">
        <f t="shared" si="3752"/>
        <v>1</v>
      </c>
      <c r="AP4083"/>
      <c r="AQ4083"/>
      <c r="AU4083" s="13" cm="1">
        <f t="array" ref="AU4083">$C4083*EXP(poly_from_str(100000000/$E4083,AU$4343))</f>
        <v>43.26594608172875</v>
      </c>
    </row>
    <row r="4084" spans="1:51" x14ac:dyDescent="0.25">
      <c r="A4084">
        <v>2246.866</v>
      </c>
      <c r="B4084" s="2" t="str">
        <f t="shared" si="3748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3749"/>
        <v>2246.866</v>
      </c>
      <c r="AB4084" s="3">
        <f t="shared" si="3750"/>
        <v>44492.639999999999</v>
      </c>
      <c r="AC4084" s="3" cm="1">
        <f t="array" ref="AC4084">100000000/LvacE(AA4084)</f>
        <v>44492.638912259317</v>
      </c>
      <c r="AD4084" s="10">
        <f t="shared" si="3751"/>
        <v>1.4901044145992533E-2</v>
      </c>
      <c r="AE4084" s="10" t="b">
        <f t="shared" si="3752"/>
        <v>1</v>
      </c>
      <c r="AJ4084" t="s">
        <v>4797</v>
      </c>
      <c r="AK4084" t="s">
        <v>4852</v>
      </c>
      <c r="AL4084">
        <v>22747.69</v>
      </c>
      <c r="AM4084">
        <v>67240.350000000006</v>
      </c>
      <c r="AN4084" s="10" cm="1">
        <f t="array" ref="AN4084">Lair(100000000/($AM4084-$AL4084))</f>
        <v>2246.8649419568342</v>
      </c>
      <c r="AO4084" s="10">
        <f>100000000/($AM4084-$AL4084)</f>
        <v>2247.5617326543297</v>
      </c>
      <c r="AP4084" s="12">
        <v>196000000</v>
      </c>
      <c r="AQ4084" s="3">
        <v>0.33300000000000002</v>
      </c>
      <c r="AR4084" s="3">
        <f>LN(AU4084*100000000/($AM4084-$AL4084)/AP4084)</f>
        <v>-7.2709467167642376</v>
      </c>
      <c r="AS4084" s="13">
        <f>EXP(AR$4341*$AM4084+AR$4342)*$AP4084/(100000000/($AM4084-$AL4084))</f>
        <v>49.603879937511657</v>
      </c>
      <c r="AT4084" s="3">
        <f>LN(AS4084/$C4084)</f>
        <v>1.9581589061627942</v>
      </c>
      <c r="AU4084" s="13" cm="1">
        <f t="array" ref="AU4084">$C4084*EXP(poly_from_str(100000000/$E4084,AU$4343))</f>
        <v>60.647430424166394</v>
      </c>
      <c r="AV4084" s="13">
        <f>LN(AS4084/AU4084)</f>
        <v>-0.20100821198946001</v>
      </c>
      <c r="AW4084" s="13"/>
      <c r="AX4084" s="13"/>
      <c r="AY4084" s="13"/>
    </row>
    <row r="4085" spans="1:51" x14ac:dyDescent="0.25">
      <c r="A4085">
        <v>2246.7930000000001</v>
      </c>
      <c r="B4085" s="2" t="str">
        <f t="shared" si="3748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3749"/>
        <v>2246.7930000000001</v>
      </c>
      <c r="AB4085" s="3">
        <f t="shared" si="3750"/>
        <v>44494.080000000002</v>
      </c>
      <c r="AC4085" s="3" cm="1">
        <f t="array" ref="AC4085">100000000/LvacE(AA4085)</f>
        <v>44494.084373245336</v>
      </c>
      <c r="AD4085" s="10">
        <f t="shared" si="3751"/>
        <v>1.4901687510430497E-2</v>
      </c>
      <c r="AE4085" s="10" t="b">
        <f t="shared" si="3752"/>
        <v>1</v>
      </c>
      <c r="AP4085"/>
      <c r="AQ4085"/>
      <c r="AU4085" s="13" cm="1">
        <f t="array" ref="AU4085">$C4085*EXP(poly_from_str(100000000/$E4085,AU$4343))</f>
        <v>8.669629409429831</v>
      </c>
    </row>
    <row r="4086" spans="1:51" x14ac:dyDescent="0.25">
      <c r="A4086">
        <v>2246.7330000000002</v>
      </c>
      <c r="B4086" s="2" t="str">
        <f t="shared" si="3748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3809">$G4086&amp;""</f>
        <v>e</v>
      </c>
      <c r="N4086" t="str">
        <f t="shared" ref="N4086:N4087" si="3810">$H4086&amp;""</f>
        <v>9/2</v>
      </c>
      <c r="O4086">
        <v>62558.67</v>
      </c>
      <c r="P4086" t="str">
        <f t="shared" ref="P4086:P4087" si="3811">$J4086&amp;""</f>
        <v>o</v>
      </c>
      <c r="Q4086" t="str">
        <f t="shared" ref="Q4086:Q4087" si="3812">$K4086&amp;""</f>
        <v>11/2</v>
      </c>
      <c r="R4086">
        <v>37</v>
      </c>
      <c r="AA4086" s="10">
        <f t="shared" si="3749"/>
        <v>2246.7330000000002</v>
      </c>
      <c r="AB4086" s="3">
        <f t="shared" si="3750"/>
        <v>44495.27</v>
      </c>
      <c r="AC4086" s="3" cm="1">
        <f t="array" ref="AC4086">100000000/LvacE(AA4086)</f>
        <v>44495.272493685305</v>
      </c>
      <c r="AD4086" s="10">
        <f t="shared" si="3751"/>
        <v>1.4902216350070368E-2</v>
      </c>
      <c r="AE4086" s="10" t="b">
        <f t="shared" si="3752"/>
        <v>1</v>
      </c>
      <c r="AJ4086" t="s">
        <v>4744</v>
      </c>
      <c r="AK4086" t="s">
        <v>4821</v>
      </c>
      <c r="AL4086">
        <v>18063.36</v>
      </c>
      <c r="AM4086">
        <v>62558.67</v>
      </c>
      <c r="AN4086" s="10" cm="1">
        <f t="array" ref="AN4086">Lair(100000000/($AM4086-$AL4086))</f>
        <v>2246.7311129735185</v>
      </c>
      <c r="AO4086" s="10">
        <f t="shared" ref="AO4086:AO4087" si="3813">100000000/($AM4086-$AL4086)</f>
        <v>2247.427874982779</v>
      </c>
      <c r="AP4086" s="12">
        <v>20000000</v>
      </c>
      <c r="AQ4086" s="3">
        <v>6.9000000000000006E-2</v>
      </c>
      <c r="AR4086" s="3">
        <f t="shared" ref="AR4086:AR4087" si="3814">LN(AU4086*100000000/($AM4086-$AL4086)/AP4086)</f>
        <v>-6.2401831506193481</v>
      </c>
      <c r="AS4086" s="13">
        <f t="shared" ref="AS4086:AS4087" si="3815">EXP(AR$4341*$AM4086+AR$4342)*$AP4086/(100000000/($AM4086-$AL4086))</f>
        <v>7.1928763683636951</v>
      </c>
      <c r="AT4086" s="3">
        <f t="shared" ref="AT4086:AT4087" si="3816">LN(AS4086/$C4086)</f>
        <v>1.2799439624066318</v>
      </c>
      <c r="AU4086" s="13" cm="1">
        <f t="array" ref="AU4086">$C4086*EXP(poly_from_str(100000000/$E4086,AU$4343))</f>
        <v>17.348707471331295</v>
      </c>
      <c r="AV4086" s="13">
        <f t="shared" ref="AV4086:AV4087" si="3817">LN(AS4086/AU4086)</f>
        <v>-0.88042686332161901</v>
      </c>
      <c r="AW4086" s="13"/>
      <c r="AX4086" s="13"/>
      <c r="AY4086" s="13"/>
    </row>
    <row r="4087" spans="1:51" x14ac:dyDescent="0.25">
      <c r="A4087">
        <v>2246.0929999999998</v>
      </c>
      <c r="B4087" s="2" t="str">
        <f t="shared" si="3748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3809"/>
        <v>e</v>
      </c>
      <c r="N4087" t="str">
        <f t="shared" si="3810"/>
        <v>11/2</v>
      </c>
      <c r="O4087">
        <v>63816.91</v>
      </c>
      <c r="P4087" t="str">
        <f t="shared" si="3811"/>
        <v>o</v>
      </c>
      <c r="Q4087" t="str">
        <f t="shared" si="3812"/>
        <v>11/2</v>
      </c>
      <c r="R4087">
        <v>37</v>
      </c>
      <c r="AA4087" s="10">
        <f t="shared" si="3749"/>
        <v>2246.0929999999998</v>
      </c>
      <c r="AB4087" s="3">
        <f t="shared" si="3750"/>
        <v>44507.95</v>
      </c>
      <c r="AC4087" s="3" cm="1">
        <f t="array" ref="AC4087">100000000/LvacE(AA4087)</f>
        <v>44507.9497272152</v>
      </c>
      <c r="AD4087" s="10">
        <f t="shared" si="3751"/>
        <v>1.4907859943291572E-2</v>
      </c>
      <c r="AE4087" s="10" t="b">
        <f t="shared" si="3752"/>
        <v>1</v>
      </c>
      <c r="AJ4087" t="s">
        <v>4813</v>
      </c>
      <c r="AK4087" t="s">
        <v>4928</v>
      </c>
      <c r="AL4087">
        <v>19308.93</v>
      </c>
      <c r="AM4087">
        <v>63816.91</v>
      </c>
      <c r="AN4087" s="10" cm="1">
        <f t="array" ref="AN4087">Lair(100000000/($AM4087-$AL4087))</f>
        <v>2246.091479146949</v>
      </c>
      <c r="AO4087" s="10">
        <f t="shared" si="3813"/>
        <v>2246.7881040658326</v>
      </c>
      <c r="AP4087" s="12">
        <v>202000000</v>
      </c>
      <c r="AQ4087" s="3">
        <v>0.249</v>
      </c>
      <c r="AR4087" s="3">
        <f t="shared" si="3814"/>
        <v>-7.1608900220968703</v>
      </c>
      <c r="AS4087" s="13">
        <f t="shared" si="3815"/>
        <v>66.120870626498188</v>
      </c>
      <c r="AT4087" s="3">
        <f t="shared" si="3816"/>
        <v>2.1120428985562043</v>
      </c>
      <c r="AU4087" s="13" cm="1">
        <f t="array" ref="AU4087">$C4087*EXP(poly_from_str(100000000/$E4087,AU$4343))</f>
        <v>69.799808571528018</v>
      </c>
      <c r="AV4087" s="13">
        <f t="shared" si="3817"/>
        <v>-5.4146827000273762E-2</v>
      </c>
      <c r="AW4087" s="13"/>
      <c r="AX4087" s="13"/>
      <c r="AY4087" s="13"/>
    </row>
    <row r="4088" spans="1:51" x14ac:dyDescent="0.25">
      <c r="A4088">
        <v>2246.0030000000002</v>
      </c>
      <c r="B4088" s="2" t="str">
        <f t="shared" si="3748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3749"/>
        <v>2246.0030000000002</v>
      </c>
      <c r="AB4088" s="3">
        <f t="shared" si="3750"/>
        <v>44509.73</v>
      </c>
      <c r="AC4088" s="3" cm="1">
        <f t="array" ref="AC4088">100000000/LvacE(AA4088)</f>
        <v>44509.733042487911</v>
      </c>
      <c r="AD4088" s="10">
        <f t="shared" si="3751"/>
        <v>1.4908653960499587E-2</v>
      </c>
      <c r="AE4088" s="10" t="b">
        <f t="shared" si="3752"/>
        <v>1</v>
      </c>
      <c r="AP4088"/>
      <c r="AQ4088"/>
      <c r="AU4088" s="13" cm="1">
        <f t="array" ref="AU4088">$C4088*EXP(poly_from_str(100000000/$E4088,AU$4343))</f>
        <v>8.7321238945728066</v>
      </c>
    </row>
    <row r="4089" spans="1:51" x14ac:dyDescent="0.25">
      <c r="A4089">
        <v>2245.761</v>
      </c>
      <c r="B4089" s="2" t="str">
        <f t="shared" si="3748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3749"/>
        <v>2245.761</v>
      </c>
      <c r="AB4089" s="3">
        <f t="shared" si="3750"/>
        <v>44514.53</v>
      </c>
      <c r="AC4089" s="3" cm="1">
        <f t="array" ref="AC4089">100000000/LvacE(AA4089)</f>
        <v>44514.52888784714</v>
      </c>
      <c r="AD4089" s="10">
        <f t="shared" si="3751"/>
        <v>1.4910789457971516E-2</v>
      </c>
      <c r="AE4089" s="10" t="b">
        <f t="shared" si="3752"/>
        <v>1</v>
      </c>
      <c r="AJ4089" t="s">
        <v>4962</v>
      </c>
      <c r="AK4089" t="s">
        <v>4823</v>
      </c>
      <c r="AL4089">
        <v>19700.900000000001</v>
      </c>
      <c r="AM4089">
        <v>64215.45</v>
      </c>
      <c r="AN4089" s="10" cm="1">
        <f t="array" ref="AN4089">Lair(100000000/($AM4089-$AL4089))</f>
        <v>2245.7599418073542</v>
      </c>
      <c r="AO4089" s="10">
        <f>100000000/($AM4089-$AL4089)</f>
        <v>2246.4564956851191</v>
      </c>
      <c r="AP4089" s="12">
        <v>95400000</v>
      </c>
      <c r="AQ4089" s="3">
        <v>0.23300000000000001</v>
      </c>
      <c r="AR4089" s="3">
        <f>LN(AU4089*100000000/($AM4089-$AL4089)/AP4089)</f>
        <v>-6.5413502023071599</v>
      </c>
      <c r="AS4089" s="13">
        <f>EXP(AR$4341*$AM4089+AR$4342)*$AP4089/(100000000/($AM4089-$AL4089))</f>
        <v>30.311700366550347</v>
      </c>
      <c r="AT4089" s="3">
        <f>LN(AS4089/$C4089)</f>
        <v>1.4656236396342446</v>
      </c>
      <c r="AU4089" s="13" cm="1">
        <f t="array" ref="AU4089">$C4089*EXP(poly_from_str(100000000/$E4089,AU$4343))</f>
        <v>61.260151297622983</v>
      </c>
      <c r="AV4089" s="13">
        <f>LN(AS4089/AU4089)</f>
        <v>-0.70359578247406818</v>
      </c>
      <c r="AW4089" s="13"/>
      <c r="AX4089" s="13"/>
      <c r="AY4089" s="13"/>
    </row>
    <row r="4090" spans="1:51" x14ac:dyDescent="0.25">
      <c r="A4090">
        <v>2245.672</v>
      </c>
      <c r="B4090" s="2" t="str">
        <f t="shared" si="3748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3749"/>
        <v>2245.672</v>
      </c>
      <c r="AB4090" s="3">
        <f t="shared" si="3750"/>
        <v>44516.29</v>
      </c>
      <c r="AC4090" s="3" cm="1">
        <f t="array" ref="AC4090">100000000/LvacE(AA4090)</f>
        <v>44516.292909071766</v>
      </c>
      <c r="AD4090" s="10">
        <f t="shared" si="3751"/>
        <v>1.4911575000505811E-2</v>
      </c>
      <c r="AE4090" s="10" t="b">
        <f t="shared" si="3752"/>
        <v>1</v>
      </c>
      <c r="AP4090"/>
      <c r="AQ4090"/>
      <c r="AU4090" s="13" cm="1">
        <f t="array" ref="AU4090">$C4090*EXP(poly_from_str(100000000/$E4090,AU$4343))</f>
        <v>17.517110556523178</v>
      </c>
    </row>
    <row r="4091" spans="1:51" x14ac:dyDescent="0.25">
      <c r="A4091">
        <v>2245.625</v>
      </c>
      <c r="B4091" s="2" t="str">
        <f t="shared" si="3748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3818">$G4091&amp;""</f>
        <v>e</v>
      </c>
      <c r="N4091" t="str">
        <f t="shared" ref="N4091:N4098" si="3819">$H4091&amp;""</f>
        <v>5/2</v>
      </c>
      <c r="O4091">
        <v>68978.55</v>
      </c>
      <c r="P4091" t="str">
        <f t="shared" ref="P4091:P4098" si="3820">$J4091&amp;""</f>
        <v>o</v>
      </c>
      <c r="Q4091" t="str">
        <f t="shared" ref="Q4091:Q4098" si="3821">$K4091&amp;""</f>
        <v>5/2</v>
      </c>
      <c r="R4091">
        <v>37</v>
      </c>
      <c r="AA4091" s="10">
        <f t="shared" si="3749"/>
        <v>2245.625</v>
      </c>
      <c r="AB4091" s="3">
        <f t="shared" si="3750"/>
        <v>44517.22</v>
      </c>
      <c r="AC4091" s="3" cm="1">
        <f t="array" ref="AC4091">100000000/LvacE(AA4091)</f>
        <v>44517.224527247752</v>
      </c>
      <c r="AD4091" s="10">
        <f t="shared" si="3751"/>
        <v>1.4911989875256944E-2</v>
      </c>
      <c r="AE4091" s="10" t="b">
        <f t="shared" si="3752"/>
        <v>1</v>
      </c>
      <c r="AJ4091" t="s">
        <v>4717</v>
      </c>
      <c r="AK4091" t="s">
        <v>4918</v>
      </c>
      <c r="AL4091">
        <v>24461.24</v>
      </c>
      <c r="AM4091">
        <v>68978.55</v>
      </c>
      <c r="AN4091" s="10" cm="1">
        <f t="array" ref="AN4091">Lair(100000000/($AM4091-$AL4091))</f>
        <v>2245.6206950337173</v>
      </c>
      <c r="AO4091" s="10">
        <f t="shared" ref="AO4091:AO4098" si="3822">100000000/($AM4091-$AL4091)</f>
        <v>2246.3172190772534</v>
      </c>
      <c r="AP4091" s="12">
        <v>21300000</v>
      </c>
      <c r="AQ4091" s="3">
        <v>3.3000000000000002E-2</v>
      </c>
      <c r="AR4091" s="3"/>
      <c r="AS4091" s="13">
        <f t="shared" ref="AS4091:AS4098" si="3823">EXP(AR$4341*$AM4091+AR$4342)*$AP4091/(100000000/($AM4091-$AL4091))</f>
        <v>4.733993136337725</v>
      </c>
      <c r="AT4091" s="3"/>
      <c r="AU4091" s="13" cm="1">
        <f t="array" ref="AU4091">$C4091*EXP(poly_from_str(100000000/$E4091,AU$4343))</f>
        <v>8.7623137537616387</v>
      </c>
      <c r="AV4091" s="13"/>
      <c r="AW4091" s="13"/>
      <c r="AX4091" s="13"/>
      <c r="AY4091" s="13"/>
    </row>
    <row r="4092" spans="1:51" x14ac:dyDescent="0.25">
      <c r="A4092">
        <v>2245.19</v>
      </c>
      <c r="B4092" s="2" t="str">
        <f t="shared" si="3748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3818"/>
        <v>e</v>
      </c>
      <c r="N4092" t="str">
        <f t="shared" si="3819"/>
        <v>5/2</v>
      </c>
      <c r="O4092">
        <v>68987.070000000007</v>
      </c>
      <c r="P4092" t="str">
        <f t="shared" si="3820"/>
        <v>o</v>
      </c>
      <c r="Q4092" t="str">
        <f t="shared" si="3821"/>
        <v>7/2</v>
      </c>
      <c r="R4092">
        <v>37</v>
      </c>
      <c r="AA4092" s="10">
        <f t="shared" si="3749"/>
        <v>2245.19</v>
      </c>
      <c r="AB4092" s="3">
        <f t="shared" si="3750"/>
        <v>44525.85</v>
      </c>
      <c r="AC4092" s="3" cm="1">
        <f t="array" ref="AC4092">100000000/LvacE(AA4092)</f>
        <v>44525.848801477739</v>
      </c>
      <c r="AD4092" s="10">
        <f t="shared" si="3751"/>
        <v>1.4915830909962572E-2</v>
      </c>
      <c r="AE4092" s="10" t="b">
        <f t="shared" si="3752"/>
        <v>1</v>
      </c>
      <c r="AJ4092" t="s">
        <v>4717</v>
      </c>
      <c r="AK4092" t="s">
        <v>4920</v>
      </c>
      <c r="AL4092">
        <v>24461.24</v>
      </c>
      <c r="AM4092">
        <v>68987.070000000007</v>
      </c>
      <c r="AN4092" s="10" cm="1">
        <f t="array" ref="AN4092">Lair(100000000/($AM4092-$AL4092))</f>
        <v>2245.1909551816871</v>
      </c>
      <c r="AO4092" s="10">
        <f t="shared" si="3822"/>
        <v>2245.8873871638102</v>
      </c>
      <c r="AP4092" s="12">
        <v>4330000</v>
      </c>
      <c r="AQ4092" s="3">
        <v>8.0000000000000002E-3</v>
      </c>
      <c r="AR4092" s="3"/>
      <c r="AS4092" s="13">
        <f t="shared" si="3823"/>
        <v>0.96192528278574607</v>
      </c>
      <c r="AT4092" s="3"/>
      <c r="AU4092" s="13" cm="1">
        <f t="array" ref="AU4092">$C4092*EXP(poly_from_str(100000000/$E4092,AU$4343))</f>
        <v>43.98662899412129</v>
      </c>
      <c r="AV4092" s="13"/>
      <c r="AW4092" s="13"/>
      <c r="AX4092" s="13"/>
      <c r="AY4092" s="13"/>
    </row>
    <row r="4093" spans="1:51" x14ac:dyDescent="0.25">
      <c r="A4093">
        <v>2245.0549999999998</v>
      </c>
      <c r="B4093" s="2" t="str">
        <f t="shared" si="3748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3818"/>
        <v>e</v>
      </c>
      <c r="N4093" t="str">
        <f t="shared" si="3819"/>
        <v>7/2</v>
      </c>
      <c r="O4093">
        <v>64401.03</v>
      </c>
      <c r="P4093" t="str">
        <f t="shared" si="3820"/>
        <v>o</v>
      </c>
      <c r="Q4093" t="str">
        <f t="shared" si="3821"/>
        <v>5/2</v>
      </c>
      <c r="R4093">
        <v>37</v>
      </c>
      <c r="AA4093" s="10">
        <f t="shared" si="3749"/>
        <v>2245.0549999999998</v>
      </c>
      <c r="AB4093" s="3">
        <f t="shared" si="3750"/>
        <v>44528.53</v>
      </c>
      <c r="AC4093" s="3" cm="1">
        <f t="array" ref="AC4093">100000000/LvacE(AA4093)</f>
        <v>44528.525979774931</v>
      </c>
      <c r="AD4093" s="10">
        <f t="shared" si="3751"/>
        <v>1.4917023409175931E-2</v>
      </c>
      <c r="AE4093" s="10" t="b">
        <f t="shared" si="3752"/>
        <v>1</v>
      </c>
      <c r="AJ4093" t="s">
        <v>4785</v>
      </c>
      <c r="AK4093" t="s">
        <v>4837</v>
      </c>
      <c r="AL4093">
        <v>19872.43</v>
      </c>
      <c r="AM4093">
        <v>64401.03</v>
      </c>
      <c r="AN4093" s="10" cm="1">
        <f t="array" ref="AN4093">Lair(100000000/($AM4093-$AL4093))</f>
        <v>2245.051274711102</v>
      </c>
      <c r="AO4093" s="10">
        <f t="shared" si="3822"/>
        <v>2245.7476767740286</v>
      </c>
      <c r="AP4093" s="12">
        <v>27100000</v>
      </c>
      <c r="AQ4093" s="3">
        <v>5.8000000000000003E-2</v>
      </c>
      <c r="AR4093" s="3">
        <f t="shared" ref="AR4093:AR4094" si="3824">LN(AU4093*100000000/($AM4093-$AL4093)/AP4093)</f>
        <v>-6.123949612517217</v>
      </c>
      <c r="AS4093" s="13">
        <f t="shared" si="3823"/>
        <v>8.4941469973193087</v>
      </c>
      <c r="AT4093" s="3">
        <f t="shared" ref="AT4093:AT4098" si="3825">LN(AS4093/$C4093)</f>
        <v>1.0407650490915068</v>
      </c>
      <c r="AU4093" s="13" cm="1">
        <f t="array" ref="AU4093">$C4093*EXP(poly_from_str(100000000/$E4093,AU$4343))</f>
        <v>26.424745157645205</v>
      </c>
      <c r="AV4093" s="13">
        <f t="shared" ref="AV4093:AV4094" si="3826">LN(AS4093/AU4093)</f>
        <v>-1.1349235499632448</v>
      </c>
      <c r="AW4093" s="13"/>
      <c r="AX4093" s="13"/>
      <c r="AY4093" s="13"/>
    </row>
    <row r="4094" spans="1:51" x14ac:dyDescent="0.25">
      <c r="A4094">
        <v>2244.9850000000001</v>
      </c>
      <c r="B4094" s="2" t="str">
        <f t="shared" si="3748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3818"/>
        <v>e</v>
      </c>
      <c r="N4094" t="str">
        <f t="shared" si="3819"/>
        <v>9/2</v>
      </c>
      <c r="O4094">
        <v>68374.539999999994</v>
      </c>
      <c r="P4094" t="str">
        <f t="shared" si="3820"/>
        <v>o</v>
      </c>
      <c r="Q4094" t="str">
        <f t="shared" si="3821"/>
        <v>9/2</v>
      </c>
      <c r="R4094">
        <v>37</v>
      </c>
      <c r="AA4094" s="10">
        <f t="shared" si="3749"/>
        <v>2244.9850000000001</v>
      </c>
      <c r="AB4094" s="3">
        <f t="shared" si="3750"/>
        <v>44529.91</v>
      </c>
      <c r="AC4094" s="3" cm="1">
        <f t="array" ref="AC4094">100000000/LvacE(AA4094)</f>
        <v>44529.914273032889</v>
      </c>
      <c r="AD4094" s="10">
        <f t="shared" si="3751"/>
        <v>1.4917641826790132E-2</v>
      </c>
      <c r="AE4094" s="10" t="b">
        <f t="shared" si="3752"/>
        <v>1</v>
      </c>
      <c r="AJ4094" t="s">
        <v>4763</v>
      </c>
      <c r="AK4094" t="s">
        <v>4739</v>
      </c>
      <c r="AL4094">
        <v>23844.58</v>
      </c>
      <c r="AM4094">
        <v>68374.539999999994</v>
      </c>
      <c r="AN4094" s="10" cm="1">
        <f t="array" ref="AN4094">Lair(100000000/($AM4094-$AL4094))</f>
        <v>2244.9827014896805</v>
      </c>
      <c r="AO4094" s="10">
        <f t="shared" si="3822"/>
        <v>2245.6790888651149</v>
      </c>
      <c r="AP4094" s="12">
        <v>177000000</v>
      </c>
      <c r="AQ4094" s="3">
        <v>0.14899999999999999</v>
      </c>
      <c r="AR4094" s="3">
        <f t="shared" si="3824"/>
        <v>-7.3068096055560492</v>
      </c>
      <c r="AS4094" s="13">
        <f t="shared" si="3823"/>
        <v>41.174734719398813</v>
      </c>
      <c r="AT4094" s="3">
        <f t="shared" si="3825"/>
        <v>1.9260653640559098</v>
      </c>
      <c r="AU4094" s="13" cm="1">
        <f t="array" ref="AU4094">$C4094*EXP(poly_from_str(100000000/$E4094,AU$4343))</f>
        <v>52.88329164611136</v>
      </c>
      <c r="AV4094" s="13">
        <f t="shared" si="3826"/>
        <v>-0.25026260779023923</v>
      </c>
      <c r="AW4094" s="13"/>
      <c r="AX4094" s="13"/>
      <c r="AY4094" s="13"/>
    </row>
    <row r="4095" spans="1:51" x14ac:dyDescent="0.25">
      <c r="A4095">
        <v>2244.7440000000001</v>
      </c>
      <c r="B4095" s="2" t="str">
        <f t="shared" si="3748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3818"/>
        <v>e</v>
      </c>
      <c r="N4095" t="str">
        <f t="shared" si="3819"/>
        <v>11/2</v>
      </c>
      <c r="O4095">
        <v>64235.61</v>
      </c>
      <c r="P4095" t="str">
        <f t="shared" si="3820"/>
        <v>o</v>
      </c>
      <c r="Q4095" t="str">
        <f t="shared" si="3821"/>
        <v>9/2</v>
      </c>
      <c r="R4095">
        <v>37</v>
      </c>
      <c r="AA4095" s="10">
        <f t="shared" si="3749"/>
        <v>2244.7440000000001</v>
      </c>
      <c r="AB4095" s="3">
        <f t="shared" si="3750"/>
        <v>44534.69</v>
      </c>
      <c r="AC4095" s="3" cm="1">
        <f t="array" ref="AC4095">100000000/LvacE(AA4095)</f>
        <v>44534.694630461338</v>
      </c>
      <c r="AD4095" s="10">
        <f t="shared" si="3751"/>
        <v>1.4919771392742632E-2</v>
      </c>
      <c r="AE4095" s="10" t="b">
        <f t="shared" si="3752"/>
        <v>1</v>
      </c>
      <c r="AJ4095" t="s">
        <v>4962</v>
      </c>
      <c r="AK4095" t="s">
        <v>4842</v>
      </c>
      <c r="AL4095">
        <v>19700.900000000001</v>
      </c>
      <c r="AM4095">
        <v>64235.61</v>
      </c>
      <c r="AN4095" s="10" cm="1">
        <f t="array" ref="AN4095">Lair(100000000/($AM4095-$AL4095))</f>
        <v>2244.7432322846844</v>
      </c>
      <c r="AO4095" s="10">
        <f t="shared" si="3822"/>
        <v>2245.4395683726243</v>
      </c>
      <c r="AP4095" s="12">
        <v>4860000</v>
      </c>
      <c r="AQ4095" s="3">
        <v>1.2E-2</v>
      </c>
      <c r="AR4095" s="3"/>
      <c r="AS4095" s="13">
        <f t="shared" si="3823"/>
        <v>1.5425447513180193</v>
      </c>
      <c r="AT4095" s="3"/>
      <c r="AU4095" s="13" cm="1">
        <f t="array" ref="AU4095">$C4095*EXP(poly_from_str(100000000/$E4095,AU$4343))</f>
        <v>8.833443948573386</v>
      </c>
      <c r="AV4095" s="13"/>
      <c r="AW4095" s="13"/>
      <c r="AX4095" s="13"/>
      <c r="AY4095" s="13"/>
    </row>
    <row r="4096" spans="1:51" x14ac:dyDescent="0.25">
      <c r="A4096">
        <v>2244.453</v>
      </c>
      <c r="B4096" s="2" t="str">
        <f t="shared" si="3748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3818"/>
        <v>e</v>
      </c>
      <c r="N4096" t="str">
        <f t="shared" si="3819"/>
        <v>9/2</v>
      </c>
      <c r="O4096">
        <v>84410.63</v>
      </c>
      <c r="P4096" t="str">
        <f t="shared" si="3820"/>
        <v>o</v>
      </c>
      <c r="Q4096" t="str">
        <f t="shared" si="3821"/>
        <v>9/2</v>
      </c>
      <c r="R4096">
        <v>37</v>
      </c>
      <c r="AA4096" s="10">
        <f t="shared" si="3749"/>
        <v>2244.453</v>
      </c>
      <c r="AB4096" s="3">
        <f t="shared" si="3750"/>
        <v>44540.47</v>
      </c>
      <c r="AC4096" s="3" cm="1">
        <f t="array" ref="AC4096">100000000/LvacE(AA4096)</f>
        <v>44540.468131166075</v>
      </c>
      <c r="AD4096" s="10">
        <f t="shared" si="3751"/>
        <v>1.4922343691573421E-2</v>
      </c>
      <c r="AE4096" s="10" t="b">
        <f t="shared" si="3752"/>
        <v>1</v>
      </c>
      <c r="AJ4096" t="s">
        <v>4731</v>
      </c>
      <c r="AK4096" t="s">
        <v>4933</v>
      </c>
      <c r="AL4096">
        <v>39870.17</v>
      </c>
      <c r="AM4096">
        <v>84410.63</v>
      </c>
      <c r="AN4096" s="10" cm="1">
        <f t="array" ref="AN4096">Lair(100000000/($AM4096-$AL4096))</f>
        <v>2244.4534168399373</v>
      </c>
      <c r="AO4096" s="10">
        <f t="shared" si="3822"/>
        <v>2245.1496908653389</v>
      </c>
      <c r="AP4096" s="12">
        <v>969000000</v>
      </c>
      <c r="AQ4096" s="3">
        <v>0.76800000000000002</v>
      </c>
      <c r="AR4096" s="3">
        <f t="shared" ref="AR4096:AR4098" si="3827">LN(AU4096*100000000/($AM4096-$AL4096)/AP4096)</f>
        <v>-8.8481068917219758</v>
      </c>
      <c r="AS4096" s="13">
        <f t="shared" si="3823"/>
        <v>67.675138727428148</v>
      </c>
      <c r="AT4096" s="3">
        <f t="shared" si="3825"/>
        <v>2.2688087363495355</v>
      </c>
      <c r="AU4096" s="13" cm="1">
        <f t="array" ref="AU4096">$C4096*EXP(poly_from_str(100000000/$E4096,AU$4343))</f>
        <v>62.000397897987071</v>
      </c>
      <c r="AV4096" s="13">
        <f t="shared" ref="AV4096:AV4098" si="3828">LN(AS4096/AU4096)</f>
        <v>8.7578082670881838E-2</v>
      </c>
      <c r="AW4096" s="13"/>
      <c r="AX4096" s="13"/>
      <c r="AY4096" s="13"/>
    </row>
    <row r="4097" spans="1:51" x14ac:dyDescent="0.25">
      <c r="A4097">
        <v>2244.4050000000002</v>
      </c>
      <c r="B4097" s="2" t="str">
        <f t="shared" si="3748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3818"/>
        <v>e</v>
      </c>
      <c r="N4097" t="str">
        <f t="shared" si="3819"/>
        <v>9/2</v>
      </c>
      <c r="O4097">
        <v>64857.15</v>
      </c>
      <c r="P4097" t="str">
        <f t="shared" si="3820"/>
        <v>o</v>
      </c>
      <c r="Q4097" t="str">
        <f t="shared" si="3821"/>
        <v>9/2</v>
      </c>
      <c r="R4097">
        <v>37</v>
      </c>
      <c r="AA4097" s="10">
        <f t="shared" si="3749"/>
        <v>2244.4050000000002</v>
      </c>
      <c r="AB4097" s="3">
        <f t="shared" si="3750"/>
        <v>44541.42</v>
      </c>
      <c r="AC4097" s="3" cm="1">
        <f t="array" ref="AC4097">100000000/LvacE(AA4097)</f>
        <v>44541.420604991261</v>
      </c>
      <c r="AD4097" s="10">
        <f t="shared" si="3751"/>
        <v>1.4922768084412407E-2</v>
      </c>
      <c r="AE4097" s="10" t="b">
        <f t="shared" si="3752"/>
        <v>1</v>
      </c>
      <c r="AJ4097" t="s">
        <v>4964</v>
      </c>
      <c r="AK4097" t="s">
        <v>4854</v>
      </c>
      <c r="AL4097">
        <v>20315.650000000001</v>
      </c>
      <c r="AM4097">
        <v>64857.15</v>
      </c>
      <c r="AN4097" s="10" cm="1">
        <f t="array" ref="AN4097">Lair(100000000/($AM4097-$AL4097))</f>
        <v>2244.4010060363844</v>
      </c>
      <c r="AO4097" s="10">
        <f t="shared" si="3822"/>
        <v>2245.0972688391726</v>
      </c>
      <c r="AP4097" s="12">
        <v>114000000</v>
      </c>
      <c r="AQ4097" s="3">
        <v>0.40400000000000003</v>
      </c>
      <c r="AR4097" s="3">
        <f t="shared" si="3827"/>
        <v>-6.7076221463876111</v>
      </c>
      <c r="AS4097" s="13">
        <f t="shared" si="3823"/>
        <v>34.539423771453897</v>
      </c>
      <c r="AT4097" s="3">
        <f t="shared" si="3825"/>
        <v>1.5961912405898913</v>
      </c>
      <c r="AU4097" s="13" cm="1">
        <f t="array" ref="AU4097">$C4097*EXP(poly_from_str(100000000/$E4097,AU$4343))</f>
        <v>62.027803858739503</v>
      </c>
      <c r="AV4097" s="13">
        <f t="shared" si="3828"/>
        <v>-0.58548134421104425</v>
      </c>
      <c r="AW4097" s="13"/>
      <c r="AX4097" s="13"/>
      <c r="AY4097" s="13"/>
    </row>
    <row r="4098" spans="1:51" x14ac:dyDescent="0.25">
      <c r="A4098">
        <v>2243.4850000000001</v>
      </c>
      <c r="B4098" s="2" t="str">
        <f t="shared" ref="B4098:B4161" si="3829">IF(OR(A4098=A4097,A4098=A4099),IF(B4097="",1,B4097+1),"")</f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3818"/>
        <v>e</v>
      </c>
      <c r="N4098" t="str">
        <f t="shared" si="3819"/>
        <v>9/2</v>
      </c>
      <c r="O4098">
        <v>84430.98</v>
      </c>
      <c r="P4098" t="str">
        <f t="shared" si="3820"/>
        <v>o</v>
      </c>
      <c r="Q4098" t="str">
        <f t="shared" si="3821"/>
        <v>7/2</v>
      </c>
      <c r="R4098">
        <v>37</v>
      </c>
      <c r="AA4098" s="10">
        <f t="shared" si="3749"/>
        <v>2243.4850000000001</v>
      </c>
      <c r="AB4098" s="3">
        <f t="shared" si="3750"/>
        <v>44559.68</v>
      </c>
      <c r="AC4098" s="3" cm="1">
        <f t="array" ref="AC4098">100000000/LvacE(AA4098)</f>
        <v>44559.684228497717</v>
      </c>
      <c r="AD4098" s="10">
        <f t="shared" si="3751"/>
        <v>1.4930907545291749E-2</v>
      </c>
      <c r="AE4098" s="10" t="b">
        <f t="shared" si="3752"/>
        <v>1</v>
      </c>
      <c r="AJ4098" t="s">
        <v>4731</v>
      </c>
      <c r="AK4098" t="s">
        <v>4915</v>
      </c>
      <c r="AL4098">
        <v>39870.17</v>
      </c>
      <c r="AM4098">
        <v>84430.98</v>
      </c>
      <c r="AN4098" s="10" cm="1">
        <f t="array" ref="AN4098">Lair(100000000/($AM4098-$AL4098))</f>
        <v>2243.4283228775535</v>
      </c>
      <c r="AO4098" s="10">
        <f t="shared" si="3822"/>
        <v>2244.1243774518462</v>
      </c>
      <c r="AP4098" s="12">
        <v>105000000</v>
      </c>
      <c r="AQ4098" s="3">
        <v>0.44700000000000001</v>
      </c>
      <c r="AR4098" s="3">
        <f t="shared" si="3827"/>
        <v>-8.5632051335896904</v>
      </c>
      <c r="AS4098" s="13">
        <f t="shared" si="3823"/>
        <v>7.3253739568414282</v>
      </c>
      <c r="AT4098" s="3">
        <f t="shared" si="3825"/>
        <v>1.991344205728538</v>
      </c>
      <c r="AU4098" s="13" cm="1">
        <f t="array" ref="AU4098">$C4098*EXP(poly_from_str(100000000/$E4098,AU$4343))</f>
        <v>8.9369563907129628</v>
      </c>
      <c r="AV4098" s="13">
        <f t="shared" si="3828"/>
        <v>-0.19885087702503748</v>
      </c>
      <c r="AW4098" s="13"/>
      <c r="AX4098" s="13"/>
      <c r="AY4098" s="13"/>
    </row>
    <row r="4099" spans="1:51" x14ac:dyDescent="0.25">
      <c r="A4099">
        <v>2242.9340000000002</v>
      </c>
      <c r="B4099" s="2" t="str">
        <f t="shared" si="3829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3830">ROUND($A4099,3)+0</f>
        <v>2242.9340000000002</v>
      </c>
      <c r="AB4099" s="3">
        <f t="shared" ref="AB4099:AB4162" si="3831">ROUND($E4099,2)+0</f>
        <v>44570.63</v>
      </c>
      <c r="AC4099" s="3" cm="1">
        <f t="array" ref="AC4099">100000000/LvacE(AA4099)</f>
        <v>44570.629723096812</v>
      </c>
      <c r="AD4099" s="10">
        <f t="shared" ref="AD4099:AD4162" si="3832">0.0005/$AA4099*AC4099+0.005</f>
        <v>1.4935787170531279E-2</v>
      </c>
      <c r="AE4099" s="10" t="b">
        <f t="shared" ref="AE4099:AE4162" si="3833">ABS(AB4099-AC4099)&lt;AD4099</f>
        <v>1</v>
      </c>
      <c r="AP4099"/>
      <c r="AQ4099"/>
      <c r="AU4099" s="13" cm="1">
        <f t="array" ref="AU4099">$C4099*EXP(poly_from_str(100000000/$E4099,AU$4343))</f>
        <v>8.9829779569053567</v>
      </c>
    </row>
    <row r="4100" spans="1:51" x14ac:dyDescent="0.25">
      <c r="A4100">
        <v>2242.69</v>
      </c>
      <c r="B4100" s="2" t="str">
        <f t="shared" si="3829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3830"/>
        <v>2242.69</v>
      </c>
      <c r="AB4100" s="3">
        <f t="shared" si="3831"/>
        <v>44575.48</v>
      </c>
      <c r="AC4100" s="3" cm="1">
        <f t="array" ref="AC4100">100000000/LvacE(AA4100)</f>
        <v>44575.478447610891</v>
      </c>
      <c r="AD4100" s="10">
        <f t="shared" si="3832"/>
        <v>1.4937949169883242E-2</v>
      </c>
      <c r="AE4100" s="10" t="b">
        <f t="shared" si="3833"/>
        <v>1</v>
      </c>
      <c r="AP4100"/>
      <c r="AQ4100"/>
      <c r="AU4100" s="13" cm="1">
        <f t="array" ref="AU4100">$C4100*EXP(poly_from_str(100000000/$E4100,AU$4343))</f>
        <v>9.0034930343370618</v>
      </c>
    </row>
    <row r="4101" spans="1:51" x14ac:dyDescent="0.25">
      <c r="A4101">
        <v>2242.4560000000001</v>
      </c>
      <c r="B4101" s="2" t="str">
        <f t="shared" si="3829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3830"/>
        <v>2242.4560000000001</v>
      </c>
      <c r="AB4101" s="3">
        <f t="shared" si="3831"/>
        <v>44580.13</v>
      </c>
      <c r="AC4101" s="3" cm="1">
        <f t="array" ref="AC4101">100000000/LvacE(AA4101)</f>
        <v>44580.129444890779</v>
      </c>
      <c r="AD4101" s="10">
        <f t="shared" si="3832"/>
        <v>1.4940023225626452E-2</v>
      </c>
      <c r="AE4101" s="10" t="b">
        <f t="shared" si="3833"/>
        <v>1</v>
      </c>
      <c r="AP4101"/>
      <c r="AQ4101"/>
      <c r="AU4101" s="13" cm="1">
        <f t="array" ref="AU4101">$C4101*EXP(poly_from_str(100000000/$E4101,AU$4343))</f>
        <v>81.20914356796726</v>
      </c>
    </row>
    <row r="4102" spans="1:51" x14ac:dyDescent="0.25">
      <c r="A4102">
        <v>2242.415</v>
      </c>
      <c r="B4102" s="2" t="str">
        <f t="shared" si="3829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3830"/>
        <v>2242.415</v>
      </c>
      <c r="AB4102" s="3">
        <f t="shared" si="3831"/>
        <v>44580.94</v>
      </c>
      <c r="AC4102" s="3" cm="1">
        <f t="array" ref="AC4102">100000000/LvacE(AA4102)</f>
        <v>44580.944463134678</v>
      </c>
      <c r="AD4102" s="10">
        <f t="shared" si="3832"/>
        <v>1.4940386695400869E-2</v>
      </c>
      <c r="AE4102" s="10" t="b">
        <f t="shared" si="3833"/>
        <v>1</v>
      </c>
      <c r="AP4102"/>
      <c r="AQ4102"/>
      <c r="AU4102" s="13" cm="1">
        <f t="array" ref="AU4102">$C4102*EXP(poly_from_str(100000000/$E4102,AU$4343))</f>
        <v>36.106741149738092</v>
      </c>
    </row>
    <row r="4103" spans="1:51" x14ac:dyDescent="0.25">
      <c r="A4103">
        <v>2242.1509999999998</v>
      </c>
      <c r="B4103" s="2" t="str">
        <f t="shared" si="3829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3834">$G4103&amp;""</f>
        <v>e</v>
      </c>
      <c r="N4103" t="str">
        <f t="shared" ref="N4103:N4105" si="3835">$H4103&amp;""</f>
        <v>7/2</v>
      </c>
      <c r="O4103">
        <v>63576.27</v>
      </c>
      <c r="P4103" t="str">
        <f t="shared" ref="P4103:P4105" si="3836">$J4103&amp;""</f>
        <v>o</v>
      </c>
      <c r="Q4103" t="str">
        <f t="shared" ref="Q4103:Q4105" si="3837">$K4103&amp;""</f>
        <v>5/2</v>
      </c>
      <c r="R4103">
        <v>37</v>
      </c>
      <c r="AA4103" s="10">
        <f t="shared" si="3830"/>
        <v>2242.1509999999998</v>
      </c>
      <c r="AB4103" s="3">
        <f t="shared" si="3831"/>
        <v>44586.19</v>
      </c>
      <c r="AC4103" s="3" cm="1">
        <f t="array" ref="AC4103">100000000/LvacE(AA4103)</f>
        <v>44586.193099211239</v>
      </c>
      <c r="AD4103" s="10">
        <f t="shared" si="3832"/>
        <v>1.4942727563667935E-2</v>
      </c>
      <c r="AE4103" s="10" t="b">
        <f t="shared" si="3833"/>
        <v>1</v>
      </c>
      <c r="AJ4103" t="s">
        <v>4968</v>
      </c>
      <c r="AK4103" t="s">
        <v>4843</v>
      </c>
      <c r="AL4103">
        <v>18990.080000000002</v>
      </c>
      <c r="AM4103">
        <v>63576.27</v>
      </c>
      <c r="AN4103" s="10" cm="1">
        <f t="array" ref="AN4103">Lair(100000000/($AM4103-$AL4103))</f>
        <v>2242.1511630025002</v>
      </c>
      <c r="AO4103" s="10">
        <f t="shared" ref="AO4103:AO4105" si="3838">100000000/($AM4103-$AL4103)</f>
        <v>2242.8469443116805</v>
      </c>
      <c r="AP4103" s="12">
        <v>782000000</v>
      </c>
      <c r="AQ4103" s="3">
        <v>0.48199999999999998</v>
      </c>
      <c r="AR4103" s="3">
        <f t="shared" ref="AR4103:AR4105" si="3839">LN(AU4103*100000000/($AM4103-$AL4103)/AP4103)</f>
        <v>-8.2566155049931034</v>
      </c>
      <c r="AS4103" s="13">
        <f t="shared" ref="AS4103:AS4105" si="3840">EXP(AR$4341*$AM4103+AR$4342)*$AP4103/(100000000/($AM4103-$AL4103))</f>
        <v>261.09554328485802</v>
      </c>
      <c r="AT4103" s="3">
        <f t="shared" ref="AT4103:AT4105" si="3841">LN(AS4103/$C4103)</f>
        <v>3.2623013135682637</v>
      </c>
      <c r="AU4103" s="13" cm="1">
        <f t="array" ref="AU4103">$C4103*EXP(poly_from_str(100000000/$E4103,AU$4343))</f>
        <v>90.490828078219806</v>
      </c>
      <c r="AV4103" s="13">
        <f t="shared" ref="AV4103:AV4105" si="3842">LN(AS4103/AU4103)</f>
        <v>1.0596379081943947</v>
      </c>
      <c r="AW4103" s="13"/>
      <c r="AX4103" s="13"/>
      <c r="AY4103" s="13"/>
    </row>
    <row r="4104" spans="1:51" x14ac:dyDescent="0.25">
      <c r="A4104">
        <v>2241.989</v>
      </c>
      <c r="B4104" s="2" t="str">
        <f t="shared" si="3829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3834"/>
        <v>e</v>
      </c>
      <c r="N4104" t="str">
        <f t="shared" si="3835"/>
        <v>3/2</v>
      </c>
      <c r="O4104">
        <v>66867.09</v>
      </c>
      <c r="P4104" t="str">
        <f t="shared" si="3836"/>
        <v>o</v>
      </c>
      <c r="Q4104" t="str">
        <f t="shared" si="3837"/>
        <v>3/2</v>
      </c>
      <c r="R4104">
        <v>37</v>
      </c>
      <c r="AA4104" s="10">
        <f t="shared" si="3830"/>
        <v>2241.989</v>
      </c>
      <c r="AB4104" s="3">
        <f t="shared" si="3831"/>
        <v>44589.41</v>
      </c>
      <c r="AC4104" s="3" cm="1">
        <f t="array" ref="AC4104">100000000/LvacE(AA4104)</f>
        <v>44589.414465013877</v>
      </c>
      <c r="AD4104" s="10">
        <f t="shared" si="3832"/>
        <v>1.4944164414948932E-2</v>
      </c>
      <c r="AE4104" s="10" t="b">
        <f t="shared" si="3833"/>
        <v>1</v>
      </c>
      <c r="AJ4104" t="s">
        <v>4766</v>
      </c>
      <c r="AK4104" t="s">
        <v>4867</v>
      </c>
      <c r="AL4104">
        <v>22277.66</v>
      </c>
      <c r="AM4104">
        <v>66867.09</v>
      </c>
      <c r="AN4104" s="10" cm="1">
        <f t="array" ref="AN4104">Lair(100000000/($AM4104-$AL4104))</f>
        <v>2241.9882259537926</v>
      </c>
      <c r="AO4104" s="10">
        <f t="shared" si="3838"/>
        <v>2242.683972412296</v>
      </c>
      <c r="AP4104" s="12">
        <v>64700000</v>
      </c>
      <c r="AQ4104" s="3">
        <v>7.3999999999999996E-2</v>
      </c>
      <c r="AR4104" s="3">
        <f t="shared" si="3839"/>
        <v>-6.273898107356505</v>
      </c>
      <c r="AS4104" s="13">
        <f t="shared" si="3840"/>
        <v>16.876129279123251</v>
      </c>
      <c r="AT4104" s="3">
        <f t="shared" si="3841"/>
        <v>1.0341406855358197</v>
      </c>
      <c r="AU4104" s="13" cm="1">
        <f t="array" ref="AU4104">$C4104*EXP(poly_from_str(100000000/$E4104,AU$4343))</f>
        <v>54.377204035133964</v>
      </c>
      <c r="AV4104" s="13">
        <f t="shared" si="3842"/>
        <v>-1.1700448678029691</v>
      </c>
      <c r="AW4104" s="13"/>
      <c r="AX4104" s="13"/>
      <c r="AY4104" s="13"/>
    </row>
    <row r="4105" spans="1:51" x14ac:dyDescent="0.25">
      <c r="A4105">
        <v>2241.9430000000002</v>
      </c>
      <c r="B4105" s="2" t="str">
        <f t="shared" si="3829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3834"/>
        <v>e</v>
      </c>
      <c r="N4105" t="str">
        <f t="shared" si="3835"/>
        <v>13/2</v>
      </c>
      <c r="O4105">
        <v>68238.12</v>
      </c>
      <c r="P4105" t="str">
        <f t="shared" si="3836"/>
        <v>o</v>
      </c>
      <c r="Q4105" t="str">
        <f t="shared" si="3837"/>
        <v>11/2</v>
      </c>
      <c r="R4105">
        <v>37</v>
      </c>
      <c r="AA4105" s="10">
        <f t="shared" si="3830"/>
        <v>2241.9430000000002</v>
      </c>
      <c r="AB4105" s="3">
        <f t="shared" si="3831"/>
        <v>44590.33</v>
      </c>
      <c r="AC4105" s="3" cm="1">
        <f t="array" ref="AC4105">100000000/LvacE(AA4105)</f>
        <v>44590.329258667851</v>
      </c>
      <c r="AD4105" s="10">
        <f t="shared" si="3832"/>
        <v>1.49445724665319E-2</v>
      </c>
      <c r="AE4105" s="10" t="b">
        <f t="shared" si="3833"/>
        <v>1</v>
      </c>
      <c r="AJ4105" t="s">
        <v>4966</v>
      </c>
      <c r="AK4105" t="s">
        <v>4934</v>
      </c>
      <c r="AL4105">
        <v>23647.77</v>
      </c>
      <c r="AM4105">
        <v>68238.12</v>
      </c>
      <c r="AN4105" s="10" cm="1">
        <f t="array" ref="AN4105">Lair(100000000/($AM4105-$AL4105))</f>
        <v>2241.9419641940794</v>
      </c>
      <c r="AO4105" s="10">
        <f t="shared" si="3838"/>
        <v>2242.6377007581241</v>
      </c>
      <c r="AP4105" s="12">
        <v>567000000</v>
      </c>
      <c r="AQ4105" s="3">
        <v>0.247</v>
      </c>
      <c r="AR4105" s="3">
        <f t="shared" si="3839"/>
        <v>-8.1563995634520463</v>
      </c>
      <c r="AS4105" s="13">
        <f t="shared" si="3840"/>
        <v>133.43674298960016</v>
      </c>
      <c r="AT4105" s="3">
        <f t="shared" si="3841"/>
        <v>2.814185988581162</v>
      </c>
      <c r="AU4105" s="13" cm="1">
        <f t="array" ref="AU4105">$C4105*EXP(poly_from_str(100000000/$E4105,AU$4343))</f>
        <v>72.534499305754053</v>
      </c>
      <c r="AV4105" s="13">
        <f t="shared" si="3842"/>
        <v>0.60956522908910304</v>
      </c>
      <c r="AW4105" s="13"/>
      <c r="AX4105" s="13"/>
      <c r="AY4105" s="13"/>
    </row>
    <row r="4106" spans="1:51" x14ac:dyDescent="0.25">
      <c r="A4106">
        <v>2241.71</v>
      </c>
      <c r="B4106" s="2" t="str">
        <f t="shared" si="3829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3830"/>
        <v>2241.71</v>
      </c>
      <c r="AB4106" s="3">
        <f t="shared" si="3831"/>
        <v>44594.96</v>
      </c>
      <c r="AC4106" s="3" cm="1">
        <f t="array" ref="AC4106">100000000/LvacE(AA4106)</f>
        <v>44594.963463967149</v>
      </c>
      <c r="AD4106" s="10">
        <f t="shared" si="3832"/>
        <v>1.4946639722347482E-2</v>
      </c>
      <c r="AE4106" s="10" t="b">
        <f t="shared" si="3833"/>
        <v>1</v>
      </c>
      <c r="AP4106"/>
      <c r="AQ4106"/>
      <c r="AU4106" s="13" cm="1">
        <f t="array" ref="AU4106">$C4106*EXP(poly_from_str(100000000/$E4106,AU$4343))</f>
        <v>9.0867113209913164</v>
      </c>
    </row>
    <row r="4107" spans="1:51" x14ac:dyDescent="0.25">
      <c r="A4107">
        <v>2241.5419999999999</v>
      </c>
      <c r="B4107" s="2" t="str">
        <f t="shared" si="3829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3830"/>
        <v>2241.5419999999999</v>
      </c>
      <c r="AB4107" s="3">
        <f t="shared" si="3831"/>
        <v>44598.31</v>
      </c>
      <c r="AC4107" s="3" cm="1">
        <f t="array" ref="AC4107">100000000/LvacE(AA4107)</f>
        <v>44598.305462846438</v>
      </c>
      <c r="AD4107" s="10">
        <f t="shared" si="3832"/>
        <v>1.494813067585761E-2</v>
      </c>
      <c r="AE4107" s="10" t="b">
        <f t="shared" si="3833"/>
        <v>1</v>
      </c>
      <c r="AP4107"/>
      <c r="AQ4107"/>
      <c r="AU4107" s="13" cm="1">
        <f t="array" ref="AU4107">$C4107*EXP(poly_from_str(100000000/$E4107,AU$4343))</f>
        <v>9.1011558507633179</v>
      </c>
    </row>
    <row r="4108" spans="1:51" x14ac:dyDescent="0.25">
      <c r="A4108">
        <v>2241.4490000000001</v>
      </c>
      <c r="B4108" s="2" t="str">
        <f t="shared" si="3829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3830"/>
        <v>2241.4490000000001</v>
      </c>
      <c r="AB4108" s="3">
        <f t="shared" si="3831"/>
        <v>44600.160000000003</v>
      </c>
      <c r="AC4108" s="3" cm="1">
        <f t="array" ref="AC4108">100000000/LvacE(AA4108)</f>
        <v>44600.155713317836</v>
      </c>
      <c r="AD4108" s="10">
        <f t="shared" si="3832"/>
        <v>1.4948956169272162E-2</v>
      </c>
      <c r="AE4108" s="10" t="b">
        <f t="shared" si="3833"/>
        <v>1</v>
      </c>
      <c r="AJ4108" t="s">
        <v>4790</v>
      </c>
      <c r="AK4108" t="s">
        <v>4851</v>
      </c>
      <c r="AL4108">
        <v>22080.94</v>
      </c>
      <c r="AM4108">
        <v>66681.14</v>
      </c>
      <c r="AN4108" s="10" cm="1">
        <f t="array" ref="AN4108">Lair(100000000/($AM4108-$AL4108))</f>
        <v>2241.4467812494886</v>
      </c>
      <c r="AO4108" s="10">
        <f>100000000/($AM4108-$AL4108)</f>
        <v>2242.1424119174353</v>
      </c>
      <c r="AP4108" s="12">
        <v>95800000</v>
      </c>
      <c r="AQ4108" s="3">
        <v>9.8000000000000004E-2</v>
      </c>
      <c r="AR4108" s="3">
        <f>LN(AU4108*100000000/($AM4108-$AL4108)/AP4108)</f>
        <v>-7.3546944754322983</v>
      </c>
      <c r="AS4108" s="13">
        <f>EXP(AR$4341*$AM4108+AR$4342)*$AP4108/(100000000/($AM4108-$AL4108))</f>
        <v>25.345421217336042</v>
      </c>
      <c r="AT4108" s="3">
        <f>LN(AS4108/$C4108)</f>
        <v>2.1339858024645637</v>
      </c>
      <c r="AU4108" s="13" cm="1">
        <f t="array" ref="AU4108">$C4108*EXP(poly_from_str(100000000/$E4108,AU$4343))</f>
        <v>27.327448752065997</v>
      </c>
      <c r="AV4108" s="13">
        <f>LN(AS4108/AU4108)</f>
        <v>-7.5293554726785242E-2</v>
      </c>
      <c r="AW4108" s="13"/>
      <c r="AX4108" s="13"/>
      <c r="AY4108" s="13"/>
    </row>
    <row r="4109" spans="1:51" x14ac:dyDescent="0.25">
      <c r="A4109">
        <v>2241.4110000000001</v>
      </c>
      <c r="B4109" s="2" t="str">
        <f t="shared" si="3829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3830"/>
        <v>2241.4110000000001</v>
      </c>
      <c r="AB4109" s="3">
        <f t="shared" si="3831"/>
        <v>44600.91</v>
      </c>
      <c r="AC4109" s="3" cm="1">
        <f t="array" ref="AC4109">100000000/LvacE(AA4109)</f>
        <v>44600.911773815824</v>
      </c>
      <c r="AD4109" s="10">
        <f t="shared" si="3832"/>
        <v>1.4949293497224701E-2</v>
      </c>
      <c r="AE4109" s="10" t="b">
        <f t="shared" si="3833"/>
        <v>1</v>
      </c>
      <c r="AP4109"/>
      <c r="AQ4109"/>
      <c r="AU4109" s="13" cm="1">
        <f t="array" ref="AU4109">$C4109*EXP(poly_from_str(100000000/$E4109,AU$4343))</f>
        <v>27.337181157863043</v>
      </c>
    </row>
    <row r="4110" spans="1:51" x14ac:dyDescent="0.25">
      <c r="A4110">
        <v>2241.2280000000001</v>
      </c>
      <c r="B4110" s="2" t="str">
        <f t="shared" si="3829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3830"/>
        <v>2241.2280000000001</v>
      </c>
      <c r="AB4110" s="3">
        <f t="shared" si="3831"/>
        <v>44604.55</v>
      </c>
      <c r="AC4110" s="3" cm="1">
        <f t="array" ref="AC4110">100000000/LvacE(AA4110)</f>
        <v>44604.55316095765</v>
      </c>
      <c r="AD4110" s="10">
        <f t="shared" si="3832"/>
        <v>1.4950918237894059E-2</v>
      </c>
      <c r="AE4110" s="10" t="b">
        <f t="shared" si="3833"/>
        <v>1</v>
      </c>
      <c r="AJ4110" t="s">
        <v>4740</v>
      </c>
      <c r="AK4110" t="s">
        <v>4897</v>
      </c>
      <c r="AL4110">
        <v>35137.82</v>
      </c>
      <c r="AM4110">
        <v>79742.36</v>
      </c>
      <c r="AN4110" s="10" cm="1">
        <f t="array" ref="AN4110">Lair(100000000/($AM4110-$AL4110))</f>
        <v>2241.2286685217878</v>
      </c>
      <c r="AO4110" s="10">
        <f>100000000/($AM4110-$AL4110)</f>
        <v>2241.9242525536638</v>
      </c>
      <c r="AP4110" s="12">
        <v>49700000</v>
      </c>
      <c r="AQ4110" s="3">
        <v>0.1</v>
      </c>
      <c r="AR4110" s="3">
        <f>LN(AU4110*100000000/($AM4110-$AL4110)/AP4110)</f>
        <v>-6.6964485022450955</v>
      </c>
      <c r="AS4110" s="13">
        <f>EXP(AR$4341*$AM4110+AR$4342)*$AP4110/(100000000/($AM4110-$AL4110))</f>
        <v>4.9344213039664977</v>
      </c>
      <c r="AT4110" s="3">
        <f>LN(AS4110/$C4110)</f>
        <v>0.49762311370747603</v>
      </c>
      <c r="AU4110" s="13" cm="1">
        <f t="array" ref="AU4110">$C4110*EXP(poly_from_str(100000000/$E4110,AU$4343))</f>
        <v>27.38450031548107</v>
      </c>
      <c r="AV4110" s="13">
        <f>LN(AS4110/AU4110)</f>
        <v>-1.7137417690433097</v>
      </c>
      <c r="AW4110" s="13"/>
      <c r="AX4110" s="13"/>
      <c r="AY4110" s="13"/>
    </row>
    <row r="4111" spans="1:51" x14ac:dyDescent="0.25">
      <c r="A4111">
        <v>2240.989</v>
      </c>
      <c r="B4111" s="2" t="str">
        <f t="shared" si="3829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3830"/>
        <v>2240.989</v>
      </c>
      <c r="AB4111" s="3">
        <f t="shared" si="3831"/>
        <v>44609.31</v>
      </c>
      <c r="AC4111" s="3" cm="1">
        <f t="array" ref="AC4111">100000000/LvacE(AA4111)</f>
        <v>44609.309747716048</v>
      </c>
      <c r="AD4111" s="10">
        <f t="shared" si="3832"/>
        <v>1.4953040766312563E-2</v>
      </c>
      <c r="AE4111" s="10" t="b">
        <f t="shared" si="3833"/>
        <v>1</v>
      </c>
      <c r="AP4111"/>
      <c r="AQ4111"/>
      <c r="AU4111" s="13" cm="1">
        <f t="array" ref="AU4111">$C4111*EXP(poly_from_str(100000000/$E4111,AU$4343))</f>
        <v>18.297727575019092</v>
      </c>
    </row>
    <row r="4112" spans="1:51" x14ac:dyDescent="0.25">
      <c r="A4112">
        <v>2240.7629999999999</v>
      </c>
      <c r="B4112" s="2" t="str">
        <f t="shared" si="3829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3830"/>
        <v>2240.7629999999999</v>
      </c>
      <c r="AB4112" s="3">
        <f t="shared" si="3831"/>
        <v>44613.81</v>
      </c>
      <c r="AC4112" s="3" cm="1">
        <f t="array" ref="AC4112">100000000/LvacE(AA4112)</f>
        <v>44613.808541191371</v>
      </c>
      <c r="AD4112" s="10">
        <f t="shared" si="3832"/>
        <v>1.4955048468131473E-2</v>
      </c>
      <c r="AE4112" s="10" t="b">
        <f t="shared" si="3833"/>
        <v>1</v>
      </c>
      <c r="AJ4112" t="s">
        <v>4820</v>
      </c>
      <c r="AK4112" t="s">
        <v>4892</v>
      </c>
      <c r="AL4112">
        <v>17627</v>
      </c>
      <c r="AM4112">
        <v>62240.83</v>
      </c>
      <c r="AN4112" s="10" cm="1">
        <f t="array" ref="AN4112">Lair(100000000/($AM4112-$AL4112))</f>
        <v>2240.761929290351</v>
      </c>
      <c r="AO4112" s="10">
        <f>100000000/($AM4112-$AL4112)</f>
        <v>2241.4574135419443</v>
      </c>
      <c r="AP4112" s="12">
        <v>77200000</v>
      </c>
      <c r="AQ4112" s="3">
        <v>9.7000000000000003E-2</v>
      </c>
      <c r="AR4112" s="3">
        <f>LN(AU4112*100000000/($AM4112-$AL4112)/AP4112)</f>
        <v>-6.4394948182327019</v>
      </c>
      <c r="AS4112" s="13">
        <f>EXP(AR$4341*$AM4112+AR$4342)*$AP4112/(100000000/($AM4112-$AL4112))</f>
        <v>28.510467452792536</v>
      </c>
      <c r="AT4112" s="3">
        <f>LN(AS4112/$C4112)</f>
        <v>1.5585118296614633</v>
      </c>
      <c r="AU4112" s="13" cm="1">
        <f t="array" ref="AU4112">$C4112*EXP(poly_from_str(100000000/$E4112,AU$4343))</f>
        <v>55.011025701210329</v>
      </c>
      <c r="AV4112" s="13">
        <f>LN(AS4112/AU4112)</f>
        <v>-0.65726233354680264</v>
      </c>
      <c r="AW4112" s="13"/>
      <c r="AX4112" s="13"/>
      <c r="AY4112" s="13"/>
    </row>
    <row r="4113" spans="1:51" x14ac:dyDescent="0.25">
      <c r="A4113">
        <v>2240.6219999999998</v>
      </c>
      <c r="B4113" s="2" t="str">
        <f t="shared" si="3829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3830"/>
        <v>2240.6219999999998</v>
      </c>
      <c r="AB4113" s="3">
        <f t="shared" si="3831"/>
        <v>44616.62</v>
      </c>
      <c r="AC4113" s="3" cm="1">
        <f t="array" ref="AC4113">100000000/LvacE(AA4113)</f>
        <v>44616.615770206678</v>
      </c>
      <c r="AD4113" s="10">
        <f t="shared" si="3832"/>
        <v>1.4956301368594677E-2</v>
      </c>
      <c r="AE4113" s="10" t="b">
        <f t="shared" si="3833"/>
        <v>1</v>
      </c>
      <c r="AP4113"/>
      <c r="AQ4113"/>
      <c r="AU4113" s="13" cm="1">
        <f t="array" ref="AU4113">$C4113*EXP(poly_from_str(100000000/$E4113,AU$4343))</f>
        <v>45.90402645064546</v>
      </c>
    </row>
    <row r="4114" spans="1:51" x14ac:dyDescent="0.25">
      <c r="A4114">
        <v>2239.6480000000001</v>
      </c>
      <c r="B4114" s="2" t="str">
        <f t="shared" si="3829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3830"/>
        <v>2239.6480000000001</v>
      </c>
      <c r="AB4114" s="3">
        <f t="shared" si="3831"/>
        <v>44636.02</v>
      </c>
      <c r="AC4114" s="3" cm="1">
        <f t="array" ref="AC4114">100000000/LvacE(AA4114)</f>
        <v>44636.01720286849</v>
      </c>
      <c r="AD4114" s="10">
        <f t="shared" si="3832"/>
        <v>1.4964962619766251E-2</v>
      </c>
      <c r="AE4114" s="10" t="b">
        <f t="shared" si="3833"/>
        <v>1</v>
      </c>
      <c r="AP4114"/>
      <c r="AQ4114"/>
      <c r="AU4114" s="13" cm="1">
        <f t="array" ref="AU4114">$C4114*EXP(poly_from_str(100000000/$E4114,AU$4343))</f>
        <v>9.2665046041330701</v>
      </c>
    </row>
    <row r="4115" spans="1:51" x14ac:dyDescent="0.25">
      <c r="A4115">
        <v>2239.415</v>
      </c>
      <c r="B4115" s="2" t="str">
        <f t="shared" si="3829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3843">$G4115&amp;""</f>
        <v>e</v>
      </c>
      <c r="N4115" t="str">
        <f t="shared" ref="N4115:N4116" si="3844">$H4115&amp;""</f>
        <v>11/2</v>
      </c>
      <c r="O4115">
        <v>60166.2</v>
      </c>
      <c r="P4115" t="str">
        <f t="shared" ref="P4115:P4116" si="3845">$J4115&amp;""</f>
        <v>o</v>
      </c>
      <c r="Q4115" t="str">
        <f t="shared" ref="Q4115:Q4116" si="3846">$K4115&amp;""</f>
        <v>9/2</v>
      </c>
      <c r="R4115">
        <v>37</v>
      </c>
      <c r="AA4115" s="10">
        <f t="shared" si="3830"/>
        <v>2239.415</v>
      </c>
      <c r="AB4115" s="3">
        <f t="shared" si="3831"/>
        <v>44640.66</v>
      </c>
      <c r="AC4115" s="3" cm="1">
        <f t="array" ref="AC4115">100000000/LvacE(AA4115)</f>
        <v>44640.660909001876</v>
      </c>
      <c r="AD4115" s="10">
        <f t="shared" si="3832"/>
        <v>1.4967036236919435E-2</v>
      </c>
      <c r="AE4115" s="10" t="b">
        <f t="shared" si="3833"/>
        <v>1</v>
      </c>
      <c r="AJ4115" t="s">
        <v>4734</v>
      </c>
      <c r="AK4115" t="s">
        <v>4726</v>
      </c>
      <c r="AL4115">
        <v>15525.5</v>
      </c>
      <c r="AM4115">
        <v>60166.2</v>
      </c>
      <c r="AN4115" s="10" cm="1">
        <f t="array" ref="AN4115">Lair(100000000/($AM4115-$AL4115))</f>
        <v>2239.4130460207502</v>
      </c>
      <c r="AO4115" s="10">
        <f t="shared" ref="AO4115:AO4116" si="3847">100000000/($AM4115-$AL4115)</f>
        <v>2240.108242030255</v>
      </c>
      <c r="AP4115" s="12">
        <v>330000000</v>
      </c>
      <c r="AQ4115" s="3">
        <v>0.16900000000000001</v>
      </c>
      <c r="AR4115" s="3">
        <f>LN(AU4115*100000000/($AM4115-$AL4115)/AP4115)</f>
        <v>-7.3691011309992778</v>
      </c>
      <c r="AS4115" s="13">
        <f t="shared" ref="AS4115:AS4116" si="3848">EXP(AR$4341*$AM4115+AR$4342)*$AP4115/(100000000/($AM4115-$AL4115))</f>
        <v>142.48843721797138</v>
      </c>
      <c r="AT4115" s="3">
        <f t="shared" ref="AT4115" si="3849">LN(AS4115/$C4115)</f>
        <v>2.656675761092417</v>
      </c>
      <c r="AU4115" s="13" cm="1">
        <f t="array" ref="AU4115">$C4115*EXP(poly_from_str(100000000/$E4115,AU$4343))</f>
        <v>92.872038483680768</v>
      </c>
      <c r="AV4115" s="13">
        <f>LN(AS4115/AU4115)</f>
        <v>0.42803823867747476</v>
      </c>
      <c r="AW4115" s="13"/>
      <c r="AX4115" s="13"/>
      <c r="AY4115" s="13"/>
    </row>
    <row r="4116" spans="1:51" x14ac:dyDescent="0.25">
      <c r="A4116">
        <v>2239.297</v>
      </c>
      <c r="B4116" s="2" t="str">
        <f t="shared" si="3829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3843"/>
        <v>e</v>
      </c>
      <c r="N4116" t="str">
        <f t="shared" si="3844"/>
        <v>9/2</v>
      </c>
      <c r="O4116">
        <v>69431</v>
      </c>
      <c r="P4116" t="str">
        <f t="shared" si="3845"/>
        <v>o</v>
      </c>
      <c r="Q4116" t="str">
        <f t="shared" si="3846"/>
        <v>7/2</v>
      </c>
      <c r="R4116">
        <v>37</v>
      </c>
      <c r="AA4116" s="10">
        <f t="shared" si="3830"/>
        <v>2239.297</v>
      </c>
      <c r="AB4116" s="3">
        <f t="shared" si="3831"/>
        <v>44643.01</v>
      </c>
      <c r="AC4116" s="3" cm="1">
        <f t="array" ref="AC4116">100000000/LvacE(AA4116)</f>
        <v>44643.013025720866</v>
      </c>
      <c r="AD4116" s="10">
        <f t="shared" si="3832"/>
        <v>1.4968086641861455E-2</v>
      </c>
      <c r="AE4116" s="10" t="b">
        <f t="shared" si="3833"/>
        <v>1</v>
      </c>
      <c r="AJ4116" t="s">
        <v>4705</v>
      </c>
      <c r="AK4116" t="s">
        <v>4864</v>
      </c>
      <c r="AL4116">
        <v>24788.02</v>
      </c>
      <c r="AM4116">
        <v>69431</v>
      </c>
      <c r="AN4116" s="10" cm="1">
        <f t="array" ref="AN4116">Lair(100000000/($AM4116-$AL4116))</f>
        <v>2239.2986639611777</v>
      </c>
      <c r="AO4116" s="10">
        <f t="shared" si="3847"/>
        <v>2239.993835536965</v>
      </c>
      <c r="AP4116" s="12">
        <v>12800000</v>
      </c>
      <c r="AQ4116" s="3">
        <v>1.4999999999999999E-2</v>
      </c>
      <c r="AR4116" s="3"/>
      <c r="AS4116" s="13">
        <f t="shared" si="3848"/>
        <v>2.7576289177883835</v>
      </c>
      <c r="AT4116" s="3"/>
      <c r="AU4116" s="13" cm="1">
        <f t="array" ref="AU4116">$C4116*EXP(poly_from_str(100000000/$E4116,AU$4343))</f>
        <v>18.595434607600051</v>
      </c>
      <c r="AV4116" s="13"/>
      <c r="AW4116" s="13"/>
      <c r="AX4116" s="13"/>
      <c r="AY4116" s="13"/>
    </row>
    <row r="4117" spans="1:51" x14ac:dyDescent="0.25">
      <c r="A4117">
        <v>2239.183</v>
      </c>
      <c r="B4117" s="2" t="str">
        <f t="shared" si="3829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3830"/>
        <v>2239.183</v>
      </c>
      <c r="AB4117" s="3">
        <f t="shared" si="3831"/>
        <v>44645.279999999999</v>
      </c>
      <c r="AC4117" s="3" cm="1">
        <f t="array" ref="AC4117">100000000/LvacE(AA4117)</f>
        <v>44645.285645059928</v>
      </c>
      <c r="AD4117" s="10">
        <f t="shared" si="3832"/>
        <v>1.4969101597560344E-2</v>
      </c>
      <c r="AE4117" s="10" t="b">
        <f t="shared" si="3833"/>
        <v>1</v>
      </c>
      <c r="AP4117"/>
      <c r="AQ4117"/>
      <c r="AU4117" s="13" cm="1">
        <f t="array" ref="AU4117">$C4117*EXP(poly_from_str(100000000/$E4117,AU$4343))</f>
        <v>9.307892063542452</v>
      </c>
    </row>
    <row r="4118" spans="1:51" x14ac:dyDescent="0.25">
      <c r="A4118">
        <v>2239.0569999999998</v>
      </c>
      <c r="B4118" s="2" t="str">
        <f t="shared" si="3829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3830"/>
        <v>2239.0569999999998</v>
      </c>
      <c r="AB4118" s="3">
        <f t="shared" si="3831"/>
        <v>44647.8</v>
      </c>
      <c r="AC4118" s="3" cm="1">
        <f t="array" ref="AC4118">100000000/LvacE(AA4118)</f>
        <v>44647.797756669795</v>
      </c>
      <c r="AD4118" s="10">
        <f t="shared" si="3832"/>
        <v>1.4970223571054646E-2</v>
      </c>
      <c r="AE4118" s="10" t="b">
        <f t="shared" si="3833"/>
        <v>1</v>
      </c>
      <c r="AJ4118" t="s">
        <v>4763</v>
      </c>
      <c r="AK4118" t="s">
        <v>4831</v>
      </c>
      <c r="AL4118">
        <v>23844.58</v>
      </c>
      <c r="AM4118">
        <v>68492.429999999993</v>
      </c>
      <c r="AN4118" s="10" cm="1">
        <f t="array" ref="AN4118">Lair(100000000/($AM4118-$AL4118))</f>
        <v>2239.0543870161546</v>
      </c>
      <c r="AO4118" s="10">
        <f>100000000/($AM4118-$AL4118)</f>
        <v>2239.7495064152031</v>
      </c>
      <c r="AP4118" s="12">
        <v>586000000</v>
      </c>
      <c r="AQ4118" s="3">
        <v>0.40500000000000003</v>
      </c>
      <c r="AR4118" s="3">
        <f>LN(AU4118*100000000/($AM4118-$AL4118)/AP4118)</f>
        <v>-7.9400481306231985</v>
      </c>
      <c r="AS4118" s="13">
        <f>EXP(AR$4341*$AM4118+AR$4342)*$AP4118/(100000000/($AM4118-$AL4118))</f>
        <v>135.47560139076566</v>
      </c>
      <c r="AT4118" s="3">
        <f>LN(AS4118/$C4118)</f>
        <v>2.6062064675755403</v>
      </c>
      <c r="AU4118" s="13" cm="1">
        <f t="array" ref="AU4118">$C4118*EXP(poly_from_str(100000000/$E4118,AU$4343))</f>
        <v>93.192095495559499</v>
      </c>
      <c r="AV4118" s="13">
        <f>LN(AS4118/AU4118)</f>
        <v>0.37412865475420953</v>
      </c>
      <c r="AW4118" s="13"/>
      <c r="AX4118" s="13"/>
      <c r="AY4118" s="13"/>
    </row>
    <row r="4119" spans="1:51" x14ac:dyDescent="0.25">
      <c r="A4119">
        <v>2238.8969999999999</v>
      </c>
      <c r="B4119" s="2" t="str">
        <f t="shared" si="3829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3830"/>
        <v>2238.8969999999999</v>
      </c>
      <c r="AB4119" s="3">
        <f t="shared" si="3831"/>
        <v>44650.99</v>
      </c>
      <c r="AC4119" s="3" cm="1">
        <f t="array" ref="AC4119">100000000/LvacE(AA4119)</f>
        <v>44650.988147073469</v>
      </c>
      <c r="AD4119" s="10">
        <f t="shared" si="3832"/>
        <v>1.4971648572282125E-2</v>
      </c>
      <c r="AE4119" s="10" t="b">
        <f t="shared" si="3833"/>
        <v>1</v>
      </c>
      <c r="AP4119"/>
      <c r="AQ4119"/>
      <c r="AU4119" s="13" cm="1">
        <f t="array" ref="AU4119">$C4119*EXP(poly_from_str(100000000/$E4119,AU$4343))</f>
        <v>18.667139136916788</v>
      </c>
    </row>
    <row r="4120" spans="1:51" x14ac:dyDescent="0.25">
      <c r="A4120">
        <v>2238.819</v>
      </c>
      <c r="B4120" s="2" t="str">
        <f t="shared" si="3829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3830"/>
        <v>2238.819</v>
      </c>
      <c r="AB4120" s="3">
        <f t="shared" si="3831"/>
        <v>44652.54</v>
      </c>
      <c r="AC4120" s="3" cm="1">
        <f t="array" ref="AC4120">100000000/LvacE(AA4120)</f>
        <v>44652.543627699764</v>
      </c>
      <c r="AD4120" s="10">
        <f t="shared" si="3832"/>
        <v>1.4972343371147862E-2</v>
      </c>
      <c r="AE4120" s="10" t="b">
        <f t="shared" si="3833"/>
        <v>1</v>
      </c>
      <c r="AP4120"/>
      <c r="AQ4120"/>
      <c r="AU4120" s="13" cm="1">
        <f t="array" ref="AU4120">$C4120*EXP(poly_from_str(100000000/$E4120,AU$4343))</f>
        <v>9.3405605571710257</v>
      </c>
    </row>
    <row r="4121" spans="1:51" x14ac:dyDescent="0.25">
      <c r="A4121">
        <v>2238.56</v>
      </c>
      <c r="B4121" s="2" t="str">
        <f t="shared" si="3829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3830"/>
        <v>2238.56</v>
      </c>
      <c r="AB4121" s="3">
        <f t="shared" si="3831"/>
        <v>44657.71</v>
      </c>
      <c r="AC4121" s="3" cm="1">
        <f t="array" ref="AC4121">100000000/LvacE(AA4121)</f>
        <v>44657.70939845172</v>
      </c>
      <c r="AD4121" s="10">
        <f t="shared" si="3832"/>
        <v>1.4974650980641956E-2</v>
      </c>
      <c r="AE4121" s="10" t="b">
        <f t="shared" si="3833"/>
        <v>1</v>
      </c>
      <c r="AJ4121" t="s">
        <v>4708</v>
      </c>
      <c r="AK4121" t="s">
        <v>4919</v>
      </c>
      <c r="AL4121">
        <v>28720.71</v>
      </c>
      <c r="AM4121">
        <v>73378.42</v>
      </c>
      <c r="AN4121" s="10" cm="1">
        <f t="array" ref="AN4121">Lair(100000000/($AM4121-$AL4121))</f>
        <v>2238.5599770941249</v>
      </c>
      <c r="AO4121" s="10">
        <f>100000000/($AM4121-$AL4121)</f>
        <v>2239.2549909075051</v>
      </c>
      <c r="AP4121" s="12">
        <v>388000000</v>
      </c>
      <c r="AQ4121" s="3">
        <v>0.30099999999999999</v>
      </c>
      <c r="AR4121" s="3">
        <f>LN(AU4121*100000000/($AM4121-$AL4121)/AP4121)</f>
        <v>-8.0339914527865162</v>
      </c>
      <c r="AS4121" s="13">
        <f>EXP(AR$4341*$AM4121+AR$4342)*$AP4121/(100000000/($AM4121-$AL4121))</f>
        <v>62.179179389875188</v>
      </c>
      <c r="AT4121" s="3">
        <f>LN(AS4121/$C4121)</f>
        <v>2.3382607379831288</v>
      </c>
      <c r="AU4121" s="13" cm="1">
        <f t="array" ref="AU4121">$C4121*EXP(poly_from_str(100000000/$E4121,AU$4343))</f>
        <v>56.183658950756524</v>
      </c>
      <c r="AV4121" s="13">
        <f>LN(AS4121/AU4121)</f>
        <v>0.10139425859294142</v>
      </c>
      <c r="AW4121" s="13"/>
      <c r="AX4121" s="13"/>
      <c r="AY4121" s="13"/>
    </row>
    <row r="4122" spans="1:51" x14ac:dyDescent="0.25">
      <c r="A4122">
        <v>2238.0810000000001</v>
      </c>
      <c r="B4122" s="2" t="str">
        <f t="shared" si="3829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3830"/>
        <v>2238.0810000000001</v>
      </c>
      <c r="AB4122" s="3">
        <f t="shared" si="3831"/>
        <v>44667.27</v>
      </c>
      <c r="AC4122" s="3" cm="1">
        <f t="array" ref="AC4122">100000000/LvacE(AA4122)</f>
        <v>44667.266232213959</v>
      </c>
      <c r="AD4122" s="10">
        <f t="shared" si="3832"/>
        <v>1.497892083267182E-2</v>
      </c>
      <c r="AE4122" s="10" t="b">
        <f t="shared" si="3833"/>
        <v>1</v>
      </c>
      <c r="AP4122"/>
      <c r="AQ4122"/>
      <c r="AU4122" s="13" cm="1">
        <f t="array" ref="AU4122">$C4122*EXP(poly_from_str(100000000/$E4122,AU$4343))</f>
        <v>56.44465460888533</v>
      </c>
    </row>
    <row r="4123" spans="1:51" x14ac:dyDescent="0.25">
      <c r="A4123">
        <v>2237.9760000000001</v>
      </c>
      <c r="B4123" s="2" t="str">
        <f t="shared" si="3829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3850">$G4123&amp;""</f>
        <v>e</v>
      </c>
      <c r="N4123" t="str">
        <f t="shared" ref="N4123:N4124" si="3851">$H4123&amp;""</f>
        <v>3/2</v>
      </c>
      <c r="O4123">
        <v>68978.55</v>
      </c>
      <c r="P4123" t="str">
        <f t="shared" ref="P4123:P4124" si="3852">$J4123&amp;""</f>
        <v>o</v>
      </c>
      <c r="Q4123" t="str">
        <f t="shared" ref="Q4123:Q4124" si="3853">$K4123&amp;""</f>
        <v>5/2</v>
      </c>
      <c r="R4123">
        <v>37</v>
      </c>
      <c r="S4123" t="s">
        <v>97</v>
      </c>
      <c r="AA4123" s="10">
        <f t="shared" si="3830"/>
        <v>2237.9760000000001</v>
      </c>
      <c r="AB4123" s="3">
        <f t="shared" si="3831"/>
        <v>44669.36</v>
      </c>
      <c r="AC4123" s="3" cm="1">
        <f t="array" ref="AC4123">100000000/LvacE(AA4123)</f>
        <v>44669.361700574183</v>
      </c>
      <c r="AD4123" s="10">
        <f t="shared" si="3832"/>
        <v>1.497985717911501E-2</v>
      </c>
      <c r="AE4123" s="10" t="b">
        <f t="shared" si="3833"/>
        <v>1</v>
      </c>
      <c r="AJ4123" t="s">
        <v>4749</v>
      </c>
      <c r="AK4123" t="s">
        <v>4918</v>
      </c>
      <c r="AL4123">
        <v>24309.200000000001</v>
      </c>
      <c r="AM4123">
        <v>68978.55</v>
      </c>
      <c r="AN4123" s="10" cm="1">
        <f t="array" ref="AN4123">Lair(100000000/($AM4123-$AL4123))</f>
        <v>2237.9765935365208</v>
      </c>
      <c r="AO4123" s="10">
        <f t="shared" ref="AO4123:AO4124" si="3854">100000000/($AM4123-$AL4123)</f>
        <v>2238.6714827952496</v>
      </c>
      <c r="AP4123" s="12">
        <v>323000000</v>
      </c>
      <c r="AQ4123" s="3">
        <v>0.55600000000000005</v>
      </c>
      <c r="AR4123" s="3">
        <f t="shared" ref="AR4123:AR4124" si="3855">LN(AU4123*100000000/($AM4123-$AL4123)/AP4123)</f>
        <v>-7.5575671343461917</v>
      </c>
      <c r="AS4123" s="13">
        <f t="shared" ref="AS4123:AS4124" si="3856">EXP(AR$4341*$AM4123+AR$4342)*$AP4123/(100000000/($AM4123-$AL4123))</f>
        <v>72.032960107524517</v>
      </c>
      <c r="AT4123" s="3">
        <f t="shared" ref="AT4123:AT4124" si="3857">LN(AS4123/$C4123)</f>
        <v>2.1976822518584296</v>
      </c>
      <c r="AU4123" s="13" cm="1">
        <f t="array" ref="AU4123">$C4123*EXP(poly_from_str(100000000/$E4123,AU$4343))</f>
        <v>75.33598175121287</v>
      </c>
      <c r="AV4123" s="13">
        <f t="shared" ref="AV4123:AV4124" si="3858">LN(AS4123/AU4123)</f>
        <v>-4.4834072437504882E-2</v>
      </c>
      <c r="AW4123" s="13"/>
      <c r="AX4123" s="13"/>
      <c r="AY4123" s="13"/>
    </row>
    <row r="4124" spans="1:51" x14ac:dyDescent="0.25">
      <c r="A4124">
        <v>2237.5659999999998</v>
      </c>
      <c r="B4124" s="2" t="str">
        <f t="shared" si="3829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3850"/>
        <v>e</v>
      </c>
      <c r="N4124" t="str">
        <f t="shared" si="3851"/>
        <v>11/2</v>
      </c>
      <c r="O4124">
        <v>84410.63</v>
      </c>
      <c r="P4124" t="str">
        <f t="shared" si="3852"/>
        <v>o</v>
      </c>
      <c r="Q4124" t="str">
        <f t="shared" si="3853"/>
        <v>9/2</v>
      </c>
      <c r="R4124">
        <v>37</v>
      </c>
      <c r="AA4124" s="10">
        <f t="shared" si="3830"/>
        <v>2237.5659999999998</v>
      </c>
      <c r="AB4124" s="3">
        <f t="shared" si="3831"/>
        <v>44677.55</v>
      </c>
      <c r="AC4124" s="3" cm="1">
        <f t="array" ref="AC4124">100000000/LvacE(AA4124)</f>
        <v>44677.545888446941</v>
      </c>
      <c r="AD4124" s="10">
        <f t="shared" si="3832"/>
        <v>1.4983514651287815E-2</v>
      </c>
      <c r="AE4124" s="10" t="b">
        <f t="shared" si="3833"/>
        <v>1</v>
      </c>
      <c r="AJ4124" t="s">
        <v>4725</v>
      </c>
      <c r="AK4124" t="s">
        <v>4933</v>
      </c>
      <c r="AL4124">
        <v>39732.99</v>
      </c>
      <c r="AM4124">
        <v>84410.63</v>
      </c>
      <c r="AN4124" s="10" cm="1">
        <f t="array" ref="AN4124">Lair(100000000/($AM4124-$AL4124))</f>
        <v>2237.5612934880792</v>
      </c>
      <c r="AO4124" s="10">
        <f t="shared" si="3854"/>
        <v>2238.2560940998669</v>
      </c>
      <c r="AP4124" s="12">
        <v>109000000</v>
      </c>
      <c r="AQ4124" s="3">
        <v>0.55000000000000004</v>
      </c>
      <c r="AR4124" s="3">
        <f t="shared" si="3855"/>
        <v>-8.5469047380898804</v>
      </c>
      <c r="AS4124" s="13">
        <f t="shared" si="3856"/>
        <v>7.6360260621771374</v>
      </c>
      <c r="AT4124" s="3">
        <f t="shared" si="3857"/>
        <v>2.0328773189243527</v>
      </c>
      <c r="AU4124" s="13" cm="1">
        <f t="array" ref="AU4124">$C4124*EXP(poly_from_str(100000000/$E4124,AU$4343))</f>
        <v>9.4545999463776358</v>
      </c>
      <c r="AV4124" s="13">
        <f t="shared" si="3858"/>
        <v>-0.21362407096121333</v>
      </c>
      <c r="AW4124" s="13"/>
      <c r="AX4124" s="13"/>
      <c r="AY4124" s="13"/>
    </row>
    <row r="4125" spans="1:51" x14ac:dyDescent="0.25">
      <c r="A4125">
        <v>2237.4969999999998</v>
      </c>
      <c r="B4125" s="2" t="str">
        <f t="shared" si="3829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3830"/>
        <v>2237.4969999999998</v>
      </c>
      <c r="AB4125" s="3">
        <f t="shared" si="3831"/>
        <v>44678.92</v>
      </c>
      <c r="AC4125" s="3" cm="1">
        <f t="array" ref="AC4125">100000000/LvacE(AA4125)</f>
        <v>44678.9235221778</v>
      </c>
      <c r="AD4125" s="10">
        <f t="shared" si="3832"/>
        <v>1.4984130374739675E-2</v>
      </c>
      <c r="AE4125" s="10" t="b">
        <f t="shared" si="3833"/>
        <v>1</v>
      </c>
      <c r="AP4125"/>
      <c r="AQ4125"/>
      <c r="AU4125" s="13" cm="1">
        <f t="array" ref="AU4125">$C4125*EXP(poly_from_str(100000000/$E4125,AU$4343))</f>
        <v>9.4609146569207088</v>
      </c>
    </row>
    <row r="4126" spans="1:51" x14ac:dyDescent="0.25">
      <c r="A4126">
        <v>2237.3989999999999</v>
      </c>
      <c r="B4126" s="2" t="str">
        <f t="shared" si="3829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3830"/>
        <v>2237.3989999999999</v>
      </c>
      <c r="AB4126" s="3">
        <f t="shared" si="3831"/>
        <v>44680.88</v>
      </c>
      <c r="AC4126" s="3" cm="1">
        <f t="array" ref="AC4126">100000000/LvacE(AA4126)</f>
        <v>44680.880307402818</v>
      </c>
      <c r="AD4126" s="10">
        <f t="shared" si="3832"/>
        <v>1.49850049784153E-2</v>
      </c>
      <c r="AE4126" s="10" t="b">
        <f t="shared" si="3833"/>
        <v>1</v>
      </c>
      <c r="AP4126"/>
      <c r="AQ4126"/>
      <c r="AU4126" s="13" cm="1">
        <f t="array" ref="AU4126">$C4126*EXP(poly_from_str(100000000/$E4126,AU$4343))</f>
        <v>9.4699612023171795</v>
      </c>
    </row>
    <row r="4127" spans="1:51" x14ac:dyDescent="0.25">
      <c r="A4127">
        <v>2237.2600000000002</v>
      </c>
      <c r="B4127" s="2" t="str">
        <f t="shared" si="3829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3830"/>
        <v>2237.2600000000002</v>
      </c>
      <c r="AB4127" s="3">
        <f t="shared" si="3831"/>
        <v>44683.66</v>
      </c>
      <c r="AC4127" s="3" cm="1">
        <f t="array" ref="AC4127">100000000/LvacE(AA4127)</f>
        <v>44683.656041619761</v>
      </c>
      <c r="AD4127" s="10">
        <f t="shared" si="3832"/>
        <v>1.49862456848153E-2</v>
      </c>
      <c r="AE4127" s="10" t="b">
        <f t="shared" si="3833"/>
        <v>1</v>
      </c>
      <c r="AJ4127" t="s">
        <v>4696</v>
      </c>
      <c r="AK4127" t="s">
        <v>4833</v>
      </c>
      <c r="AL4127">
        <v>21238.78</v>
      </c>
      <c r="AM4127">
        <v>65922.42</v>
      </c>
      <c r="AN4127" s="10" cm="1">
        <f t="array" ref="AN4127">Lair(100000000/($AM4127-$AL4127))</f>
        <v>2237.2608105574764</v>
      </c>
      <c r="AO4127" s="10">
        <f>100000000/($AM4127-$AL4127)</f>
        <v>2237.9555470413779</v>
      </c>
      <c r="AP4127" s="12">
        <v>697000000</v>
      </c>
      <c r="AQ4127" s="3">
        <v>0.39900000000000002</v>
      </c>
      <c r="AR4127" s="3">
        <f>LN(AU4127*100000000/($AM4127-$AL4127)/AP4127)</f>
        <v>-8.0969113699354072</v>
      </c>
      <c r="AS4127" s="13">
        <f>EXP(AR$4341*$AM4127+AR$4342)*$AP4127/(100000000/($AM4127-$AL4127))</f>
        <v>195.57215494901368</v>
      </c>
      <c r="AT4127" s="3">
        <f>LN(AS4127/$C4127)</f>
        <v>2.973344297361554</v>
      </c>
      <c r="AU4127" s="13" cm="1">
        <f t="array" ref="AU4127">$C4127*EXP(poly_from_str(100000000/$E4127,AU$4343))</f>
        <v>94.828175301029489</v>
      </c>
      <c r="AV4127" s="13">
        <f>LN(AS4127/AU4127)</f>
        <v>0.72386281743535075</v>
      </c>
      <c r="AW4127" s="13"/>
      <c r="AX4127" s="13"/>
      <c r="AY4127" s="13"/>
    </row>
    <row r="4128" spans="1:51" x14ac:dyDescent="0.25">
      <c r="A4128">
        <v>2236.9259999999999</v>
      </c>
      <c r="B4128" s="2" t="str">
        <f t="shared" si="3829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3830"/>
        <v>2236.9259999999999</v>
      </c>
      <c r="AB4128" s="3">
        <f t="shared" si="3831"/>
        <v>44690.33</v>
      </c>
      <c r="AC4128" s="3" cm="1">
        <f t="array" ref="AC4128">100000000/LvacE(AA4128)</f>
        <v>44690.32720149024</v>
      </c>
      <c r="AD4128" s="10">
        <f t="shared" si="3832"/>
        <v>1.4989227896115079E-2</v>
      </c>
      <c r="AE4128" s="10" t="b">
        <f t="shared" si="3833"/>
        <v>1</v>
      </c>
      <c r="AP4128"/>
      <c r="AQ4128"/>
      <c r="AU4128" s="13" cm="1">
        <f t="array" ref="AU4128">$C4128*EXP(poly_from_str(100000000/$E4128,AU$4343))</f>
        <v>9.5137834901209679</v>
      </c>
    </row>
    <row r="4129" spans="1:51" x14ac:dyDescent="0.25">
      <c r="A4129">
        <v>2236.6190000000001</v>
      </c>
      <c r="B4129" s="2" t="str">
        <f t="shared" si="3829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3830"/>
        <v>2236.6190000000001</v>
      </c>
      <c r="AB4129" s="3">
        <f t="shared" si="3831"/>
        <v>44696.46</v>
      </c>
      <c r="AC4129" s="3" cm="1">
        <f t="array" ref="AC4129">100000000/LvacE(AA4129)</f>
        <v>44696.460832963108</v>
      </c>
      <c r="AD4129" s="10">
        <f t="shared" si="3832"/>
        <v>1.4991970208820347E-2</v>
      </c>
      <c r="AE4129" s="10" t="b">
        <f t="shared" si="3833"/>
        <v>1</v>
      </c>
      <c r="AP4129"/>
      <c r="AQ4129"/>
      <c r="AU4129" s="13" cm="1">
        <f t="array" ref="AU4129">$C4129*EXP(poly_from_str(100000000/$E4129,AU$4343))</f>
        <v>28.627177774334811</v>
      </c>
    </row>
    <row r="4130" spans="1:51" x14ac:dyDescent="0.25">
      <c r="A4130">
        <v>2236.4630000000002</v>
      </c>
      <c r="B4130" s="2" t="str">
        <f t="shared" si="3829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3830"/>
        <v>2236.4630000000002</v>
      </c>
      <c r="AB4130" s="3">
        <f t="shared" si="3831"/>
        <v>44699.58</v>
      </c>
      <c r="AC4130" s="3" cm="1">
        <f t="array" ref="AC4130">100000000/LvacE(AA4130)</f>
        <v>44699.578241944386</v>
      </c>
      <c r="AD4130" s="10">
        <f t="shared" si="3832"/>
        <v>1.4993364129418724E-2</v>
      </c>
      <c r="AE4130" s="10" t="b">
        <f t="shared" si="3833"/>
        <v>1</v>
      </c>
      <c r="AJ4130" t="s">
        <v>4763</v>
      </c>
      <c r="AK4130" t="s">
        <v>4901</v>
      </c>
      <c r="AL4130">
        <v>23844.58</v>
      </c>
      <c r="AM4130">
        <v>68544.19</v>
      </c>
      <c r="AN4130" s="10" cm="1">
        <f t="array" ref="AN4130">Lair(100000000/($AM4130-$AL4130))</f>
        <v>2236.4614182091191</v>
      </c>
      <c r="AO4130" s="10">
        <f>100000000/($AM4130-$AL4130)</f>
        <v>2237.1559841349845</v>
      </c>
      <c r="AP4130" s="12">
        <v>88400000</v>
      </c>
      <c r="AQ4130" s="3">
        <v>6.7000000000000004E-2</v>
      </c>
      <c r="AR4130" s="3">
        <f>LN(AU4130*100000000/($AM4130-$AL4130)/AP4130)</f>
        <v>-6.3812368445160041</v>
      </c>
      <c r="AS4130" s="13">
        <f>EXP(AR$4341*$AM4130+AR$4342)*$AP4130/(100000000/($AM4130-$AL4130))</f>
        <v>20.3813026381277</v>
      </c>
      <c r="AT4130" s="3">
        <f>LN(AS4130/$C4130)</f>
        <v>1.0687077941710026</v>
      </c>
      <c r="AU4130" s="13" cm="1">
        <f t="array" ref="AU4130">$C4130*EXP(poly_from_str(100000000/$E4130,AU$4343))</f>
        <v>66.899065262115684</v>
      </c>
      <c r="AV4130" s="13">
        <f>LN(AS4130/AU4130)</f>
        <v>-1.1885670516445703</v>
      </c>
      <c r="AW4130" s="13"/>
      <c r="AX4130" s="13"/>
      <c r="AY4130" s="13"/>
    </row>
    <row r="4131" spans="1:51" x14ac:dyDescent="0.25">
      <c r="A4131">
        <v>2236.027</v>
      </c>
      <c r="B4131" s="2" t="str">
        <f t="shared" si="3829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3830"/>
        <v>2236.027</v>
      </c>
      <c r="AB4131" s="3">
        <f t="shared" si="3831"/>
        <v>44708.29</v>
      </c>
      <c r="AC4131" s="3" cm="1">
        <f t="array" ref="AC4131">100000000/LvacE(AA4131)</f>
        <v>44708.293306638079</v>
      </c>
      <c r="AD4131" s="10">
        <f t="shared" si="3832"/>
        <v>1.4997261505929508E-2</v>
      </c>
      <c r="AE4131" s="10" t="b">
        <f t="shared" si="3833"/>
        <v>1</v>
      </c>
      <c r="AP4131"/>
      <c r="AQ4131"/>
      <c r="AU4131" s="13" cm="1">
        <f t="array" ref="AU4131">$C4131*EXP(poly_from_str(100000000/$E4131,AU$4343))</f>
        <v>9.5980135974359335</v>
      </c>
    </row>
    <row r="4132" spans="1:51" x14ac:dyDescent="0.25">
      <c r="A4132">
        <v>2235.8150000000001</v>
      </c>
      <c r="B4132" s="2" t="str">
        <f t="shared" si="3829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3830"/>
        <v>2235.8150000000001</v>
      </c>
      <c r="AB4132" s="3">
        <f t="shared" si="3831"/>
        <v>44712.53</v>
      </c>
      <c r="AC4132" s="3" cm="1">
        <f t="array" ref="AC4132">100000000/LvacE(AA4132)</f>
        <v>44712.532134812696</v>
      </c>
      <c r="AD4132" s="10">
        <f t="shared" si="3832"/>
        <v>1.4999157384401818E-2</v>
      </c>
      <c r="AE4132" s="10" t="b">
        <f t="shared" si="3833"/>
        <v>1</v>
      </c>
      <c r="AP4132"/>
      <c r="AQ4132"/>
      <c r="AU4132" s="13" cm="1">
        <f t="array" ref="AU4132">$C4132*EXP(poly_from_str(100000000/$E4132,AU$4343))</f>
        <v>9.6180810439841284</v>
      </c>
    </row>
    <row r="4133" spans="1:51" x14ac:dyDescent="0.25">
      <c r="A4133">
        <v>2235.1790000000001</v>
      </c>
      <c r="B4133" s="2" t="str">
        <f t="shared" si="3829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3830"/>
        <v>2235.1790000000001</v>
      </c>
      <c r="AB4133" s="3">
        <f t="shared" si="3831"/>
        <v>44725.25</v>
      </c>
      <c r="AC4133" s="3" cm="1">
        <f t="array" ref="AC4133">100000000/LvacE(AA4133)</f>
        <v>44725.253442790963</v>
      </c>
      <c r="AD4133" s="10">
        <f t="shared" si="3832"/>
        <v>1.5004848256625299E-2</v>
      </c>
      <c r="AE4133" s="10" t="b">
        <f t="shared" si="3833"/>
        <v>1</v>
      </c>
      <c r="AP4133"/>
      <c r="AQ4133"/>
      <c r="AU4133" s="13" cm="1">
        <f t="array" ref="AU4133">$C4133*EXP(poly_from_str(100000000/$E4133,AU$4343))</f>
        <v>9.6787059481085773</v>
      </c>
    </row>
    <row r="4134" spans="1:51" x14ac:dyDescent="0.25">
      <c r="A4134">
        <v>2235.0230000000001</v>
      </c>
      <c r="B4134" s="2" t="str">
        <f t="shared" si="3829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3830"/>
        <v>2235.0230000000001</v>
      </c>
      <c r="AB4134" s="3">
        <f t="shared" si="3831"/>
        <v>44728.37</v>
      </c>
      <c r="AC4134" s="3" cm="1">
        <f t="array" ref="AC4134">100000000/LvacE(AA4134)</f>
        <v>44728.374869093408</v>
      </c>
      <c r="AD4134" s="10">
        <f t="shared" si="3832"/>
        <v>1.5006244872892451E-2</v>
      </c>
      <c r="AE4134" s="10" t="b">
        <f t="shared" si="3833"/>
        <v>1</v>
      </c>
      <c r="AJ4134" t="s">
        <v>4696</v>
      </c>
      <c r="AK4134" t="s">
        <v>4935</v>
      </c>
      <c r="AL4134">
        <v>21238.78</v>
      </c>
      <c r="AM4134">
        <v>65967.149999999994</v>
      </c>
      <c r="AN4134" s="10" cm="1">
        <f t="array" ref="AN4134">Lair(100000000/($AM4134-$AL4134))</f>
        <v>2235.0232506936659</v>
      </c>
      <c r="AO4134" s="10">
        <f>100000000/($AM4134-$AL4134)</f>
        <v>2235.7175099383235</v>
      </c>
      <c r="AP4134" s="12">
        <v>149000000</v>
      </c>
      <c r="AQ4134" s="3">
        <v>0.35399999999999998</v>
      </c>
      <c r="AR4134" s="3">
        <f>LN(AU4134*100000000/($AM4134-$AL4134)/AP4134)</f>
        <v>-7.0439064373806426</v>
      </c>
      <c r="AS4134" s="13">
        <f>EXP(AR$4341*$AM4134+AR$4342)*$AP4134/(100000000/($AM4134-$AL4134))</f>
        <v>41.709711058076465</v>
      </c>
      <c r="AT4134" s="3">
        <f>LN(AS4134/$C4134)</f>
        <v>1.9389745115551371</v>
      </c>
      <c r="AU4134" s="13" cm="1">
        <f t="array" ref="AU4134">$C4134*EXP(poly_from_str(100000000/$E4134,AU$4343))</f>
        <v>58.162041698838209</v>
      </c>
      <c r="AV4134" s="13">
        <f>LN(AS4134/AU4134)</f>
        <v>-0.3324989566890158</v>
      </c>
      <c r="AW4134" s="13"/>
      <c r="AX4134" s="13"/>
      <c r="AY4134" s="13"/>
    </row>
    <row r="4135" spans="1:51" x14ac:dyDescent="0.25">
      <c r="A4135">
        <v>2234.7370000000001</v>
      </c>
      <c r="B4135" s="2" t="str">
        <f t="shared" si="3829"/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3830"/>
        <v>2234.7370000000001</v>
      </c>
      <c r="AB4135" s="3">
        <f t="shared" si="3831"/>
        <v>44734.1</v>
      </c>
      <c r="AC4135" s="3" cm="1">
        <f t="array" ref="AC4135">100000000/LvacE(AA4135)</f>
        <v>44734.098615593903</v>
      </c>
      <c r="AD4135" s="10">
        <f t="shared" si="3832"/>
        <v>1.5008806095660004E-2</v>
      </c>
      <c r="AE4135" s="10" t="b">
        <f t="shared" si="3833"/>
        <v>1</v>
      </c>
      <c r="AP4135"/>
      <c r="AQ4135"/>
      <c r="AU4135" s="13" cm="1">
        <f t="array" ref="AU4135">$C4135*EXP(poly_from_str(100000000/$E4135,AU$4343))</f>
        <v>9.7212629381623259</v>
      </c>
    </row>
    <row r="4136" spans="1:51" x14ac:dyDescent="0.25">
      <c r="A4136">
        <v>2234.4</v>
      </c>
      <c r="B4136" s="2" t="str">
        <f t="shared" si="3829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3830"/>
        <v>2234.4</v>
      </c>
      <c r="AB4136" s="3">
        <f t="shared" si="3831"/>
        <v>44740.84</v>
      </c>
      <c r="AC4136" s="3" cm="1">
        <f t="array" ref="AC4136">100000000/LvacE(AA4136)</f>
        <v>44740.844910267202</v>
      </c>
      <c r="AD4136" s="10">
        <f t="shared" si="3832"/>
        <v>1.5011825302154315E-2</v>
      </c>
      <c r="AE4136" s="10" t="b">
        <f t="shared" si="3833"/>
        <v>1</v>
      </c>
      <c r="AP4136"/>
      <c r="AQ4136"/>
      <c r="AU4136" s="13" cm="1">
        <f t="array" ref="AU4136">$C4136*EXP(poly_from_str(100000000/$E4136,AU$4343))</f>
        <v>58.523297301033054</v>
      </c>
    </row>
    <row r="4137" spans="1:51" x14ac:dyDescent="0.25">
      <c r="A4137">
        <v>2233.835</v>
      </c>
      <c r="B4137" s="2" t="str">
        <f t="shared" si="3829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3859">$G4137&amp;""</f>
        <v>e</v>
      </c>
      <c r="N4137" t="str">
        <f t="shared" ref="N4137:N4139" si="3860">$H4137&amp;""</f>
        <v>5/2</v>
      </c>
      <c r="O4137">
        <v>81404.52</v>
      </c>
      <c r="P4137" t="str">
        <f t="shared" ref="P4137:P4139" si="3861">$J4137&amp;""</f>
        <v>o</v>
      </c>
      <c r="Q4137" t="str">
        <f t="shared" ref="Q4137:Q4139" si="3862">$K4137&amp;""</f>
        <v>5/2</v>
      </c>
      <c r="R4137">
        <v>37</v>
      </c>
      <c r="S4137" t="s">
        <v>3698</v>
      </c>
      <c r="AA4137" s="10">
        <f t="shared" si="3830"/>
        <v>2233.835</v>
      </c>
      <c r="AB4137" s="3">
        <f t="shared" si="3831"/>
        <v>44752.160000000003</v>
      </c>
      <c r="AC4137" s="3" cm="1">
        <f t="array" ref="AC4137">100000000/LvacE(AA4137)</f>
        <v>44752.160029763603</v>
      </c>
      <c r="AD4137" s="10">
        <f t="shared" si="3832"/>
        <v>1.5016890242512002E-2</v>
      </c>
      <c r="AE4137" s="10" t="b">
        <f t="shared" si="3833"/>
        <v>1</v>
      </c>
      <c r="AJ4137" t="s">
        <v>4771</v>
      </c>
      <c r="AK4137" t="s">
        <v>4916</v>
      </c>
      <c r="AL4137">
        <v>36652.29</v>
      </c>
      <c r="AM4137">
        <v>81404.52</v>
      </c>
      <c r="AN4137" s="10" cm="1">
        <f t="array" ref="AN4137">Lair(100000000/($AM4137-$AL4137))</f>
        <v>2233.8315144584158</v>
      </c>
      <c r="AO4137" s="10">
        <f t="shared" ref="AO4137:AO4139" si="3863">100000000/($AM4137-$AL4137)</f>
        <v>2234.525519733877</v>
      </c>
      <c r="AP4137" s="12">
        <v>58000000</v>
      </c>
      <c r="AQ4137" s="3">
        <v>8.3000000000000004E-2</v>
      </c>
      <c r="AR4137" s="3">
        <f t="shared" ref="AR4137:AR4139" si="3864">LN(AU4137*100000000/($AM4137-$AL4137)/AP4137)</f>
        <v>-7.1877137551128198</v>
      </c>
      <c r="AS4137" s="13">
        <f t="shared" ref="AS4137:AS4139" si="3865">EXP(AR$4341*$AM4137+AR$4342)*$AP4137/(100000000/($AM4137-$AL4137))</f>
        <v>5.0999941145771261</v>
      </c>
      <c r="AT4137" s="3">
        <f t="shared" ref="AT4137:AT4139" si="3866">LN(AS4137/$C4137)</f>
        <v>0.93609220516518388</v>
      </c>
      <c r="AU4137" s="13" cm="1">
        <f t="array" ref="AU4137">$C4137*EXP(poly_from_str(100000000/$E4137,AU$4343))</f>
        <v>19.618159145138254</v>
      </c>
      <c r="AV4137" s="13">
        <f t="shared" ref="AV4137:AV4139" si="3867">LN(AS4137/AU4137)</f>
        <v>-1.3472162385840225</v>
      </c>
      <c r="AW4137" s="13"/>
      <c r="AX4137" s="13"/>
      <c r="AY4137" s="13"/>
    </row>
    <row r="4138" spans="1:51" x14ac:dyDescent="0.25">
      <c r="A4138">
        <v>2233.2379999999998</v>
      </c>
      <c r="B4138" s="2" t="str">
        <f t="shared" si="3829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3859"/>
        <v>e</v>
      </c>
      <c r="N4138" t="str">
        <f t="shared" si="3860"/>
        <v>7/2</v>
      </c>
      <c r="O4138">
        <v>81404.52</v>
      </c>
      <c r="P4138" t="str">
        <f t="shared" si="3861"/>
        <v>o</v>
      </c>
      <c r="Q4138" t="str">
        <f t="shared" si="3862"/>
        <v>5/2</v>
      </c>
      <c r="R4138">
        <v>37</v>
      </c>
      <c r="AA4138" s="10">
        <f t="shared" si="3830"/>
        <v>2233.2379999999998</v>
      </c>
      <c r="AB4138" s="3">
        <f t="shared" si="3831"/>
        <v>44764.12</v>
      </c>
      <c r="AC4138" s="3" cm="1">
        <f t="array" ref="AC4138">100000000/LvacE(AA4138)</f>
        <v>44764.122225198116</v>
      </c>
      <c r="AD4138" s="10">
        <f t="shared" si="3832"/>
        <v>1.5022246223913016E-2</v>
      </c>
      <c r="AE4138" s="10" t="b">
        <f t="shared" si="3833"/>
        <v>1</v>
      </c>
      <c r="AJ4138" t="s">
        <v>4805</v>
      </c>
      <c r="AK4138" t="s">
        <v>4916</v>
      </c>
      <c r="AL4138">
        <v>36640.379999999997</v>
      </c>
      <c r="AM4138">
        <v>81404.52</v>
      </c>
      <c r="AN4138" s="10" cm="1">
        <f t="array" ref="AN4138">Lair(100000000/($AM4138-$AL4138))</f>
        <v>2233.2371205727995</v>
      </c>
      <c r="AO4138" s="10">
        <f t="shared" si="3863"/>
        <v>2233.9309992328676</v>
      </c>
      <c r="AP4138" s="12">
        <v>352000000</v>
      </c>
      <c r="AQ4138" s="3">
        <v>0.25</v>
      </c>
      <c r="AR4138" s="3">
        <f t="shared" si="3864"/>
        <v>-7.8865708766618408</v>
      </c>
      <c r="AS4138" s="13">
        <f t="shared" si="3865"/>
        <v>30.95992565391694</v>
      </c>
      <c r="AT4138" s="3">
        <f t="shared" si="3866"/>
        <v>1.640934178131316</v>
      </c>
      <c r="AU4138" s="13" cm="1">
        <f t="array" ref="AU4138">$C4138*EXP(poly_from_str(100000000/$E4138,AU$4343))</f>
        <v>59.207768881976115</v>
      </c>
      <c r="AV4138" s="13">
        <f t="shared" si="3867"/>
        <v>-0.64835911703500082</v>
      </c>
      <c r="AW4138" s="13"/>
      <c r="AX4138" s="13"/>
      <c r="AY4138" s="13"/>
    </row>
    <row r="4139" spans="1:51" x14ac:dyDescent="0.25">
      <c r="A4139">
        <v>2232.5160000000001</v>
      </c>
      <c r="B4139" s="2" t="str">
        <f t="shared" si="3829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3859"/>
        <v>e</v>
      </c>
      <c r="N4139" t="str">
        <f t="shared" si="3860"/>
        <v>7/2</v>
      </c>
      <c r="O4139">
        <v>63768.66</v>
      </c>
      <c r="P4139" t="str">
        <f t="shared" si="3861"/>
        <v>o</v>
      </c>
      <c r="Q4139" t="str">
        <f t="shared" si="3862"/>
        <v>7/2</v>
      </c>
      <c r="R4139">
        <v>37</v>
      </c>
      <c r="AA4139" s="10">
        <f t="shared" si="3830"/>
        <v>2232.5160000000001</v>
      </c>
      <c r="AB4139" s="3">
        <f t="shared" si="3831"/>
        <v>44778.6</v>
      </c>
      <c r="AC4139" s="3" cm="1">
        <f t="array" ref="AC4139">100000000/LvacE(AA4139)</f>
        <v>44778.597613291116</v>
      </c>
      <c r="AD4139" s="10">
        <f t="shared" si="3832"/>
        <v>1.5028729382743754E-2</v>
      </c>
      <c r="AE4139" s="10" t="b">
        <f t="shared" si="3833"/>
        <v>1</v>
      </c>
      <c r="AJ4139" t="s">
        <v>4968</v>
      </c>
      <c r="AK4139" t="s">
        <v>4850</v>
      </c>
      <c r="AL4139">
        <v>18990.080000000002</v>
      </c>
      <c r="AM4139">
        <v>63768.66</v>
      </c>
      <c r="AN4139" s="10" cm="1">
        <f t="array" ref="AN4139">Lair(100000000/($AM4139-$AL4139))</f>
        <v>2232.5168856784826</v>
      </c>
      <c r="AO4139" s="10">
        <f t="shared" si="3863"/>
        <v>2233.2106109662254</v>
      </c>
      <c r="AP4139" s="12">
        <v>84900000</v>
      </c>
      <c r="AQ4139" s="3">
        <v>0.29199999999999998</v>
      </c>
      <c r="AR4139" s="3">
        <f t="shared" si="3864"/>
        <v>-6.4574590305220747</v>
      </c>
      <c r="AS4139" s="13">
        <f t="shared" si="3865"/>
        <v>28.060790427296297</v>
      </c>
      <c r="AT4139" s="3">
        <f t="shared" si="3866"/>
        <v>1.5426137742332757</v>
      </c>
      <c r="AU4139" s="13" cm="1">
        <f t="array" ref="AU4139">$C4139*EXP(poly_from_str(100000000/$E4139,AU$4343))</f>
        <v>59.640212675156192</v>
      </c>
      <c r="AV4139" s="13">
        <f t="shared" si="3867"/>
        <v>-0.75395681241067647</v>
      </c>
      <c r="AW4139" s="13"/>
      <c r="AX4139" s="13"/>
      <c r="AY4139" s="13"/>
    </row>
    <row r="4140" spans="1:51" x14ac:dyDescent="0.25">
      <c r="A4140">
        <v>2232.2170000000001</v>
      </c>
      <c r="B4140" s="2" t="str">
        <f t="shared" si="3829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3830"/>
        <v>2232.2170000000001</v>
      </c>
      <c r="AB4140" s="3">
        <f t="shared" si="3831"/>
        <v>44784.59</v>
      </c>
      <c r="AC4140" s="3" cm="1">
        <f t="array" ref="AC4140">100000000/LvacE(AA4140)</f>
        <v>44784.595009795739</v>
      </c>
      <c r="AD4140" s="10">
        <f t="shared" si="3832"/>
        <v>1.5031416078677775E-2</v>
      </c>
      <c r="AE4140" s="10" t="b">
        <f t="shared" si="3833"/>
        <v>1</v>
      </c>
      <c r="AP4140"/>
      <c r="AQ4140"/>
      <c r="AU4140" s="13" cm="1">
        <f t="array" ref="AU4140">$C4140*EXP(poly_from_str(100000000/$E4140,AU$4343))</f>
        <v>19.940209418436954</v>
      </c>
    </row>
    <row r="4141" spans="1:51" x14ac:dyDescent="0.25">
      <c r="A4141">
        <v>2231.9059999999999</v>
      </c>
      <c r="B4141" s="2" t="str">
        <f t="shared" si="3829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3868">$G4141&amp;""</f>
        <v>e</v>
      </c>
      <c r="N4141" t="str">
        <f t="shared" ref="N4141:N4142" si="3869">$H4141&amp;""</f>
        <v>13/2</v>
      </c>
      <c r="O4141">
        <v>64150.94</v>
      </c>
      <c r="P4141" t="str">
        <f t="shared" ref="P4141:P4142" si="3870">$J4141&amp;""</f>
        <v>o</v>
      </c>
      <c r="Q4141" t="str">
        <f t="shared" ref="Q4141:Q4142" si="3871">$K4141&amp;""</f>
        <v>11/2</v>
      </c>
      <c r="R4141">
        <v>37</v>
      </c>
      <c r="AA4141" s="10">
        <f t="shared" si="3830"/>
        <v>2231.9059999999999</v>
      </c>
      <c r="AB4141" s="3">
        <f t="shared" si="3831"/>
        <v>44790.83</v>
      </c>
      <c r="AC4141" s="3" cm="1">
        <f t="array" ref="AC4141">100000000/LvacE(AA4141)</f>
        <v>44790.834809049731</v>
      </c>
      <c r="AD4141" s="10">
        <f t="shared" si="3832"/>
        <v>1.5034211747504092E-2</v>
      </c>
      <c r="AE4141" s="10" t="b">
        <f t="shared" si="3833"/>
        <v>1</v>
      </c>
      <c r="AJ4141" t="s">
        <v>4748</v>
      </c>
      <c r="AK4141" t="s">
        <v>4931</v>
      </c>
      <c r="AL4141">
        <v>19360.099999999999</v>
      </c>
      <c r="AM4141">
        <v>64150.94</v>
      </c>
      <c r="AN4141" s="10" cm="1">
        <f t="array" ref="AN4141">Lair(100000000/($AM4141-$AL4141))</f>
        <v>2231.9057487830537</v>
      </c>
      <c r="AO4141" s="10">
        <f t="shared" ref="AO4141:AO4142" si="3872">100000000/($AM4141-$AL4141)</f>
        <v>2232.5993439730087</v>
      </c>
      <c r="AP4141" s="12">
        <v>105000000</v>
      </c>
      <c r="AQ4141" s="3">
        <v>0.183</v>
      </c>
      <c r="AR4141" s="3">
        <f t="shared" ref="AR4141:AR4142" si="3873">LN(AU4141*100000000/($AM4141-$AL4141)/AP4141)</f>
        <v>-6.5098950228787205</v>
      </c>
      <c r="AS4141" s="13">
        <f t="shared" ref="AS4141:AS4142" si="3874">EXP(AR$4341*$AM4141+AR$4342)*$AP4141/(100000000/($AM4141-$AL4141))</f>
        <v>33.731913557394691</v>
      </c>
      <c r="AT4141" s="3">
        <f t="shared" ref="AT4141:AT4142" si="3875">LN(AS4141/$C4141)</f>
        <v>1.5725342300246832</v>
      </c>
      <c r="AU4141" s="13" cm="1">
        <f t="array" ref="AU4141">$C4141*EXP(poly_from_str(100000000/$E4141,AU$4343))</f>
        <v>70.011119154730977</v>
      </c>
      <c r="AV4141" s="13">
        <f t="shared" ref="AV4141:AV4142" si="3876">LN(AS4141/AU4141)</f>
        <v>-0.73020969542240588</v>
      </c>
      <c r="AW4141" s="13"/>
      <c r="AX4141" s="13"/>
      <c r="AY4141" s="13"/>
    </row>
    <row r="4142" spans="1:51" x14ac:dyDescent="0.25">
      <c r="A4142">
        <v>2231.5030000000002</v>
      </c>
      <c r="B4142" s="2" t="str">
        <f t="shared" si="3829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3868"/>
        <v>e</v>
      </c>
      <c r="N4142" t="str">
        <f t="shared" si="3869"/>
        <v>5/2</v>
      </c>
      <c r="O4142">
        <v>68331.73</v>
      </c>
      <c r="P4142" t="str">
        <f t="shared" si="3870"/>
        <v>o</v>
      </c>
      <c r="Q4142" t="str">
        <f t="shared" si="3871"/>
        <v>7/2</v>
      </c>
      <c r="R4142">
        <v>37</v>
      </c>
      <c r="AA4142" s="10">
        <f t="shared" si="3830"/>
        <v>2231.5030000000002</v>
      </c>
      <c r="AB4142" s="3">
        <f t="shared" si="3831"/>
        <v>44798.92</v>
      </c>
      <c r="AC4142" s="3" cm="1">
        <f t="array" ref="AC4142">100000000/LvacE(AA4142)</f>
        <v>44798.92305187929</v>
      </c>
      <c r="AD4142" s="10">
        <f t="shared" si="3832"/>
        <v>1.503783616958599E-2</v>
      </c>
      <c r="AE4142" s="10" t="b">
        <f t="shared" si="3833"/>
        <v>1</v>
      </c>
      <c r="AJ4142" t="s">
        <v>4756</v>
      </c>
      <c r="AK4142" t="s">
        <v>4923</v>
      </c>
      <c r="AL4142">
        <v>23532.86</v>
      </c>
      <c r="AM4142">
        <v>68331.75</v>
      </c>
      <c r="AN4142" s="10" cm="1">
        <f t="array" ref="AN4142">Lair(100000000/($AM4142-$AL4142))</f>
        <v>2231.5046540116714</v>
      </c>
      <c r="AO4142" s="10">
        <f t="shared" si="3872"/>
        <v>2232.1981638384345</v>
      </c>
      <c r="AP4142" s="12">
        <v>108000000</v>
      </c>
      <c r="AQ4142" s="3">
        <v>0.13600000000000001</v>
      </c>
      <c r="AR4142" s="3">
        <f t="shared" si="3873"/>
        <v>-6.5341484939176029</v>
      </c>
      <c r="AS4142" s="13">
        <f t="shared" si="3874"/>
        <v>25.35659160127144</v>
      </c>
      <c r="AT4142" s="3">
        <f t="shared" si="3875"/>
        <v>1.2871285709003653</v>
      </c>
      <c r="AU4142" s="13" cm="1">
        <f t="array" ref="AU4142">$C4142*EXP(poly_from_str(100000000/$E4142,AU$4343))</f>
        <v>70.29855111170707</v>
      </c>
      <c r="AV4142" s="13">
        <f t="shared" si="3876"/>
        <v>-1.0197124685732595</v>
      </c>
      <c r="AW4142" s="13"/>
      <c r="AX4142" s="13"/>
      <c r="AY4142" s="13"/>
    </row>
    <row r="4143" spans="1:51" x14ac:dyDescent="0.25">
      <c r="A4143">
        <v>2231.2109999999998</v>
      </c>
      <c r="B4143" s="2" t="str">
        <f t="shared" si="3829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3830"/>
        <v>2231.2109999999998</v>
      </c>
      <c r="AB4143" s="3">
        <f t="shared" si="3831"/>
        <v>44804.78</v>
      </c>
      <c r="AC4143" s="3" cm="1">
        <f t="array" ref="AC4143">100000000/LvacE(AA4143)</f>
        <v>44804.785340750612</v>
      </c>
      <c r="AD4143" s="10">
        <f t="shared" si="3832"/>
        <v>1.5040463528718399E-2</v>
      </c>
      <c r="AE4143" s="10" t="b">
        <f t="shared" si="3833"/>
        <v>1</v>
      </c>
      <c r="AP4143"/>
      <c r="AQ4143"/>
      <c r="AU4143" s="13" cm="1">
        <f t="array" ref="AU4143">$C4143*EXP(poly_from_str(100000000/$E4143,AU$4343))</f>
        <v>60.435397730461375</v>
      </c>
    </row>
    <row r="4144" spans="1:51" x14ac:dyDescent="0.25">
      <c r="A4144" t="s">
        <v>4457</v>
      </c>
      <c r="B4144" s="2" t="str">
        <f t="shared" si="3829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3830"/>
        <v>2231.0450000000001</v>
      </c>
      <c r="AB4144" s="3">
        <f t="shared" si="3831"/>
        <v>44808.12</v>
      </c>
      <c r="AC4144" s="3" cm="1">
        <f t="array" ref="AC4144">100000000/LvacE(AA4144)</f>
        <v>44808.118695821569</v>
      </c>
      <c r="AD4144" s="10">
        <f t="shared" si="3832"/>
        <v>1.5041957624301969E-2</v>
      </c>
      <c r="AE4144" s="10" t="b">
        <f t="shared" si="3833"/>
        <v>1</v>
      </c>
      <c r="AP4144"/>
      <c r="AQ4144"/>
      <c r="AU4144" s="13" cm="1">
        <f t="array" ref="AU4144">$C4144*EXP(poly_from_str(100000000/$E4144,AU$4343))</f>
        <v>10.089682858850788</v>
      </c>
    </row>
    <row r="4145" spans="1:51" x14ac:dyDescent="0.25">
      <c r="A4145" t="s">
        <v>4458</v>
      </c>
      <c r="B4145" s="2" t="str">
        <f t="shared" si="3829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3830"/>
        <v>2230.8150000000001</v>
      </c>
      <c r="AB4145" s="3">
        <f t="shared" si="3831"/>
        <v>44812.74</v>
      </c>
      <c r="AC4145" s="3" cm="1">
        <f t="array" ref="AC4145">100000000/LvacE(AA4145)</f>
        <v>44812.7380195066</v>
      </c>
      <c r="AD4145" s="10">
        <f t="shared" si="3832"/>
        <v>1.5044028307929301E-2</v>
      </c>
      <c r="AE4145" s="10" t="b">
        <f t="shared" si="3833"/>
        <v>1</v>
      </c>
      <c r="AP4145"/>
      <c r="AQ4145"/>
      <c r="AU4145" s="13" cm="1">
        <f t="array" ref="AU4145">$C4145*EXP(poly_from_str(100000000/$E4145,AU$4343))</f>
        <v>10.113437681421892</v>
      </c>
    </row>
    <row r="4146" spans="1:51" x14ac:dyDescent="0.25">
      <c r="A4146" t="s">
        <v>4459</v>
      </c>
      <c r="B4146" s="2" t="str">
        <f t="shared" si="3829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3830"/>
        <v>2230.5819999999999</v>
      </c>
      <c r="AB4146" s="3">
        <f t="shared" si="3831"/>
        <v>44817.42</v>
      </c>
      <c r="AC4146" s="3" cm="1">
        <f t="array" ref="AC4146">100000000/LvacE(AA4146)</f>
        <v>44817.418566366352</v>
      </c>
      <c r="AD4146" s="10">
        <f t="shared" si="3832"/>
        <v>1.5046126653574351E-2</v>
      </c>
      <c r="AE4146" s="10" t="b">
        <f t="shared" si="3833"/>
        <v>1</v>
      </c>
      <c r="AP4146"/>
      <c r="AQ4146"/>
      <c r="AU4146" s="13" cm="1">
        <f t="array" ref="AU4146">$C4146*EXP(poly_from_str(100000000/$E4146,AU$4343))</f>
        <v>60.825566477804216</v>
      </c>
    </row>
    <row r="4147" spans="1:51" x14ac:dyDescent="0.25">
      <c r="A4147" t="s">
        <v>4460</v>
      </c>
      <c r="B4147" s="2" t="str">
        <f t="shared" si="3829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3830"/>
        <v>2230.348</v>
      </c>
      <c r="AB4147" s="3">
        <f t="shared" si="3831"/>
        <v>44822.12</v>
      </c>
      <c r="AC4147" s="3" cm="1">
        <f t="array" ref="AC4147">100000000/LvacE(AA4147)</f>
        <v>44822.120185437758</v>
      </c>
      <c r="AD4147" s="10">
        <f t="shared" si="3832"/>
        <v>1.5048234666840726E-2</v>
      </c>
      <c r="AE4147" s="10" t="b">
        <f t="shared" si="3833"/>
        <v>1</v>
      </c>
      <c r="AJ4147" t="s">
        <v>4780</v>
      </c>
      <c r="AK4147" t="s">
        <v>4698</v>
      </c>
      <c r="AL4147">
        <v>13352.1</v>
      </c>
      <c r="AM4147">
        <v>58174.15</v>
      </c>
      <c r="AN4147" s="10" cm="1">
        <f t="array" ref="AN4147">Lair(100000000/($AM4147-$AL4147))</f>
        <v>2230.3515002976947</v>
      </c>
      <c r="AO4147" s="10">
        <f>100000000/($AM4147-$AL4147)</f>
        <v>2231.044764797683</v>
      </c>
      <c r="AP4147" s="12">
        <v>2120000000</v>
      </c>
      <c r="AQ4147" s="3">
        <v>0.76100000000000001</v>
      </c>
      <c r="AR4147" s="3">
        <f>LN(AU4147*100000000/($AM4147-$AL4147)/AP4147)</f>
        <v>-9.1432212789897243</v>
      </c>
      <c r="AS4147" s="13">
        <f>EXP(AR$4341*$AM4147+AR$4342)*$AP4147/(100000000/($AM4147-$AL4147))</f>
        <v>1067.3035202614174</v>
      </c>
      <c r="AT4147" s="3">
        <f>LN(AS4147/$C4147)</f>
        <v>4.6703055792071551</v>
      </c>
      <c r="AU4147" s="13" cm="1">
        <f t="array" ref="AU4147">$C4147*EXP(poly_from_str(100000000/$E4147,AU$4343))</f>
        <v>101.61949406995174</v>
      </c>
      <c r="AV4147" s="13">
        <f>LN(AS4147/AU4147)</f>
        <v>2.3516552846944192</v>
      </c>
      <c r="AW4147" s="13"/>
      <c r="AX4147" s="13"/>
      <c r="AY4147" s="13"/>
    </row>
    <row r="4148" spans="1:51" x14ac:dyDescent="0.25">
      <c r="A4148" t="s">
        <v>4461</v>
      </c>
      <c r="B4148" s="2" t="str">
        <f t="shared" si="3829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3830"/>
        <v>2230.1170000000002</v>
      </c>
      <c r="AB4148" s="3">
        <f t="shared" si="3831"/>
        <v>44826.76</v>
      </c>
      <c r="AC4148" s="3" cm="1">
        <f t="array" ref="AC4148">100000000/LvacE(AA4148)</f>
        <v>44826.762494895913</v>
      </c>
      <c r="AD4148" s="10">
        <f t="shared" si="3832"/>
        <v>1.5050316305130158E-2</v>
      </c>
      <c r="AE4148" s="10" t="b">
        <f t="shared" si="3833"/>
        <v>1</v>
      </c>
      <c r="AP4148"/>
      <c r="AQ4148"/>
      <c r="AU4148" s="13" cm="1">
        <f t="array" ref="AU4148">$C4148*EXP(poly_from_str(100000000/$E4148,AU$4343))</f>
        <v>61.116523889354028</v>
      </c>
    </row>
    <row r="4149" spans="1:51" x14ac:dyDescent="0.25">
      <c r="A4149" t="s">
        <v>4462</v>
      </c>
      <c r="B4149" s="2" t="str">
        <f t="shared" si="3829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3830"/>
        <v>2229.8870000000002</v>
      </c>
      <c r="AB4149" s="3">
        <f t="shared" si="3831"/>
        <v>44831.39</v>
      </c>
      <c r="AC4149" s="3" cm="1">
        <f t="array" ref="AC4149">100000000/LvacE(AA4149)</f>
        <v>44831.385663152651</v>
      </c>
      <c r="AD4149" s="10">
        <f t="shared" si="3832"/>
        <v>1.5052389574707743E-2</v>
      </c>
      <c r="AE4149" s="10" t="b">
        <f t="shared" si="3833"/>
        <v>1</v>
      </c>
      <c r="AP4149"/>
      <c r="AQ4149"/>
      <c r="AU4149" s="13" cm="1">
        <f t="array" ref="AU4149">$C4149*EXP(poly_from_str(100000000/$E4149,AU$4343))</f>
        <v>10.210266536105109</v>
      </c>
    </row>
    <row r="4150" spans="1:51" x14ac:dyDescent="0.25">
      <c r="A4150" t="s">
        <v>4463</v>
      </c>
      <c r="B4150" s="2" t="str">
        <f t="shared" si="3829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3877">$G4150&amp;""</f>
        <v>e</v>
      </c>
      <c r="N4150" t="str">
        <f t="shared" ref="N4150:N4162" si="3878">$H4150&amp;""</f>
        <v>7/2</v>
      </c>
      <c r="O4150">
        <v>61357.04</v>
      </c>
      <c r="P4150" t="str">
        <f t="shared" ref="P4150:P4162" si="3879">$J4150&amp;""</f>
        <v>o</v>
      </c>
      <c r="Q4150" t="str">
        <f t="shared" ref="Q4150:Q4162" si="3880">$K4150&amp;""</f>
        <v>9/2</v>
      </c>
      <c r="R4150">
        <v>38</v>
      </c>
      <c r="AA4150" s="10">
        <f t="shared" si="3830"/>
        <v>2229.4169999999999</v>
      </c>
      <c r="AB4150" s="3">
        <f t="shared" si="3831"/>
        <v>44840.84</v>
      </c>
      <c r="AC4150" s="3" cm="1">
        <f t="array" ref="AC4150">100000000/LvacE(AA4150)</f>
        <v>44840.835972651701</v>
      </c>
      <c r="AD4150" s="10">
        <f t="shared" si="3832"/>
        <v>1.5056628251388524E-2</v>
      </c>
      <c r="AE4150" s="10" t="b">
        <f t="shared" si="3833"/>
        <v>1</v>
      </c>
      <c r="AJ4150" t="s">
        <v>4776</v>
      </c>
      <c r="AK4150" t="s">
        <v>4903</v>
      </c>
      <c r="AL4150">
        <v>16516.150000000001</v>
      </c>
      <c r="AM4150">
        <v>61357.04</v>
      </c>
      <c r="AN4150" s="10" cm="1">
        <f t="array" ref="AN4150">Lair(100000000/($AM4150-$AL4150))</f>
        <v>2229.4143211377036</v>
      </c>
      <c r="AO4150" s="10">
        <f t="shared" ref="AO4150:AO4162" si="3881">100000000/($AM4150-$AL4150)</f>
        <v>2230.1073863609754</v>
      </c>
      <c r="AP4150" s="12">
        <v>20200000</v>
      </c>
      <c r="AQ4150" s="3">
        <v>5.0999999999999997E-2</v>
      </c>
      <c r="AR4150" s="3">
        <f t="shared" ref="AR4150:AR4154" si="3882">LN(AU4150*100000000/($AM4150-$AL4150)/AP4150)</f>
        <v>-6.7831442442600691</v>
      </c>
      <c r="AS4150" s="13">
        <f t="shared" ref="AS4150:AS4162" si="3883">EXP(AR$4341*$AM4150+AR$4342)*$AP4150/(100000000/($AM4150-$AL4150))</f>
        <v>8.012129395585923</v>
      </c>
      <c r="AT4150" s="3">
        <f t="shared" ref="AT4150:AT4160" si="3884">LN(AS4150/$C4150)</f>
        <v>2.0809565678960644</v>
      </c>
      <c r="AU4150" s="13" cm="1">
        <f t="array" ref="AU4150">$C4150*EXP(poly_from_str(100000000/$E4150,AU$4343))</f>
        <v>10.259908273498207</v>
      </c>
      <c r="AV4150" s="13">
        <f t="shared" ref="AV4150:AV4154" si="3885">LN(AS4150/AU4150)</f>
        <v>-0.2472873316017421</v>
      </c>
      <c r="AW4150" s="13"/>
      <c r="AX4150" s="13"/>
      <c r="AY4150" s="13"/>
    </row>
    <row r="4151" spans="1:51" x14ac:dyDescent="0.25">
      <c r="A4151" t="s">
        <v>4464</v>
      </c>
      <c r="B4151" s="2" t="str">
        <f t="shared" si="3829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3877"/>
        <v>e</v>
      </c>
      <c r="N4151" t="str">
        <f t="shared" si="3878"/>
        <v>11/2</v>
      </c>
      <c r="O4151">
        <v>64150.94</v>
      </c>
      <c r="P4151" t="str">
        <f t="shared" si="3879"/>
        <v>o</v>
      </c>
      <c r="Q4151" t="str">
        <f t="shared" si="3880"/>
        <v>11/2</v>
      </c>
      <c r="R4151">
        <v>38</v>
      </c>
      <c r="AA4151" s="10">
        <f t="shared" si="3830"/>
        <v>2229.36</v>
      </c>
      <c r="AB4151" s="3">
        <f t="shared" si="3831"/>
        <v>44841.98</v>
      </c>
      <c r="AC4151" s="3" cm="1">
        <f t="array" ref="AC4151">100000000/LvacE(AA4151)</f>
        <v>44841.982344885764</v>
      </c>
      <c r="AD4151" s="10">
        <f t="shared" si="3832"/>
        <v>1.5057142485934476E-2</v>
      </c>
      <c r="AE4151" s="10" t="b">
        <f t="shared" si="3833"/>
        <v>1</v>
      </c>
      <c r="AJ4151" t="s">
        <v>4813</v>
      </c>
      <c r="AK4151" t="s">
        <v>4931</v>
      </c>
      <c r="AL4151">
        <v>19308.93</v>
      </c>
      <c r="AM4151">
        <v>64150.94</v>
      </c>
      <c r="AN4151" s="10" cm="1">
        <f t="array" ref="AN4151">Lair(100000000/($AM4151-$AL4151))</f>
        <v>2229.3586325230731</v>
      </c>
      <c r="AO4151" s="10">
        <f t="shared" si="3881"/>
        <v>2230.0516859079244</v>
      </c>
      <c r="AP4151" s="12">
        <v>115000000</v>
      </c>
      <c r="AQ4151" s="3">
        <v>0.223</v>
      </c>
      <c r="AR4151" s="3">
        <f t="shared" si="3882"/>
        <v>-6.7300731789872552</v>
      </c>
      <c r="AS4151" s="13">
        <f t="shared" si="3883"/>
        <v>36.986682902528898</v>
      </c>
      <c r="AT4151" s="3">
        <f t="shared" si="3884"/>
        <v>1.8187984570755882</v>
      </c>
      <c r="AU4151" s="13" cm="1">
        <f t="array" ref="AU4151">$C4151*EXP(poly_from_str(100000000/$E4151,AU$4343))</f>
        <v>61.595540018271507</v>
      </c>
      <c r="AV4151" s="13">
        <f t="shared" si="3885"/>
        <v>-0.51003153931387069</v>
      </c>
      <c r="AW4151" s="13"/>
      <c r="AX4151" s="13"/>
      <c r="AY4151" s="13"/>
    </row>
    <row r="4152" spans="1:51" x14ac:dyDescent="0.25">
      <c r="A4152" t="s">
        <v>4465</v>
      </c>
      <c r="B4152" s="2" t="str">
        <f t="shared" si="3829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3877"/>
        <v>e</v>
      </c>
      <c r="N4152" t="str">
        <f t="shared" si="3878"/>
        <v>13/2</v>
      </c>
      <c r="O4152">
        <v>64215.45</v>
      </c>
      <c r="P4152" t="str">
        <f t="shared" si="3879"/>
        <v>o</v>
      </c>
      <c r="Q4152" t="str">
        <f t="shared" si="3880"/>
        <v>13/2</v>
      </c>
      <c r="R4152">
        <v>38</v>
      </c>
      <c r="AA4152" s="10">
        <f t="shared" si="3830"/>
        <v>2228.6930000000002</v>
      </c>
      <c r="AB4152" s="3">
        <f t="shared" si="3831"/>
        <v>44855.4</v>
      </c>
      <c r="AC4152" s="3" cm="1">
        <f t="array" ref="AC4152">100000000/LvacE(AA4152)</f>
        <v>44855.401268039648</v>
      </c>
      <c r="AD4152" s="10">
        <f t="shared" si="3832"/>
        <v>1.5063162864521862E-2</v>
      </c>
      <c r="AE4152" s="10" t="b">
        <f t="shared" si="3833"/>
        <v>1</v>
      </c>
      <c r="AJ4152" t="s">
        <v>4748</v>
      </c>
      <c r="AK4152" t="s">
        <v>4823</v>
      </c>
      <c r="AL4152">
        <v>19360.099999999999</v>
      </c>
      <c r="AM4152">
        <v>64215.45</v>
      </c>
      <c r="AN4152" s="10" cm="1">
        <f t="array" ref="AN4152">Lair(100000000/($AM4152-$AL4152))</f>
        <v>2228.695555145046</v>
      </c>
      <c r="AO4152" s="10">
        <f t="shared" si="3881"/>
        <v>2229.3884675963959</v>
      </c>
      <c r="AP4152" s="12">
        <v>204000000</v>
      </c>
      <c r="AQ4152" s="3">
        <v>0.23899999999999999</v>
      </c>
      <c r="AR4152" s="3">
        <f t="shared" si="3882"/>
        <v>-7.142492153383559</v>
      </c>
      <c r="AS4152" s="13">
        <f t="shared" si="3883"/>
        <v>65.313710108097453</v>
      </c>
      <c r="AT4152" s="3">
        <f t="shared" si="3884"/>
        <v>2.2332918209030463</v>
      </c>
      <c r="AU4152" s="13" cm="1">
        <f t="array" ref="AU4152">$C4152*EXP(poly_from_str(100000000/$E4152,AU$4343))</f>
        <v>72.360154910547536</v>
      </c>
      <c r="AV4152" s="13">
        <f t="shared" si="3885"/>
        <v>-0.1024538313976696</v>
      </c>
      <c r="AW4152" s="13"/>
      <c r="AX4152" s="13"/>
      <c r="AY4152" s="13"/>
    </row>
    <row r="4153" spans="1:51" x14ac:dyDescent="0.25">
      <c r="A4153" t="s">
        <v>4466</v>
      </c>
      <c r="B4153" s="2" t="str">
        <f t="shared" si="3829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3877"/>
        <v>e</v>
      </c>
      <c r="N4153" t="str">
        <f t="shared" si="3878"/>
        <v>7/2</v>
      </c>
      <c r="O4153">
        <v>71994.81</v>
      </c>
      <c r="P4153" t="str">
        <f t="shared" si="3879"/>
        <v>o</v>
      </c>
      <c r="Q4153" t="str">
        <f t="shared" si="3880"/>
        <v>5/2</v>
      </c>
      <c r="R4153">
        <v>38</v>
      </c>
      <c r="AA4153" s="10">
        <f t="shared" si="3830"/>
        <v>2228.6469999999999</v>
      </c>
      <c r="AB4153" s="3">
        <f t="shared" si="3831"/>
        <v>44856.33</v>
      </c>
      <c r="AC4153" s="3" cm="1">
        <f t="array" ref="AC4153">100000000/LvacE(AA4153)</f>
        <v>44856.327007024236</v>
      </c>
      <c r="AD4153" s="10">
        <f t="shared" si="3832"/>
        <v>1.5063578262287443E-2</v>
      </c>
      <c r="AE4153" s="10" t="b">
        <f t="shared" si="3833"/>
        <v>1</v>
      </c>
      <c r="AJ4153" t="s">
        <v>4723</v>
      </c>
      <c r="AK4153" t="s">
        <v>4900</v>
      </c>
      <c r="AL4153">
        <v>27138.55</v>
      </c>
      <c r="AM4153">
        <v>71994.81</v>
      </c>
      <c r="AN4153" s="10" cm="1">
        <f t="array" ref="AN4153">Lair(100000000/($AM4153-$AL4153))</f>
        <v>2228.6503370980136</v>
      </c>
      <c r="AO4153" s="10">
        <f t="shared" si="3881"/>
        <v>2229.3432399402004</v>
      </c>
      <c r="AP4153" s="12">
        <v>220000000</v>
      </c>
      <c r="AQ4153" s="3">
        <v>0.30599999999999999</v>
      </c>
      <c r="AR4153" s="3">
        <f t="shared" si="3882"/>
        <v>-7.3716903165006196</v>
      </c>
      <c r="AS4153" s="13">
        <f t="shared" si="3883"/>
        <v>39.287800377758344</v>
      </c>
      <c r="AT4153" s="3">
        <f t="shared" si="3884"/>
        <v>1.879154578498178</v>
      </c>
      <c r="AU4153" s="13" cm="1">
        <f t="array" ref="AU4153">$C4153*EXP(poly_from_str(100000000/$E4153,AU$4343))</f>
        <v>62.052790223246305</v>
      </c>
      <c r="AV4153" s="13">
        <f t="shared" si="3885"/>
        <v>-0.45707143025014846</v>
      </c>
      <c r="AW4153" s="13"/>
      <c r="AX4153" s="13"/>
      <c r="AY4153" s="13"/>
    </row>
    <row r="4154" spans="1:51" x14ac:dyDescent="0.25">
      <c r="A4154" t="s">
        <v>4467</v>
      </c>
      <c r="B4154" s="2" t="str">
        <f t="shared" si="3829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3877"/>
        <v>e</v>
      </c>
      <c r="N4154" t="str">
        <f t="shared" si="3878"/>
        <v>7/2</v>
      </c>
      <c r="O4154">
        <v>66943.039999999994</v>
      </c>
      <c r="P4154" t="str">
        <f t="shared" si="3879"/>
        <v>o</v>
      </c>
      <c r="Q4154" t="str">
        <f t="shared" si="3880"/>
        <v>5/2</v>
      </c>
      <c r="R4154">
        <v>38</v>
      </c>
      <c r="AA4154" s="10">
        <f t="shared" si="3830"/>
        <v>2228.3580000000002</v>
      </c>
      <c r="AB4154" s="3">
        <f t="shared" si="3831"/>
        <v>44862.14</v>
      </c>
      <c r="AC4154" s="3" cm="1">
        <f t="array" ref="AC4154">100000000/LvacE(AA4154)</f>
        <v>44862.143936985922</v>
      </c>
      <c r="AD4154" s="10">
        <f t="shared" si="3832"/>
        <v>1.5066188632388944E-2</v>
      </c>
      <c r="AE4154" s="10" t="b">
        <f t="shared" si="3833"/>
        <v>1</v>
      </c>
      <c r="AJ4154" t="s">
        <v>4790</v>
      </c>
      <c r="AK4154" t="s">
        <v>4847</v>
      </c>
      <c r="AL4154">
        <v>22080.94</v>
      </c>
      <c r="AM4154">
        <v>66943.039999999994</v>
      </c>
      <c r="AN4154" s="10" cm="1">
        <f t="array" ref="AN4154">Lair(100000000/($AM4154-$AL4154))</f>
        <v>2228.3601902116698</v>
      </c>
      <c r="AO4154" s="10">
        <f t="shared" si="3881"/>
        <v>2229.0530314006705</v>
      </c>
      <c r="AP4154" s="12">
        <v>82700000</v>
      </c>
      <c r="AQ4154" s="3">
        <v>0.10100000000000001</v>
      </c>
      <c r="AR4154" s="3">
        <f t="shared" si="3882"/>
        <v>-6.3904083775668754</v>
      </c>
      <c r="AS4154" s="13">
        <f t="shared" si="3883"/>
        <v>21.579747492222786</v>
      </c>
      <c r="AT4154" s="3">
        <f t="shared" si="3884"/>
        <v>1.2799957895243377</v>
      </c>
      <c r="AU4154" s="13" cm="1">
        <f t="array" ref="AU4154">$C4154*EXP(poly_from_str(100000000/$E4154,AU$4343))</f>
        <v>62.239488257854688</v>
      </c>
      <c r="AV4154" s="13">
        <f t="shared" si="3885"/>
        <v>-1.059234399005772</v>
      </c>
      <c r="AW4154" s="13"/>
      <c r="AX4154" s="13"/>
      <c r="AY4154" s="13"/>
    </row>
    <row r="4155" spans="1:51" x14ac:dyDescent="0.25">
      <c r="A4155" t="s">
        <v>4468</v>
      </c>
      <c r="B4155" s="2" t="str">
        <f t="shared" si="3829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3877"/>
        <v>e</v>
      </c>
      <c r="N4155" t="str">
        <f t="shared" si="3878"/>
        <v>7/2</v>
      </c>
      <c r="O4155">
        <v>67398.789999999994</v>
      </c>
      <c r="P4155" t="str">
        <f t="shared" si="3879"/>
        <v>o</v>
      </c>
      <c r="Q4155" t="str">
        <f t="shared" si="3880"/>
        <v>9/2</v>
      </c>
      <c r="R4155">
        <v>38</v>
      </c>
      <c r="AA4155" s="10">
        <f t="shared" si="3830"/>
        <v>2227.91</v>
      </c>
      <c r="AB4155" s="3">
        <f t="shared" si="3831"/>
        <v>44871.16</v>
      </c>
      <c r="AC4155" s="3" cm="1">
        <f t="array" ref="AC4155">100000000/LvacE(AA4155)</f>
        <v>44871.164167106166</v>
      </c>
      <c r="AD4155" s="10">
        <f t="shared" si="3832"/>
        <v>1.5070237165573604E-2</v>
      </c>
      <c r="AE4155" s="10" t="b">
        <f t="shared" si="3833"/>
        <v>1</v>
      </c>
      <c r="AJ4155" t="s">
        <v>4799</v>
      </c>
      <c r="AK4155" t="s">
        <v>4863</v>
      </c>
      <c r="AL4155">
        <v>22527.7</v>
      </c>
      <c r="AM4155">
        <v>67398.789999999994</v>
      </c>
      <c r="AN4155" s="10" cm="1">
        <f t="array" ref="AN4155">Lair(100000000/($AM4155-$AL4155))</f>
        <v>2227.9136904650009</v>
      </c>
      <c r="AO4155" s="10">
        <f t="shared" si="3881"/>
        <v>2228.6064367948275</v>
      </c>
      <c r="AP4155" s="12">
        <v>6580000</v>
      </c>
      <c r="AQ4155" s="3">
        <v>1.6E-2</v>
      </c>
      <c r="AR4155" s="3"/>
      <c r="AS4155" s="13">
        <f t="shared" si="3883"/>
        <v>1.6595860653235497</v>
      </c>
      <c r="AT4155" s="3"/>
      <c r="AU4155" s="13" cm="1">
        <f t="array" ref="AU4155">$C4155*EXP(poly_from_str(100000000/$E4155,AU$4343))</f>
        <v>10.421857143205038</v>
      </c>
      <c r="AV4155" s="13"/>
      <c r="AW4155" s="13"/>
      <c r="AX4155" s="13"/>
      <c r="AY4155" s="13"/>
    </row>
    <row r="4156" spans="1:51" x14ac:dyDescent="0.25">
      <c r="A4156" t="s">
        <v>4469</v>
      </c>
      <c r="B4156" s="2" t="str">
        <f t="shared" si="3829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3877"/>
        <v>e</v>
      </c>
      <c r="N4156" t="str">
        <f t="shared" si="3878"/>
        <v>13/2</v>
      </c>
      <c r="O4156">
        <v>68525.62</v>
      </c>
      <c r="P4156" t="str">
        <f t="shared" si="3879"/>
        <v>o</v>
      </c>
      <c r="Q4156" t="str">
        <f t="shared" si="3880"/>
        <v>11/2</v>
      </c>
      <c r="R4156">
        <v>38</v>
      </c>
      <c r="AA4156" s="10">
        <f t="shared" si="3830"/>
        <v>2227.578</v>
      </c>
      <c r="AB4156" s="3">
        <f t="shared" si="3831"/>
        <v>44877.85</v>
      </c>
      <c r="AC4156" s="3" cm="1">
        <f t="array" ref="AC4156">100000000/LvacE(AA4156)</f>
        <v>44877.851142086438</v>
      </c>
      <c r="AD4156" s="10">
        <f t="shared" si="3832"/>
        <v>1.5073238993670805E-2</v>
      </c>
      <c r="AE4156" s="10" t="b">
        <f t="shared" si="3833"/>
        <v>1</v>
      </c>
      <c r="AJ4156" t="s">
        <v>4966</v>
      </c>
      <c r="AK4156" t="s">
        <v>4869</v>
      </c>
      <c r="AL4156">
        <v>23647.77</v>
      </c>
      <c r="AM4156">
        <v>68525.62</v>
      </c>
      <c r="AN4156" s="10" cm="1">
        <f t="array" ref="AN4156">Lair(100000000/($AM4156-$AL4156))</f>
        <v>2227.5780643116768</v>
      </c>
      <c r="AO4156" s="10">
        <f t="shared" si="3881"/>
        <v>2228.2707393513733</v>
      </c>
      <c r="AP4156" s="12">
        <v>285000000</v>
      </c>
      <c r="AQ4156" s="3">
        <v>0.214</v>
      </c>
      <c r="AR4156" s="3">
        <f t="shared" ref="AR4156:AR4160" si="3886">LN(AU4156*100000000/($AM4156-$AL4156)/AP4156)</f>
        <v>-7.4657270915684624</v>
      </c>
      <c r="AS4156" s="13">
        <f t="shared" si="3883"/>
        <v>66.062968143245683</v>
      </c>
      <c r="AT4156" s="3">
        <f t="shared" si="3884"/>
        <v>2.2446982009189385</v>
      </c>
      <c r="AU4156" s="13" cm="1">
        <f t="array" ref="AU4156">$C4156*EXP(poly_from_str(100000000/$E4156,AU$4343))</f>
        <v>73.207035975748568</v>
      </c>
      <c r="AV4156" s="13">
        <f t="shared" ref="AV4156:AV4160" si="3887">LN(AS4156/AU4156)</f>
        <v>-0.10268318626106936</v>
      </c>
      <c r="AW4156" s="13"/>
      <c r="AX4156" s="13"/>
      <c r="AY4156" s="13"/>
    </row>
    <row r="4157" spans="1:51" x14ac:dyDescent="0.25">
      <c r="A4157" t="s">
        <v>4470</v>
      </c>
      <c r="B4157" s="2" t="str">
        <f t="shared" si="3829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3877"/>
        <v>e</v>
      </c>
      <c r="N4157" t="str">
        <f t="shared" si="3878"/>
        <v>9/2</v>
      </c>
      <c r="O4157">
        <v>73606.17</v>
      </c>
      <c r="P4157" t="str">
        <f t="shared" si="3879"/>
        <v>o</v>
      </c>
      <c r="Q4157" t="str">
        <f t="shared" si="3880"/>
        <v>9/2</v>
      </c>
      <c r="R4157">
        <v>38</v>
      </c>
      <c r="AA4157" s="10">
        <f t="shared" si="3830"/>
        <v>2227.201</v>
      </c>
      <c r="AB4157" s="3">
        <f t="shared" si="3831"/>
        <v>44885.45</v>
      </c>
      <c r="AC4157" s="3" cm="1">
        <f t="array" ref="AC4157">100000000/LvacE(AA4157)</f>
        <v>44885.446900873903</v>
      </c>
      <c r="AD4157" s="10">
        <f t="shared" si="3832"/>
        <v>1.5076649323719302E-2</v>
      </c>
      <c r="AE4157" s="10" t="b">
        <f t="shared" si="3833"/>
        <v>1</v>
      </c>
      <c r="AJ4157" t="s">
        <v>4708</v>
      </c>
      <c r="AK4157" t="s">
        <v>4936</v>
      </c>
      <c r="AL4157">
        <v>28720.71</v>
      </c>
      <c r="AM4157">
        <v>73606.17</v>
      </c>
      <c r="AN4157" s="10" cm="1">
        <f t="array" ref="AN4157">Lair(100000000/($AM4157-$AL4157))</f>
        <v>2227.2003575915896</v>
      </c>
      <c r="AO4157" s="10">
        <f t="shared" si="3881"/>
        <v>2227.8929524171081</v>
      </c>
      <c r="AP4157" s="12">
        <v>109000000</v>
      </c>
      <c r="AQ4157" s="3">
        <v>0.129</v>
      </c>
      <c r="AR4157" s="3">
        <f t="shared" si="3886"/>
        <v>-7.348095222753483</v>
      </c>
      <c r="AS4157" s="13">
        <f t="shared" si="3883"/>
        <v>17.259415023284223</v>
      </c>
      <c r="AT4157" s="3">
        <f t="shared" si="3884"/>
        <v>1.7497455043667185</v>
      </c>
      <c r="AU4157" s="13" cm="1">
        <f t="array" ref="AU4157">$C4157*EXP(poly_from_str(100000000/$E4157,AU$4343))</f>
        <v>31.49886974379422</v>
      </c>
      <c r="AV4157" s="13">
        <f t="shared" si="3887"/>
        <v>-0.60159387100362549</v>
      </c>
      <c r="AW4157" s="13"/>
      <c r="AX4157" s="13"/>
      <c r="AY4157" s="13"/>
    </row>
    <row r="4158" spans="1:51" x14ac:dyDescent="0.25">
      <c r="A4158" t="s">
        <v>4471</v>
      </c>
      <c r="B4158" s="2" t="str">
        <f t="shared" si="3829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3877"/>
        <v>e</v>
      </c>
      <c r="N4158" t="str">
        <f t="shared" si="3878"/>
        <v>11/2</v>
      </c>
      <c r="O4158">
        <v>60419.73</v>
      </c>
      <c r="P4158" t="str">
        <f t="shared" si="3879"/>
        <v>o</v>
      </c>
      <c r="Q4158" t="str">
        <f t="shared" si="3880"/>
        <v>11/2</v>
      </c>
      <c r="R4158">
        <v>38</v>
      </c>
      <c r="AA4158" s="10">
        <f t="shared" si="3830"/>
        <v>2226.7649999999999</v>
      </c>
      <c r="AB4158" s="3">
        <f t="shared" si="3831"/>
        <v>44894.23</v>
      </c>
      <c r="AC4158" s="3" cm="1">
        <f t="array" ref="AC4158">100000000/LvacE(AA4158)</f>
        <v>44894.234592389766</v>
      </c>
      <c r="AD4158" s="10">
        <f t="shared" si="3832"/>
        <v>1.5080595525883912E-2</v>
      </c>
      <c r="AE4158" s="10" t="b">
        <f t="shared" si="3833"/>
        <v>1</v>
      </c>
      <c r="AJ4158" t="s">
        <v>4734</v>
      </c>
      <c r="AK4158" t="s">
        <v>4849</v>
      </c>
      <c r="AL4158">
        <v>15525.5</v>
      </c>
      <c r="AM4158">
        <v>60419.73</v>
      </c>
      <c r="AN4158" s="10" cm="1">
        <f t="array" ref="AN4158">Lair(100000000/($AM4158-$AL4158))</f>
        <v>2226.7652354507995</v>
      </c>
      <c r="AO4158" s="10">
        <f t="shared" si="3881"/>
        <v>2227.4577378874747</v>
      </c>
      <c r="AP4158" s="12">
        <v>212000000</v>
      </c>
      <c r="AQ4158" s="3">
        <v>0.114</v>
      </c>
      <c r="AR4158" s="3">
        <f t="shared" si="3886"/>
        <v>-7.1616466609757712</v>
      </c>
      <c r="AS4158" s="13">
        <f t="shared" si="3883"/>
        <v>90.322910985072582</v>
      </c>
      <c r="AT4158" s="3">
        <f t="shared" si="3884"/>
        <v>2.5574809999508799</v>
      </c>
      <c r="AU4158" s="13" cm="1">
        <f t="array" ref="AU4158">$C4158*EXP(poly_from_str(100000000/$E4158,AU$4343))</f>
        <v>73.835082064681743</v>
      </c>
      <c r="AV4158" s="13">
        <f t="shared" si="3887"/>
        <v>0.20155716362063147</v>
      </c>
      <c r="AW4158" s="13"/>
      <c r="AX4158" s="13"/>
      <c r="AY4158" s="13"/>
    </row>
    <row r="4159" spans="1:51" x14ac:dyDescent="0.25">
      <c r="A4159" t="s">
        <v>4472</v>
      </c>
      <c r="B4159" s="2" t="str">
        <f t="shared" si="3829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3877"/>
        <v>e</v>
      </c>
      <c r="N4159" t="str">
        <f t="shared" si="3878"/>
        <v>9/2</v>
      </c>
      <c r="O4159">
        <v>69686.259999999995</v>
      </c>
      <c r="P4159" t="str">
        <f t="shared" si="3879"/>
        <v>o</v>
      </c>
      <c r="Q4159" t="str">
        <f t="shared" si="3880"/>
        <v>9/2</v>
      </c>
      <c r="R4159">
        <v>38</v>
      </c>
      <c r="AA4159" s="10">
        <f t="shared" si="3830"/>
        <v>2226.5650000000001</v>
      </c>
      <c r="AB4159" s="3">
        <f t="shared" si="3831"/>
        <v>44898.27</v>
      </c>
      <c r="AC4159" s="3" cm="1">
        <f t="array" ref="AC4159">100000000/LvacE(AA4159)</f>
        <v>44898.266794730691</v>
      </c>
      <c r="AD4159" s="10">
        <f t="shared" si="3832"/>
        <v>1.5082406485939257E-2</v>
      </c>
      <c r="AE4159" s="10" t="b">
        <f t="shared" si="3833"/>
        <v>1</v>
      </c>
      <c r="AJ4159" t="s">
        <v>4705</v>
      </c>
      <c r="AK4159" t="s">
        <v>4838</v>
      </c>
      <c r="AL4159">
        <v>24788.02</v>
      </c>
      <c r="AM4159">
        <v>69686.259999999995</v>
      </c>
      <c r="AN4159" s="10" cm="1">
        <f t="array" ref="AN4159">Lair(100000000/($AM4159-$AL4159))</f>
        <v>2226.566336569887</v>
      </c>
      <c r="AO4159" s="10">
        <f t="shared" si="3881"/>
        <v>2227.2587967813442</v>
      </c>
      <c r="AP4159" s="12">
        <v>244000000</v>
      </c>
      <c r="AQ4159" s="3">
        <v>0.29799999999999999</v>
      </c>
      <c r="AR4159" s="3">
        <f t="shared" si="3886"/>
        <v>-7.4543548260361758</v>
      </c>
      <c r="AS4159" s="13">
        <f t="shared" si="3883"/>
        <v>51.864749800943244</v>
      </c>
      <c r="AT4159" s="3">
        <f t="shared" si="3884"/>
        <v>2.1568798955998174</v>
      </c>
      <c r="AU4159" s="13" cm="1">
        <f t="array" ref="AU4159">$C4159*EXP(poly_from_str(100000000/$E4159,AU$4343))</f>
        <v>63.421130084867869</v>
      </c>
      <c r="AV4159" s="13">
        <f t="shared" si="3887"/>
        <v>-0.20115772318487499</v>
      </c>
      <c r="AW4159" s="13"/>
      <c r="AX4159" s="13"/>
      <c r="AY4159" s="13"/>
    </row>
    <row r="4160" spans="1:51" x14ac:dyDescent="0.25">
      <c r="A4160" t="s">
        <v>4473</v>
      </c>
      <c r="B4160" s="2" t="str">
        <f t="shared" si="3829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3877"/>
        <v>e</v>
      </c>
      <c r="N4160" t="str">
        <f t="shared" si="3878"/>
        <v>13/2</v>
      </c>
      <c r="O4160">
        <v>83607.320000000007</v>
      </c>
      <c r="P4160" t="str">
        <f t="shared" si="3879"/>
        <v>o</v>
      </c>
      <c r="Q4160" t="str">
        <f t="shared" si="3880"/>
        <v>11/2</v>
      </c>
      <c r="R4160">
        <v>38</v>
      </c>
      <c r="AA4160" s="10">
        <f t="shared" si="3830"/>
        <v>2226.1909999999998</v>
      </c>
      <c r="AB4160" s="3">
        <f t="shared" si="3831"/>
        <v>44905.81</v>
      </c>
      <c r="AC4160" s="3" cm="1">
        <f t="array" ref="AC4160">100000000/LvacE(AA4160)</f>
        <v>44905.80895685235</v>
      </c>
      <c r="AD4160" s="10">
        <f t="shared" si="3832"/>
        <v>1.5085794290977807E-2</v>
      </c>
      <c r="AE4160" s="10" t="b">
        <f t="shared" si="3833"/>
        <v>1</v>
      </c>
      <c r="AJ4160" t="s">
        <v>4751</v>
      </c>
      <c r="AK4160" t="s">
        <v>4924</v>
      </c>
      <c r="AL4160">
        <v>38701.589999999997</v>
      </c>
      <c r="AM4160">
        <v>83607.320000000007</v>
      </c>
      <c r="AN4160" s="10" cm="1">
        <f t="array" ref="AN4160">Lair(100000000/($AM4160-$AL4160))</f>
        <v>2226.1949223181796</v>
      </c>
      <c r="AO4160" s="10">
        <f t="shared" si="3881"/>
        <v>2226.8873036915329</v>
      </c>
      <c r="AP4160" s="12">
        <v>1440000000</v>
      </c>
      <c r="AQ4160" s="3">
        <v>0.80400000000000005</v>
      </c>
      <c r="AR4160" s="3">
        <f t="shared" si="3886"/>
        <v>-9.0716488314928903</v>
      </c>
      <c r="AS4160" s="13">
        <f t="shared" si="3883"/>
        <v>107.69529453527413</v>
      </c>
      <c r="AT4160" s="3">
        <f t="shared" si="3884"/>
        <v>2.7333957436722955</v>
      </c>
      <c r="AU4160" s="13" cm="1">
        <f t="array" ref="AU4160">$C4160*EXP(poly_from_str(100000000/$E4160,AU$4343))</f>
        <v>74.284332219052573</v>
      </c>
      <c r="AV4160" s="13">
        <f t="shared" si="3887"/>
        <v>0.3714058351240424</v>
      </c>
      <c r="AW4160" s="13"/>
      <c r="AX4160" s="13"/>
      <c r="AY4160" s="13"/>
    </row>
    <row r="4161" spans="1:51" x14ac:dyDescent="0.25">
      <c r="A4161" t="s">
        <v>4474</v>
      </c>
      <c r="B4161" s="2">
        <f t="shared" si="3829"/>
        <v>1</v>
      </c>
      <c r="C4161">
        <v>3</v>
      </c>
      <c r="D4161" t="s">
        <v>3264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3877"/>
        <v>e</v>
      </c>
      <c r="N4161" t="str">
        <f t="shared" si="3878"/>
        <v>11/2</v>
      </c>
      <c r="O4161">
        <v>64215.45</v>
      </c>
      <c r="P4161" t="str">
        <f t="shared" si="3879"/>
        <v>o</v>
      </c>
      <c r="Q4161" t="str">
        <f t="shared" si="3880"/>
        <v>13/2</v>
      </c>
      <c r="R4161">
        <v>38</v>
      </c>
      <c r="AA4161" s="10">
        <f t="shared" si="3830"/>
        <v>2226.1570000000002</v>
      </c>
      <c r="AB4161" s="3">
        <f t="shared" si="3831"/>
        <v>44906.49</v>
      </c>
      <c r="AC4161" s="3" cm="1">
        <f t="array" ref="AC4161">100000000/LvacE(AA4161)</f>
        <v>44906.494733590065</v>
      </c>
      <c r="AD4161" s="10">
        <f t="shared" si="3832"/>
        <v>1.5086102357917717E-2</v>
      </c>
      <c r="AE4161" s="10" t="b">
        <f t="shared" si="3833"/>
        <v>1</v>
      </c>
      <c r="AJ4161" t="s">
        <v>4813</v>
      </c>
      <c r="AK4161" t="s">
        <v>4823</v>
      </c>
      <c r="AL4161">
        <v>19308.93</v>
      </c>
      <c r="AM4161">
        <v>64215.45</v>
      </c>
      <c r="AN4161" s="10" cm="1">
        <f t="array" ref="AN4161">Lair(100000000/($AM4161-$AL4161))</f>
        <v>2226.1557550065531</v>
      </c>
      <c r="AO4161" s="10">
        <f t="shared" si="3881"/>
        <v>2226.8481280669266</v>
      </c>
      <c r="AP4161" s="12">
        <v>17900000</v>
      </c>
      <c r="AQ4161" s="3">
        <v>2.5999999999999999E-2</v>
      </c>
      <c r="AR4161" s="3"/>
      <c r="AS4161" s="13">
        <f t="shared" si="3883"/>
        <v>5.7374956478794461</v>
      </c>
      <c r="AT4161" s="3"/>
      <c r="AU4161" s="13" cm="1">
        <f t="array" ref="AU4161">$C4161*EXP(poly_from_str(100000000/$E4161,AU$4343))</f>
        <v>31.847506882138937</v>
      </c>
      <c r="AV4161" s="13"/>
      <c r="AW4161" s="13"/>
      <c r="AX4161" s="13"/>
      <c r="AY4161" s="13"/>
    </row>
    <row r="4162" spans="1:51" x14ac:dyDescent="0.25">
      <c r="A4162" t="s">
        <v>4474</v>
      </c>
      <c r="B4162" s="2">
        <f t="shared" ref="B4162:B4224" si="3888">IF(OR(A4162=A4161,A4162=A4163),IF(B4161="",1,B4161+1),"")</f>
        <v>2</v>
      </c>
      <c r="C4162">
        <v>3</v>
      </c>
      <c r="D4162" t="s">
        <v>3264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3877"/>
        <v>e</v>
      </c>
      <c r="N4162" t="str">
        <f t="shared" si="3878"/>
        <v>11/2</v>
      </c>
      <c r="O4162">
        <v>75640</v>
      </c>
      <c r="P4162" t="str">
        <f t="shared" si="3879"/>
        <v>o</v>
      </c>
      <c r="Q4162" t="str">
        <f t="shared" si="3880"/>
        <v>11/2</v>
      </c>
      <c r="R4162">
        <v>38</v>
      </c>
      <c r="AA4162" s="10">
        <f t="shared" si="3830"/>
        <v>2226.1570000000002</v>
      </c>
      <c r="AB4162" s="3">
        <f t="shared" si="3831"/>
        <v>44906.49</v>
      </c>
      <c r="AC4162" s="3" cm="1">
        <f t="array" ref="AC4162">100000000/LvacE(AA4162)</f>
        <v>44906.494733590065</v>
      </c>
      <c r="AD4162" s="10">
        <f t="shared" si="3832"/>
        <v>1.5086102357917717E-2</v>
      </c>
      <c r="AE4162" s="10" t="b">
        <f t="shared" si="3833"/>
        <v>1</v>
      </c>
      <c r="AJ4162" t="s">
        <v>4828</v>
      </c>
      <c r="AK4162" t="s">
        <v>4938</v>
      </c>
      <c r="AL4162">
        <v>30733.53</v>
      </c>
      <c r="AM4162">
        <v>75640</v>
      </c>
      <c r="AN4162" s="10" cm="1">
        <f t="array" ref="AN4162">Lair(100000000/($AM4162-$AL4162))</f>
        <v>2226.1582339094821</v>
      </c>
      <c r="AO4162" s="10">
        <f t="shared" si="3881"/>
        <v>2226.8506074959801</v>
      </c>
      <c r="AP4162" s="12">
        <v>1640000</v>
      </c>
      <c r="AQ4162" s="3">
        <v>5.0000000000000001E-3</v>
      </c>
      <c r="AR4162" s="3"/>
      <c r="AS4162" s="13">
        <f t="shared" si="3883"/>
        <v>0.22302793903468077</v>
      </c>
      <c r="AT4162" s="3"/>
      <c r="AU4162" s="13" cm="1">
        <f t="array" ref="AU4162">$C4162*EXP(poly_from_str(100000000/$E4162,AU$4343))</f>
        <v>31.847506882138937</v>
      </c>
      <c r="AV4162" s="13"/>
      <c r="AW4162" s="13"/>
      <c r="AX4162" s="13"/>
      <c r="AY4162" s="13"/>
    </row>
    <row r="4163" spans="1:51" x14ac:dyDescent="0.25">
      <c r="A4163" t="s">
        <v>4475</v>
      </c>
      <c r="B4163" s="2" t="str">
        <f t="shared" si="3888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3889">ROUND($A4163,3)+0</f>
        <v>2226.0459999999998</v>
      </c>
      <c r="AB4163" s="3">
        <f t="shared" ref="AB4163:AB4226" si="3890">ROUND($E4163,2)+0</f>
        <v>44908.73</v>
      </c>
      <c r="AC4163" s="3" cm="1">
        <f t="array" ref="AC4163">100000000/LvacE(AA4163)</f>
        <v>44908.733738742616</v>
      </c>
      <c r="AD4163" s="10">
        <f t="shared" ref="AD4163:AD4226" si="3891">0.0005/$AA4163*AC4163+0.005</f>
        <v>1.5087108204130242E-2</v>
      </c>
      <c r="AE4163" s="10" t="b">
        <f t="shared" ref="AE4163:AE4226" si="3892">ABS(AB4163-AC4163)&lt;AD4163</f>
        <v>1</v>
      </c>
      <c r="AP4163"/>
      <c r="AQ4163"/>
      <c r="AU4163" s="13" cm="1">
        <f t="array" ref="AU4163">$C4163*EXP(poly_from_str(100000000/$E4163,AU$4343))</f>
        <v>63.769977888414985</v>
      </c>
    </row>
    <row r="4164" spans="1:51" x14ac:dyDescent="0.25">
      <c r="A4164" t="s">
        <v>4476</v>
      </c>
      <c r="B4164" s="2" t="str">
        <f t="shared" si="3888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3893">$G4164&amp;""</f>
        <v>e</v>
      </c>
      <c r="N4164" t="str">
        <f t="shared" ref="N4164:N4165" si="3894">$H4164&amp;""</f>
        <v>13/2</v>
      </c>
      <c r="O4164">
        <v>66148.399999999994</v>
      </c>
      <c r="P4164" t="str">
        <f t="shared" ref="P4164:P4165" si="3895">$J4164&amp;""</f>
        <v>o</v>
      </c>
      <c r="Q4164" t="str">
        <f t="shared" ref="Q4164:Q4165" si="3896">$K4164&amp;""</f>
        <v>13/2</v>
      </c>
      <c r="R4164">
        <v>38</v>
      </c>
      <c r="AA4164" s="10">
        <f t="shared" si="3889"/>
        <v>2226</v>
      </c>
      <c r="AB4164" s="3">
        <f t="shared" si="3890"/>
        <v>44909.66</v>
      </c>
      <c r="AC4164" s="3" cm="1">
        <f t="array" ref="AC4164">100000000/LvacE(AA4164)</f>
        <v>44909.661680180739</v>
      </c>
      <c r="AD4164" s="10">
        <f t="shared" si="3891"/>
        <v>1.5087525085395494E-2</v>
      </c>
      <c r="AE4164" s="10" t="b">
        <f t="shared" si="3892"/>
        <v>1</v>
      </c>
      <c r="AJ4164" t="s">
        <v>4696</v>
      </c>
      <c r="AK4164" t="s">
        <v>4694</v>
      </c>
      <c r="AL4164">
        <v>21238.78</v>
      </c>
      <c r="AM4164">
        <v>66148.399999999994</v>
      </c>
      <c r="AN4164" s="10" cm="1">
        <f t="array" ref="AN4164">Lair(100000000/($AM4164-$AL4164))</f>
        <v>2226.0020738037742</v>
      </c>
      <c r="AO4164" s="10">
        <f t="shared" ref="AO4164:AO4165" si="3897">100000000/($AM4164-$AL4164)</f>
        <v>2226.6944142479942</v>
      </c>
      <c r="AP4164" s="12">
        <v>698000000</v>
      </c>
      <c r="AQ4164" s="3">
        <v>0.56200000000000006</v>
      </c>
      <c r="AR4164" s="3">
        <f t="shared" ref="AR4164:AR4165" si="3898">LN(AU4164*100000000/($AM4164-$AL4164)/AP4164)</f>
        <v>-8.2120030441962939</v>
      </c>
      <c r="AS4164" s="13">
        <f t="shared" ref="AS4164:AS4165" si="3899">EXP(AR$4341*$AM4164+AR$4342)*$AP4164/(100000000/($AM4164-$AL4164))</f>
        <v>193.5331086861778</v>
      </c>
      <c r="AT4164" s="3">
        <f t="shared" ref="AT4164:AT4165" si="3900">LN(AS4164/$C4164)</f>
        <v>3.1860070604746582</v>
      </c>
      <c r="AU4164" s="13" cm="1">
        <f t="array" ref="AU4164">$C4164*EXP(poly_from_str(100000000/$E4164,AU$4343))</f>
        <v>85.068190603226654</v>
      </c>
      <c r="AV4164" s="13">
        <f t="shared" ref="AV4164:AV4165" si="3901">LN(AS4164/AU4164)</f>
        <v>0.82199542489770028</v>
      </c>
      <c r="AW4164" s="13"/>
      <c r="AX4164" s="13"/>
      <c r="AY4164" s="13"/>
    </row>
    <row r="4165" spans="1:51" x14ac:dyDescent="0.25">
      <c r="A4165" t="s">
        <v>4477</v>
      </c>
      <c r="B4165" s="2" t="str">
        <f t="shared" si="3888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3893"/>
        <v>e</v>
      </c>
      <c r="N4165" t="str">
        <f t="shared" si="3894"/>
        <v>3/2</v>
      </c>
      <c r="O4165">
        <v>67965.47</v>
      </c>
      <c r="P4165" t="str">
        <f t="shared" si="3895"/>
        <v>o</v>
      </c>
      <c r="Q4165" t="str">
        <f t="shared" si="3896"/>
        <v>3/2</v>
      </c>
      <c r="R4165">
        <v>38</v>
      </c>
      <c r="AA4165" s="10">
        <f t="shared" si="3889"/>
        <v>2225.7420000000002</v>
      </c>
      <c r="AB4165" s="3">
        <f t="shared" si="3890"/>
        <v>44914.87</v>
      </c>
      <c r="AC4165" s="3" cm="1">
        <f t="array" ref="AC4165">100000000/LvacE(AA4165)</f>
        <v>44914.866931991026</v>
      </c>
      <c r="AD4165" s="10">
        <f t="shared" si="3891"/>
        <v>1.5089863724544673E-2</v>
      </c>
      <c r="AE4165" s="10" t="b">
        <f t="shared" si="3892"/>
        <v>1</v>
      </c>
      <c r="AJ4165" t="s">
        <v>4769</v>
      </c>
      <c r="AK4165" t="s">
        <v>4835</v>
      </c>
      <c r="AL4165">
        <v>23050.61</v>
      </c>
      <c r="AM4165">
        <v>67965.47</v>
      </c>
      <c r="AN4165" s="10" cm="1">
        <f t="array" ref="AN4165">Lair(100000000/($AM4165-$AL4165))</f>
        <v>2225.7423512262371</v>
      </c>
      <c r="AO4165" s="10">
        <f t="shared" si="3897"/>
        <v>2226.4346365545834</v>
      </c>
      <c r="AP4165" s="12">
        <v>101000000</v>
      </c>
      <c r="AQ4165" s="3">
        <v>0.11</v>
      </c>
      <c r="AR4165" s="3">
        <f t="shared" si="3898"/>
        <v>-6.563963378311457</v>
      </c>
      <c r="AS4165" s="13">
        <f t="shared" si="3899"/>
        <v>24.437075633951654</v>
      </c>
      <c r="AT4165" s="3">
        <f t="shared" si="3900"/>
        <v>1.4043420030041576</v>
      </c>
      <c r="AU4165" s="13" cm="1">
        <f t="array" ref="AU4165">$C4165*EXP(poly_from_str(100000000/$E4165,AU$4343))</f>
        <v>63.97618656527883</v>
      </c>
      <c r="AV4165" s="13">
        <f t="shared" si="3901"/>
        <v>-0.96240945696917168</v>
      </c>
      <c r="AW4165" s="13"/>
      <c r="AX4165" s="13"/>
      <c r="AY4165" s="13"/>
    </row>
    <row r="4166" spans="1:51" x14ac:dyDescent="0.25">
      <c r="A4166" t="s">
        <v>4478</v>
      </c>
      <c r="B4166" s="2" t="str">
        <f t="shared" si="3888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3889"/>
        <v>2225.6469999999999</v>
      </c>
      <c r="AB4166" s="3">
        <f t="shared" si="3890"/>
        <v>44916.78</v>
      </c>
      <c r="AC4166" s="3" cm="1">
        <f t="array" ref="AC4166">100000000/LvacE(AA4166)</f>
        <v>44916.78389840656</v>
      </c>
      <c r="AD4166" s="10">
        <f t="shared" si="3891"/>
        <v>1.5090725056221083E-2</v>
      </c>
      <c r="AE4166" s="10" t="b">
        <f t="shared" si="3892"/>
        <v>1</v>
      </c>
      <c r="AP4166"/>
      <c r="AQ4166"/>
      <c r="AU4166" s="13" cm="1">
        <f t="array" ref="AU4166">$C4166*EXP(poly_from_str(100000000/$E4166,AU$4343))</f>
        <v>10.673425128259053</v>
      </c>
    </row>
    <row r="4167" spans="1:51" x14ac:dyDescent="0.25">
      <c r="A4167" t="s">
        <v>4479</v>
      </c>
      <c r="B4167" s="2" t="str">
        <f t="shared" si="3888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3902">$G4167&amp;""</f>
        <v>e</v>
      </c>
      <c r="N4167" t="str">
        <f t="shared" ref="N4167:N4170" si="3903">$H4167&amp;""</f>
        <v>15/2</v>
      </c>
      <c r="O4167">
        <v>83703.429999999993</v>
      </c>
      <c r="P4167" t="str">
        <f t="shared" ref="P4167:P4170" si="3904">$J4167&amp;""</f>
        <v>o</v>
      </c>
      <c r="Q4167" t="str">
        <f t="shared" ref="Q4167:Q4170" si="3905">$K4167&amp;""</f>
        <v>13/2</v>
      </c>
      <c r="R4167">
        <v>38</v>
      </c>
      <c r="AA4167" s="10">
        <f t="shared" si="3889"/>
        <v>2225.6010000000001</v>
      </c>
      <c r="AB4167" s="3">
        <f t="shared" si="3890"/>
        <v>44917.71</v>
      </c>
      <c r="AC4167" s="3" cm="1">
        <f t="array" ref="AC4167">100000000/LvacE(AA4167)</f>
        <v>44917.712172516614</v>
      </c>
      <c r="AD4167" s="10">
        <f t="shared" si="3891"/>
        <v>1.5091142161716455E-2</v>
      </c>
      <c r="AE4167" s="10" t="b">
        <f t="shared" si="3892"/>
        <v>1</v>
      </c>
      <c r="AJ4167" t="s">
        <v>4781</v>
      </c>
      <c r="AK4167" t="s">
        <v>4925</v>
      </c>
      <c r="AL4167">
        <v>38785.760000000002</v>
      </c>
      <c r="AM4167">
        <v>83703.429999999993</v>
      </c>
      <c r="AN4167" s="10" cm="1">
        <f t="array" ref="AN4167">Lair(100000000/($AM4167-$AL4167))</f>
        <v>2225.6030974738896</v>
      </c>
      <c r="AO4167" s="10">
        <f t="shared" ref="AO4167:AO4170" si="3906">100000000/($AM4167-$AL4167)</f>
        <v>2226.295353254076</v>
      </c>
      <c r="AP4167" s="12">
        <v>64900000</v>
      </c>
      <c r="AQ4167" s="3">
        <v>2.1000000000000001E-2</v>
      </c>
      <c r="AR4167" s="3"/>
      <c r="AS4167" s="13">
        <f t="shared" ref="AS4167:AS4170" si="3907">EXP(AR$4341*$AM4167+AR$4342)*$AP4167/(100000000/($AM4167-$AL4167))</f>
        <v>4.8201653611987156</v>
      </c>
      <c r="AT4167" s="3"/>
      <c r="AU4167" s="13" cm="1">
        <f t="array" ref="AU4167">$C4167*EXP(poly_from_str(100000000/$E4167,AU$4343))</f>
        <v>10.678654656491585</v>
      </c>
      <c r="AV4167" s="13"/>
      <c r="AW4167" s="13"/>
      <c r="AX4167" s="13"/>
      <c r="AY4167" s="13"/>
    </row>
    <row r="4168" spans="1:51" x14ac:dyDescent="0.25">
      <c r="A4168" t="s">
        <v>4480</v>
      </c>
      <c r="B4168" s="2" t="str">
        <f t="shared" si="3888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3902"/>
        <v>e</v>
      </c>
      <c r="N4168" t="str">
        <f t="shared" si="3903"/>
        <v>11/2</v>
      </c>
      <c r="O4168">
        <v>64235.61</v>
      </c>
      <c r="P4168" t="str">
        <f t="shared" si="3904"/>
        <v>o</v>
      </c>
      <c r="Q4168" t="str">
        <f t="shared" si="3905"/>
        <v>9/2</v>
      </c>
      <c r="R4168">
        <v>38</v>
      </c>
      <c r="AA4168" s="10">
        <f t="shared" si="3889"/>
        <v>2225.1529999999998</v>
      </c>
      <c r="AB4168" s="3">
        <f t="shared" si="3890"/>
        <v>44926.75</v>
      </c>
      <c r="AC4168" s="3" cm="1">
        <f t="array" ref="AC4168">100000000/LvacE(AA4168)</f>
        <v>44926.754761791402</v>
      </c>
      <c r="AD4168" s="10">
        <f t="shared" si="3891"/>
        <v>1.5095205759287432E-2</v>
      </c>
      <c r="AE4168" s="10" t="b">
        <f t="shared" si="3892"/>
        <v>1</v>
      </c>
      <c r="AJ4168" t="s">
        <v>4813</v>
      </c>
      <c r="AK4168" t="s">
        <v>4842</v>
      </c>
      <c r="AL4168">
        <v>19308.93</v>
      </c>
      <c r="AM4168">
        <v>64235.61</v>
      </c>
      <c r="AN4168" s="10" cm="1">
        <f t="array" ref="AN4168">Lair(100000000/($AM4168-$AL4168))</f>
        <v>2225.1567109086604</v>
      </c>
      <c r="AO4168" s="10">
        <f t="shared" si="3906"/>
        <v>2225.8488719843085</v>
      </c>
      <c r="AP4168" s="12">
        <v>126000000</v>
      </c>
      <c r="AQ4168" s="3">
        <v>0.20699999999999999</v>
      </c>
      <c r="AR4168" s="3">
        <f t="shared" ref="AR4168:AR4169" si="3908">LN(AU4168*100000000/($AM4168-$AL4168)/AP4168)</f>
        <v>-6.6249728779121062</v>
      </c>
      <c r="AS4168" s="13">
        <f t="shared" si="3907"/>
        <v>40.343887655852285</v>
      </c>
      <c r="AT4168" s="3">
        <f t="shared" ref="AT4168:AT4169" si="3909">LN(AS4168/$C4168)</f>
        <v>1.7515297510595793</v>
      </c>
      <c r="AU4168" s="13" cm="1">
        <f t="array" ref="AU4168">$C4168*EXP(poly_from_str(100000000/$E4168,AU$4343))</f>
        <v>75.107915273169596</v>
      </c>
      <c r="AV4168" s="13">
        <f t="shared" ref="AV4168:AV4169" si="3910">LN(AS4168/AU4168)</f>
        <v>-0.62148604954837972</v>
      </c>
      <c r="AW4168" s="13"/>
      <c r="AX4168" s="13"/>
      <c r="AY4168" s="13"/>
    </row>
    <row r="4169" spans="1:51" x14ac:dyDescent="0.25">
      <c r="A4169" t="s">
        <v>4481</v>
      </c>
      <c r="B4169" s="2" t="str">
        <f t="shared" si="3888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3902"/>
        <v>e</v>
      </c>
      <c r="N4169" t="str">
        <f t="shared" si="3903"/>
        <v>9/2</v>
      </c>
      <c r="O4169">
        <v>62558.67</v>
      </c>
      <c r="P4169" t="str">
        <f t="shared" si="3904"/>
        <v>o</v>
      </c>
      <c r="Q4169" t="str">
        <f t="shared" si="3905"/>
        <v>11/2</v>
      </c>
      <c r="R4169">
        <v>38</v>
      </c>
      <c r="AA4169" s="10">
        <f t="shared" si="3889"/>
        <v>2224.9090000000001</v>
      </c>
      <c r="AB4169" s="3">
        <f t="shared" si="3890"/>
        <v>44931.68</v>
      </c>
      <c r="AC4169" s="3" cm="1">
        <f t="array" ref="AC4169">100000000/LvacE(AA4169)</f>
        <v>44931.681274903756</v>
      </c>
      <c r="AD4169" s="10">
        <f t="shared" si="3891"/>
        <v>1.5097420001200894E-2</v>
      </c>
      <c r="AE4169" s="10" t="b">
        <f t="shared" si="3892"/>
        <v>1</v>
      </c>
      <c r="AJ4169" t="s">
        <v>4820</v>
      </c>
      <c r="AK4169" t="s">
        <v>4821</v>
      </c>
      <c r="AL4169">
        <v>17627</v>
      </c>
      <c r="AM4169">
        <v>62558.67</v>
      </c>
      <c r="AN4169" s="10" cm="1">
        <f t="array" ref="AN4169">Lair(100000000/($AM4169-$AL4169))</f>
        <v>2224.9095660697481</v>
      </c>
      <c r="AO4169" s="10">
        <f t="shared" si="3906"/>
        <v>2225.6016747207482</v>
      </c>
      <c r="AP4169" s="12">
        <v>36100000</v>
      </c>
      <c r="AQ4169" s="3">
        <v>9.8000000000000004E-2</v>
      </c>
      <c r="AR4169" s="3">
        <f t="shared" si="3908"/>
        <v>-5.3724883969903372</v>
      </c>
      <c r="AS4169" s="13">
        <f t="shared" si="3907"/>
        <v>13.110465910633714</v>
      </c>
      <c r="AT4169" s="3">
        <f t="shared" si="3909"/>
        <v>0.62750068665736702</v>
      </c>
      <c r="AU4169" s="13" cm="1">
        <f t="array" ref="AU4169">$C4169*EXP(poly_from_str(100000000/$E4169,AU$4343))</f>
        <v>75.303939637722749</v>
      </c>
      <c r="AV4169" s="13">
        <f t="shared" si="3910"/>
        <v>-1.7481216169506302</v>
      </c>
      <c r="AW4169" s="13"/>
      <c r="AX4169" s="13"/>
      <c r="AY4169" s="13"/>
    </row>
    <row r="4170" spans="1:51" x14ac:dyDescent="0.25">
      <c r="A4170" t="s">
        <v>4482</v>
      </c>
      <c r="B4170" s="2" t="str">
        <f t="shared" si="3888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3902"/>
        <v>e</v>
      </c>
      <c r="N4170" t="str">
        <f t="shared" si="3903"/>
        <v>11/2</v>
      </c>
      <c r="O4170">
        <v>68374.539999999994</v>
      </c>
      <c r="P4170" t="str">
        <f t="shared" si="3904"/>
        <v>o</v>
      </c>
      <c r="Q4170" t="str">
        <f t="shared" si="3905"/>
        <v>9/2</v>
      </c>
      <c r="R4170">
        <v>38</v>
      </c>
      <c r="AA4170" s="10">
        <f t="shared" si="3889"/>
        <v>2224.8780000000002</v>
      </c>
      <c r="AB4170" s="3">
        <f t="shared" si="3890"/>
        <v>44932.31</v>
      </c>
      <c r="AC4170" s="3" cm="1">
        <f t="array" ref="AC4170">100000000/LvacE(AA4170)</f>
        <v>44932.307261703543</v>
      </c>
      <c r="AD4170" s="10">
        <f t="shared" si="3891"/>
        <v>1.5097701370974846E-2</v>
      </c>
      <c r="AE4170" s="10" t="b">
        <f t="shared" si="3892"/>
        <v>1</v>
      </c>
      <c r="AJ4170" t="s">
        <v>4782</v>
      </c>
      <c r="AK4170" t="s">
        <v>4739</v>
      </c>
      <c r="AL4170">
        <v>23442.25</v>
      </c>
      <c r="AM4170">
        <v>68374.539999999994</v>
      </c>
      <c r="AN4170" s="10" cm="1">
        <f t="array" ref="AN4170">Lair(100000000/($AM4170-$AL4170))</f>
        <v>2224.8788625284737</v>
      </c>
      <c r="AO4170" s="10">
        <f t="shared" si="3906"/>
        <v>2225.5709646670584</v>
      </c>
      <c r="AP4170" s="12">
        <v>13900000</v>
      </c>
      <c r="AQ4170" s="3">
        <v>1.2999999999999999E-2</v>
      </c>
      <c r="AR4170" s="3"/>
      <c r="AS4170" s="13">
        <f t="shared" si="3907"/>
        <v>3.2627108853265812</v>
      </c>
      <c r="AT4170" s="3"/>
      <c r="AU4170" s="13" cm="1">
        <f t="array" ref="AU4170">$C4170*EXP(poly_from_str(100000000/$E4170,AU$4343))</f>
        <v>64.567755639420227</v>
      </c>
      <c r="AV4170" s="13"/>
      <c r="AW4170" s="13"/>
      <c r="AX4170" s="13"/>
      <c r="AY4170" s="13"/>
    </row>
    <row r="4171" spans="1:51" x14ac:dyDescent="0.25">
      <c r="A4171" t="s">
        <v>4483</v>
      </c>
      <c r="B4171" s="2" t="str">
        <f t="shared" si="3888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3889"/>
        <v>2224.65</v>
      </c>
      <c r="AB4171" s="3">
        <f t="shared" si="3890"/>
        <v>44936.91</v>
      </c>
      <c r="AC4171" s="3" cm="1">
        <f t="array" ref="AC4171">100000000/LvacE(AA4171)</f>
        <v>44936.911829547898</v>
      </c>
      <c r="AD4171" s="10">
        <f t="shared" si="3891"/>
        <v>1.5099771161654171E-2</v>
      </c>
      <c r="AE4171" s="10" t="b">
        <f t="shared" si="3892"/>
        <v>1</v>
      </c>
      <c r="AP4171"/>
      <c r="AQ4171"/>
      <c r="AU4171" s="13" cm="1">
        <f t="array" ref="AU4171">$C4171*EXP(poly_from_str(100000000/$E4171,AU$4343))</f>
        <v>21.575081826576323</v>
      </c>
    </row>
    <row r="4172" spans="1:51" x14ac:dyDescent="0.25">
      <c r="A4172" t="s">
        <v>4484</v>
      </c>
      <c r="B4172" s="2" t="str">
        <f t="shared" si="3888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3911">$G4172&amp;""</f>
        <v>e</v>
      </c>
      <c r="N4172" t="str">
        <f t="shared" ref="N4172:N4174" si="3912">$H4172&amp;""</f>
        <v>7/2</v>
      </c>
      <c r="O4172">
        <v>64817.53</v>
      </c>
      <c r="P4172" t="str">
        <f t="shared" ref="P4172:P4174" si="3913">$J4172&amp;""</f>
        <v>o</v>
      </c>
      <c r="Q4172" t="str">
        <f t="shared" ref="Q4172:Q4174" si="3914">$K4172&amp;""</f>
        <v>5/2</v>
      </c>
      <c r="R4172">
        <v>38</v>
      </c>
      <c r="S4172" t="s">
        <v>3960</v>
      </c>
      <c r="AA4172" s="10">
        <f t="shared" si="3889"/>
        <v>2224.241</v>
      </c>
      <c r="AB4172" s="3">
        <f t="shared" si="3890"/>
        <v>44945.17</v>
      </c>
      <c r="AC4172" s="3" cm="1">
        <f t="array" ref="AC4172">100000000/LvacE(AA4172)</f>
        <v>44945.174143055003</v>
      </c>
      <c r="AD4172" s="10">
        <f t="shared" si="3891"/>
        <v>1.5103485670629892E-2</v>
      </c>
      <c r="AE4172" s="10" t="b">
        <f t="shared" si="3892"/>
        <v>1</v>
      </c>
      <c r="AJ4172" t="s">
        <v>4785</v>
      </c>
      <c r="AK4172" t="s">
        <v>4882</v>
      </c>
      <c r="AL4172">
        <v>19872.43</v>
      </c>
      <c r="AM4172">
        <v>64817.53</v>
      </c>
      <c r="AN4172" s="10" cm="1">
        <f t="array" ref="AN4172">Lair(100000000/($AM4172-$AL4172))</f>
        <v>2224.2446772826315</v>
      </c>
      <c r="AO4172" s="10">
        <f t="shared" ref="AO4172:AO4174" si="3915">100000000/($AM4172-$AL4172)</f>
        <v>2224.9366449290355</v>
      </c>
      <c r="AP4172" s="12">
        <v>49900000</v>
      </c>
      <c r="AQ4172" s="3">
        <v>0.123</v>
      </c>
      <c r="AR4172" s="3">
        <f t="shared" ref="AR4172:AR4174" si="3916">LN(AU4172*100000000/($AM4172-$AL4172)/AP4172)</f>
        <v>-5.6893624627033175</v>
      </c>
      <c r="AS4172" s="13">
        <f t="shared" ref="AS4172:AS4174" si="3917">EXP(AR$4341*$AM4172+AR$4342)*$AP4172/(100000000/($AM4172-$AL4172))</f>
        <v>15.300992609684059</v>
      </c>
      <c r="AT4172" s="3">
        <f t="shared" ref="AT4172:AT4174" si="3918">LN(AS4172/$C4172)</f>
        <v>0.78200755368862906</v>
      </c>
      <c r="AU4172" s="13" cm="1">
        <f t="array" ref="AU4172">$C4172*EXP(poly_from_str(100000000/$E4172,AU$4343))</f>
        <v>75.844514136138713</v>
      </c>
      <c r="AV4172" s="13">
        <f t="shared" ref="AV4172:AV4174" si="3919">LN(AS4172/AU4172)</f>
        <v>-1.6007676752687419</v>
      </c>
      <c r="AW4172" s="13"/>
      <c r="AX4172" s="13"/>
      <c r="AY4172" s="13"/>
    </row>
    <row r="4173" spans="1:51" x14ac:dyDescent="0.25">
      <c r="A4173" t="s">
        <v>4485</v>
      </c>
      <c r="B4173" s="2" t="str">
        <f t="shared" si="3888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3911"/>
        <v>e</v>
      </c>
      <c r="N4173" t="str">
        <f t="shared" si="3912"/>
        <v>9/2</v>
      </c>
      <c r="O4173">
        <v>68801.67</v>
      </c>
      <c r="P4173" t="str">
        <f t="shared" si="3913"/>
        <v>o</v>
      </c>
      <c r="Q4173" t="str">
        <f t="shared" si="3914"/>
        <v>7/2</v>
      </c>
      <c r="R4173">
        <v>38</v>
      </c>
      <c r="AA4173" s="10">
        <f t="shared" si="3889"/>
        <v>2223.6529999999998</v>
      </c>
      <c r="AB4173" s="3">
        <f t="shared" si="3890"/>
        <v>44957.06</v>
      </c>
      <c r="AC4173" s="3" cm="1">
        <f t="array" ref="AC4173">100000000/LvacE(AA4173)</f>
        <v>44957.05780592504</v>
      </c>
      <c r="AD4173" s="10">
        <f t="shared" si="3891"/>
        <v>1.5108829436500444E-2</v>
      </c>
      <c r="AE4173" s="10" t="b">
        <f t="shared" si="3892"/>
        <v>1</v>
      </c>
      <c r="AJ4173" t="s">
        <v>4763</v>
      </c>
      <c r="AK4173" t="s">
        <v>4857</v>
      </c>
      <c r="AL4173">
        <v>23844.58</v>
      </c>
      <c r="AM4173">
        <v>68801.67</v>
      </c>
      <c r="AN4173" s="10" cm="1">
        <f t="array" ref="AN4173">Lair(100000000/($AM4173-$AL4173))</f>
        <v>2223.6514152207033</v>
      </c>
      <c r="AO4173" s="10">
        <f t="shared" si="3915"/>
        <v>2224.3432570924856</v>
      </c>
      <c r="AP4173" s="12">
        <v>254000000</v>
      </c>
      <c r="AQ4173" s="3">
        <v>0.246</v>
      </c>
      <c r="AR4173" s="3">
        <f t="shared" si="3916"/>
        <v>-7.6470849571499899</v>
      </c>
      <c r="AS4173" s="13">
        <f t="shared" si="3917"/>
        <v>57.771807860448916</v>
      </c>
      <c r="AT4173" s="3">
        <f t="shared" si="3918"/>
        <v>2.4470629909744765</v>
      </c>
      <c r="AU4173" s="13" cm="1">
        <f t="array" ref="AU4173">$C4173*EXP(poly_from_str(100000000/$E4173,AU$4343))</f>
        <v>54.518652027421666</v>
      </c>
      <c r="AV4173" s="13">
        <f t="shared" si="3919"/>
        <v>5.7958021254538777E-2</v>
      </c>
      <c r="AW4173" s="13"/>
      <c r="AX4173" s="13"/>
      <c r="AY4173" s="13"/>
    </row>
    <row r="4174" spans="1:51" x14ac:dyDescent="0.25">
      <c r="A4174" t="s">
        <v>4486</v>
      </c>
      <c r="B4174" s="2" t="str">
        <f t="shared" si="3888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3911"/>
        <v>e</v>
      </c>
      <c r="N4174" t="str">
        <f t="shared" si="3912"/>
        <v>7/2</v>
      </c>
      <c r="O4174">
        <v>69431</v>
      </c>
      <c r="P4174" t="str">
        <f t="shared" si="3913"/>
        <v>o</v>
      </c>
      <c r="Q4174" t="str">
        <f t="shared" si="3914"/>
        <v>7/2</v>
      </c>
      <c r="R4174">
        <v>38</v>
      </c>
      <c r="AA4174" s="10">
        <f t="shared" si="3889"/>
        <v>2223.5030000000002</v>
      </c>
      <c r="AB4174" s="3">
        <f t="shared" si="3890"/>
        <v>44960.09</v>
      </c>
      <c r="AC4174" s="3" cm="1">
        <f t="array" ref="AC4174">100000000/LvacE(AA4174)</f>
        <v>44960.090358552523</v>
      </c>
      <c r="AD4174" s="10">
        <f t="shared" si="3891"/>
        <v>1.51101933207539E-2</v>
      </c>
      <c r="AE4174" s="10" t="b">
        <f t="shared" si="3892"/>
        <v>1</v>
      </c>
      <c r="AJ4174" t="s">
        <v>4747</v>
      </c>
      <c r="AK4174" t="s">
        <v>4864</v>
      </c>
      <c r="AL4174">
        <v>24470.9</v>
      </c>
      <c r="AM4174">
        <v>69431</v>
      </c>
      <c r="AN4174" s="10" cm="1">
        <f t="array" ref="AN4174">Lair(100000000/($AM4174-$AL4174))</f>
        <v>2223.5025308913032</v>
      </c>
      <c r="AO4174" s="10">
        <f t="shared" si="3915"/>
        <v>2224.1943412047572</v>
      </c>
      <c r="AP4174" s="12">
        <v>237000000</v>
      </c>
      <c r="AQ4174" s="3">
        <v>0.22700000000000001</v>
      </c>
      <c r="AR4174" s="3">
        <f t="shared" si="3916"/>
        <v>-7.393939401006242</v>
      </c>
      <c r="AS4174" s="13">
        <f t="shared" si="3917"/>
        <v>51.421920510160959</v>
      </c>
      <c r="AT4174" s="3">
        <f t="shared" si="3918"/>
        <v>2.1483050813902569</v>
      </c>
      <c r="AU4174" s="13" cm="1">
        <f t="array" ref="AU4174">$C4174*EXP(poly_from_str(100000000/$E4174,AU$4343))</f>
        <v>65.528244465233811</v>
      </c>
      <c r="AV4174" s="13">
        <f t="shared" si="3919"/>
        <v>-0.24241671228687356</v>
      </c>
      <c r="AW4174" s="13"/>
      <c r="AX4174" s="13"/>
      <c r="AY4174" s="13"/>
    </row>
    <row r="4175" spans="1:51" x14ac:dyDescent="0.25">
      <c r="A4175" t="s">
        <v>4487</v>
      </c>
      <c r="B4175" s="2" t="str">
        <f t="shared" si="3888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3889"/>
        <v>2223.4659999999999</v>
      </c>
      <c r="AB4175" s="3">
        <f t="shared" si="3890"/>
        <v>44960.84</v>
      </c>
      <c r="AC4175" s="3" cm="1">
        <f t="array" ref="AC4175">100000000/LvacE(AA4175)</f>
        <v>44960.838451098374</v>
      </c>
      <c r="AD4175" s="10">
        <f t="shared" si="3891"/>
        <v>1.5110529787974804E-2</v>
      </c>
      <c r="AE4175" s="10" t="b">
        <f t="shared" si="3892"/>
        <v>1</v>
      </c>
      <c r="AP4175"/>
      <c r="AQ4175"/>
      <c r="AU4175" s="13" cm="1">
        <f t="array" ref="AU4175">$C4175*EXP(poly_from_str(100000000/$E4175,AU$4343))</f>
        <v>54.628741595898404</v>
      </c>
    </row>
    <row r="4176" spans="1:51" x14ac:dyDescent="0.25">
      <c r="A4176" t="s">
        <v>4488</v>
      </c>
      <c r="B4176" s="2" t="str">
        <f t="shared" si="3888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3920">$G4176&amp;""</f>
        <v>e</v>
      </c>
      <c r="N4176" t="str">
        <f t="shared" ref="N4176:N4177" si="3921">$H4176&amp;""</f>
        <v>13/2</v>
      </c>
      <c r="O4176">
        <v>60419.73</v>
      </c>
      <c r="P4176" t="str">
        <f t="shared" ref="P4176:P4177" si="3922">$J4176&amp;""</f>
        <v>o</v>
      </c>
      <c r="Q4176" t="str">
        <f t="shared" ref="Q4176:Q4177" si="3923">$K4176&amp;""</f>
        <v>11/2</v>
      </c>
      <c r="R4176">
        <v>38</v>
      </c>
      <c r="AA4176" s="10">
        <f t="shared" si="3889"/>
        <v>2223.2339999999999</v>
      </c>
      <c r="AB4176" s="3">
        <f t="shared" si="3890"/>
        <v>44965.53</v>
      </c>
      <c r="AC4176" s="3" cm="1">
        <f t="array" ref="AC4176">100000000/LvacE(AA4176)</f>
        <v>44965.529760979924</v>
      </c>
      <c r="AD4176" s="10">
        <f t="shared" si="3891"/>
        <v>1.5112639911268884E-2</v>
      </c>
      <c r="AE4176" s="10" t="b">
        <f t="shared" si="3892"/>
        <v>1</v>
      </c>
      <c r="AJ4176" t="s">
        <v>4803</v>
      </c>
      <c r="AK4176" t="s">
        <v>4849</v>
      </c>
      <c r="AL4176">
        <v>15454.16</v>
      </c>
      <c r="AM4176">
        <v>60419.73</v>
      </c>
      <c r="AN4176" s="10" cm="1">
        <f t="array" ref="AN4176">Lair(100000000/($AM4176-$AL4176))</f>
        <v>2223.2320180295187</v>
      </c>
      <c r="AO4176" s="10">
        <f t="shared" ref="AO4176:AO4177" si="3924">100000000/($AM4176-$AL4176)</f>
        <v>2223.9237710096854</v>
      </c>
      <c r="AP4176" s="12">
        <v>1730000000</v>
      </c>
      <c r="AQ4176" s="3">
        <v>0.71</v>
      </c>
      <c r="AR4176" s="3">
        <f t="shared" ref="AR4176:AR4177" si="3925">LN(AU4176*100000000/($AM4176-$AL4176)/AP4176)</f>
        <v>-8.8681453137879362</v>
      </c>
      <c r="AS4176" s="13">
        <f t="shared" ref="AS4176:AS4177" si="3926">EXP(AR$4341*$AM4176+AR$4342)*$AP4176/(100000000/($AM4176-$AL4176))</f>
        <v>738.24029083536141</v>
      </c>
      <c r="AT4176" s="3">
        <f t="shared" ref="AT4176:AT4177" si="3927">LN(AS4176/$C4176)</f>
        <v>4.3016842759490048</v>
      </c>
      <c r="AU4176" s="13" cm="1">
        <f t="array" ref="AU4176">$C4176*EXP(poly_from_str(100000000/$E4176,AU$4343))</f>
        <v>109.53165042959822</v>
      </c>
      <c r="AV4176" s="13">
        <f t="shared" ref="AV4176:AV4177" si="3928">LN(AS4176/AU4176)</f>
        <v>1.908055816432797</v>
      </c>
      <c r="AW4176" s="13"/>
      <c r="AX4176" s="13"/>
      <c r="AY4176" s="13"/>
    </row>
    <row r="4177" spans="1:51" x14ac:dyDescent="0.25">
      <c r="A4177" t="s">
        <v>4489</v>
      </c>
      <c r="B4177" s="2" t="str">
        <f t="shared" si="3888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3920"/>
        <v>e</v>
      </c>
      <c r="N4177" t="str">
        <f t="shared" si="3921"/>
        <v>7/2</v>
      </c>
      <c r="O4177">
        <v>67049.179999999993</v>
      </c>
      <c r="P4177" t="str">
        <f t="shared" si="3922"/>
        <v>o</v>
      </c>
      <c r="Q4177" t="str">
        <f t="shared" si="3923"/>
        <v>9/2</v>
      </c>
      <c r="R4177">
        <v>38</v>
      </c>
      <c r="AA4177" s="10">
        <f t="shared" si="3889"/>
        <v>2223.1030000000001</v>
      </c>
      <c r="AB4177" s="3">
        <f t="shared" si="3890"/>
        <v>44968.18</v>
      </c>
      <c r="AC4177" s="3" cm="1">
        <f t="array" ref="AC4177">100000000/LvacE(AA4177)</f>
        <v>44968.17916581357</v>
      </c>
      <c r="AD4177" s="10">
        <f t="shared" si="3891"/>
        <v>1.5113831695115695E-2</v>
      </c>
      <c r="AE4177" s="10" t="b">
        <f t="shared" si="3892"/>
        <v>1</v>
      </c>
      <c r="AJ4177" t="s">
        <v>4790</v>
      </c>
      <c r="AK4177" t="s">
        <v>4862</v>
      </c>
      <c r="AL4177">
        <v>22080.94</v>
      </c>
      <c r="AM4177">
        <v>67049.179999999993</v>
      </c>
      <c r="AN4177" s="10" cm="1">
        <f t="array" ref="AN4177">Lair(100000000/($AM4177-$AL4177))</f>
        <v>2223.100000001406</v>
      </c>
      <c r="AO4177" s="10">
        <f t="shared" si="3924"/>
        <v>2223.7917250041369</v>
      </c>
      <c r="AP4177" s="12">
        <v>106000000</v>
      </c>
      <c r="AQ4177" s="3">
        <v>0.21299999999999999</v>
      </c>
      <c r="AR4177" s="3">
        <f t="shared" si="3925"/>
        <v>-6.767496553592613</v>
      </c>
      <c r="AS4177" s="13">
        <f t="shared" si="3926"/>
        <v>27.505126631279836</v>
      </c>
      <c r="AT4177" s="3">
        <f t="shared" si="3927"/>
        <v>1.7049344978194558</v>
      </c>
      <c r="AU4177" s="13" cm="1">
        <f t="array" ref="AU4177">$C4177*EXP(poly_from_str(100000000/$E4177,AU$4343))</f>
        <v>54.843523124347868</v>
      </c>
      <c r="AV4177" s="13">
        <f t="shared" si="3928"/>
        <v>-0.69011168607409945</v>
      </c>
      <c r="AW4177" s="13"/>
      <c r="AX4177" s="13"/>
      <c r="AY4177" s="13"/>
    </row>
    <row r="4178" spans="1:51" x14ac:dyDescent="0.25">
      <c r="A4178" t="s">
        <v>4490</v>
      </c>
      <c r="B4178" s="2" t="str">
        <f t="shared" si="3888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3889"/>
        <v>2223.0010000000002</v>
      </c>
      <c r="AB4178" s="3">
        <f t="shared" si="3890"/>
        <v>44970.239999999998</v>
      </c>
      <c r="AC4178" s="3" cm="1">
        <f t="array" ref="AC4178">100000000/LvacE(AA4178)</f>
        <v>44970.242277351732</v>
      </c>
      <c r="AD4178" s="10">
        <f t="shared" si="3891"/>
        <v>1.5114759794834041E-2</v>
      </c>
      <c r="AE4178" s="10" t="b">
        <f t="shared" si="3892"/>
        <v>1</v>
      </c>
      <c r="AP4178"/>
      <c r="AQ4178"/>
      <c r="AU4178" s="13" cm="1">
        <f t="array" ref="AU4178">$C4178*EXP(poly_from_str(100000000/$E4178,AU$4343))</f>
        <v>54.90404297390257</v>
      </c>
    </row>
    <row r="4179" spans="1:51" x14ac:dyDescent="0.25">
      <c r="A4179" t="s">
        <v>4491</v>
      </c>
      <c r="B4179" s="2" t="str">
        <f t="shared" si="3888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3889"/>
        <v>2222.7379999999998</v>
      </c>
      <c r="AB4179" s="3">
        <f t="shared" si="3890"/>
        <v>44975.56</v>
      </c>
      <c r="AC4179" s="3" cm="1">
        <f t="array" ref="AC4179">100000000/LvacE(AA4179)</f>
        <v>44975.562742215836</v>
      </c>
      <c r="AD4179" s="10">
        <f t="shared" si="3891"/>
        <v>1.5117153425688461E-2</v>
      </c>
      <c r="AE4179" s="10" t="b">
        <f t="shared" si="3892"/>
        <v>1</v>
      </c>
      <c r="AP4179"/>
      <c r="AQ4179"/>
      <c r="AU4179" s="13" cm="1">
        <f t="array" ref="AU4179">$C4179*EXP(poly_from_str(100000000/$E4179,AU$4343))</f>
        <v>11.012165404899282</v>
      </c>
    </row>
    <row r="4180" spans="1:51" x14ac:dyDescent="0.25">
      <c r="A4180" t="s">
        <v>4492</v>
      </c>
      <c r="B4180" s="2" t="str">
        <f t="shared" si="3888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3929">$G4180&amp;""</f>
        <v>e</v>
      </c>
      <c r="N4180" t="str">
        <f t="shared" ref="N4180:N4183" si="3930">$H4180&amp;""</f>
        <v>9/2</v>
      </c>
      <c r="O4180">
        <v>65295.9</v>
      </c>
      <c r="P4180" t="str">
        <f t="shared" ref="P4180:P4183" si="3931">$J4180&amp;""</f>
        <v>o</v>
      </c>
      <c r="Q4180" t="str">
        <f t="shared" ref="Q4180:Q4183" si="3932">$K4180&amp;""</f>
        <v>7/2</v>
      </c>
      <c r="R4180">
        <v>38</v>
      </c>
      <c r="AA4180" s="10">
        <f t="shared" si="3889"/>
        <v>2222.5059999999999</v>
      </c>
      <c r="AB4180" s="3">
        <f t="shared" si="3890"/>
        <v>44980.26</v>
      </c>
      <c r="AC4180" s="3" cm="1">
        <f t="array" ref="AC4180">100000000/LvacE(AA4180)</f>
        <v>44980.25712512141</v>
      </c>
      <c r="AD4180" s="10">
        <f t="shared" si="3891"/>
        <v>1.5119265622932268E-2</v>
      </c>
      <c r="AE4180" s="10" t="b">
        <f t="shared" si="3892"/>
        <v>1</v>
      </c>
      <c r="AJ4180" t="s">
        <v>4964</v>
      </c>
      <c r="AK4180" t="s">
        <v>4825</v>
      </c>
      <c r="AL4180">
        <v>20315.650000000001</v>
      </c>
      <c r="AM4180">
        <v>65295.9</v>
      </c>
      <c r="AN4180" s="10" cm="1">
        <f t="array" ref="AN4180">Lair(100000000/($AM4180-$AL4180))</f>
        <v>2222.5063598834076</v>
      </c>
      <c r="AO4180" s="10">
        <f t="shared" ref="AO4180:AO4183" si="3933">100000000/($AM4180-$AL4180)</f>
        <v>2223.1979591042737</v>
      </c>
      <c r="AP4180" s="12">
        <v>633000000</v>
      </c>
      <c r="AQ4180" s="3">
        <v>0.44900000000000001</v>
      </c>
      <c r="AR4180" s="3">
        <f t="shared" ref="AR4180:AR4183" si="3934">LN(AU4180*100000000/($AM4180-$AL4180)/AP4180)</f>
        <v>-8.0783137166427874</v>
      </c>
      <c r="AS4180" s="13">
        <f t="shared" ref="AS4180:AS4183" si="3935">EXP(AR$4341*$AM4180+AR$4342)*$AP4180/(100000000/($AM4180-$AL4180))</f>
        <v>187.40063592006859</v>
      </c>
      <c r="AT4180" s="3">
        <f t="shared" ref="AT4180:AT4183" si="3936">LN(AS4180/$C4180)</f>
        <v>3.1538072215022321</v>
      </c>
      <c r="AU4180" s="13" cm="1">
        <f t="array" ref="AU4180">$C4180*EXP(poly_from_str(100000000/$E4180,AU$4343))</f>
        <v>88.319886995353201</v>
      </c>
      <c r="AV4180" s="13">
        <f t="shared" ref="AV4180:AV4183" si="3937">LN(AS4180/AU4180)</f>
        <v>0.75228346014512038</v>
      </c>
      <c r="AW4180" s="13"/>
      <c r="AX4180" s="13"/>
      <c r="AY4180" s="13"/>
    </row>
    <row r="4181" spans="1:51" x14ac:dyDescent="0.25">
      <c r="A4181" t="s">
        <v>4493</v>
      </c>
      <c r="B4181" s="2" t="str">
        <f t="shared" si="3888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3929"/>
        <v>e</v>
      </c>
      <c r="N4181" t="str">
        <f t="shared" si="3930"/>
        <v>7/2</v>
      </c>
      <c r="O4181">
        <v>64857.15</v>
      </c>
      <c r="P4181" t="str">
        <f t="shared" si="3931"/>
        <v>o</v>
      </c>
      <c r="Q4181" t="str">
        <f t="shared" si="3932"/>
        <v>9/2</v>
      </c>
      <c r="R4181">
        <v>38</v>
      </c>
      <c r="AA4181" s="10">
        <f t="shared" si="3889"/>
        <v>2222.288</v>
      </c>
      <c r="AB4181" s="3">
        <f t="shared" si="3890"/>
        <v>44984.67</v>
      </c>
      <c r="AC4181" s="3" cm="1">
        <f t="array" ref="AC4181">100000000/LvacE(AA4181)</f>
        <v>44984.66911932583</v>
      </c>
      <c r="AD4181" s="10">
        <f t="shared" si="3891"/>
        <v>1.5121250962819813E-2</v>
      </c>
      <c r="AE4181" s="10" t="b">
        <f t="shared" si="3892"/>
        <v>1</v>
      </c>
      <c r="AJ4181" t="s">
        <v>4785</v>
      </c>
      <c r="AK4181" t="s">
        <v>4854</v>
      </c>
      <c r="AL4181">
        <v>19872.43</v>
      </c>
      <c r="AM4181">
        <v>64857.15</v>
      </c>
      <c r="AN4181" s="10" cm="1">
        <f t="array" ref="AN4181">Lair(100000000/($AM4181-$AL4181))</f>
        <v>2222.2854939952549</v>
      </c>
      <c r="AO4181" s="10">
        <f t="shared" si="3933"/>
        <v>2222.9770464282092</v>
      </c>
      <c r="AP4181" s="12">
        <v>32200000</v>
      </c>
      <c r="AQ4181" s="3">
        <v>6.0999999999999999E-2</v>
      </c>
      <c r="AR4181" s="3">
        <f t="shared" si="3934"/>
        <v>-5.7906854642806955</v>
      </c>
      <c r="AS4181" s="13">
        <f t="shared" si="3935"/>
        <v>9.8529502834455709</v>
      </c>
      <c r="AT4181" s="3">
        <f t="shared" si="3936"/>
        <v>0.90147657037858553</v>
      </c>
      <c r="AU4181" s="13" cm="1">
        <f t="array" ref="AU4181">$C4181*EXP(poly_from_str(100000000/$E4181,AU$4343))</f>
        <v>44.26476365888125</v>
      </c>
      <c r="AV4181" s="13">
        <f t="shared" si="3937"/>
        <v>-1.5024180263179601</v>
      </c>
      <c r="AW4181" s="13"/>
      <c r="AX4181" s="13"/>
      <c r="AY4181" s="13"/>
    </row>
    <row r="4182" spans="1:51" x14ac:dyDescent="0.25">
      <c r="A4182" t="s">
        <v>4494</v>
      </c>
      <c r="B4182" s="2" t="str">
        <f t="shared" si="3888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3929"/>
        <v>e</v>
      </c>
      <c r="N4182" t="str">
        <f t="shared" si="3930"/>
        <v>13/2</v>
      </c>
      <c r="O4182">
        <v>83703.429999999993</v>
      </c>
      <c r="P4182" t="str">
        <f t="shared" si="3931"/>
        <v>o</v>
      </c>
      <c r="Q4182" t="str">
        <f t="shared" si="3932"/>
        <v>13/2</v>
      </c>
      <c r="R4182">
        <v>38</v>
      </c>
      <c r="AA4182" s="10">
        <f t="shared" si="3889"/>
        <v>2221.4389999999999</v>
      </c>
      <c r="AB4182" s="3">
        <f t="shared" si="3890"/>
        <v>45001.86</v>
      </c>
      <c r="AC4182" s="3" cm="1">
        <f t="array" ref="AC4182">100000000/LvacE(AA4182)</f>
        <v>45001.859861788689</v>
      </c>
      <c r="AD4182" s="10">
        <f t="shared" si="3891"/>
        <v>1.5128988430874919E-2</v>
      </c>
      <c r="AE4182" s="10" t="b">
        <f t="shared" si="3892"/>
        <v>1</v>
      </c>
      <c r="AJ4182" t="s">
        <v>4751</v>
      </c>
      <c r="AK4182" t="s">
        <v>4925</v>
      </c>
      <c r="AL4182">
        <v>38701.589999999997</v>
      </c>
      <c r="AM4182">
        <v>83703.429999999993</v>
      </c>
      <c r="AN4182" s="10" cm="1">
        <f t="array" ref="AN4182">Lair(100000000/($AM4182-$AL4182))</f>
        <v>2221.4399883690521</v>
      </c>
      <c r="AO4182" s="10">
        <f t="shared" si="3933"/>
        <v>2222.1313617398755</v>
      </c>
      <c r="AP4182" s="12">
        <v>1540000000</v>
      </c>
      <c r="AQ4182" s="3">
        <v>0.64500000000000002</v>
      </c>
      <c r="AR4182" s="3">
        <f t="shared" si="3934"/>
        <v>-9.0897488718948054</v>
      </c>
      <c r="AS4182" s="13">
        <f t="shared" si="3935"/>
        <v>114.59113276503267</v>
      </c>
      <c r="AT4182" s="3">
        <f t="shared" si="3936"/>
        <v>2.7954602767084102</v>
      </c>
      <c r="AU4182" s="13" cm="1">
        <f t="array" ref="AU4182">$C4182*EXP(poly_from_str(100000000/$E4182,AU$4343))</f>
        <v>78.184959424710343</v>
      </c>
      <c r="AV4182" s="13">
        <f t="shared" si="3937"/>
        <v>0.38229313143352728</v>
      </c>
      <c r="AW4182" s="13"/>
      <c r="AX4182" s="13"/>
      <c r="AY4182" s="13"/>
    </row>
    <row r="4183" spans="1:51" x14ac:dyDescent="0.25">
      <c r="A4183" t="s">
        <v>4495</v>
      </c>
      <c r="B4183" s="2" t="str">
        <f t="shared" si="3888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3929"/>
        <v>e</v>
      </c>
      <c r="N4183" t="str">
        <f t="shared" si="3930"/>
        <v>5/2</v>
      </c>
      <c r="O4183">
        <v>63221.279999999999</v>
      </c>
      <c r="P4183" t="str">
        <f t="shared" si="3931"/>
        <v>o</v>
      </c>
      <c r="Q4183" t="str">
        <f t="shared" si="3932"/>
        <v>3/2</v>
      </c>
      <c r="R4183">
        <v>38</v>
      </c>
      <c r="AA4183" s="10">
        <f t="shared" si="3889"/>
        <v>2221.0619999999999</v>
      </c>
      <c r="AB4183" s="3">
        <f t="shared" si="3890"/>
        <v>45009.5</v>
      </c>
      <c r="AC4183" s="3" cm="1">
        <f t="array" ref="AC4183">100000000/LvacE(AA4183)</f>
        <v>45009.497655085506</v>
      </c>
      <c r="AD4183" s="10">
        <f t="shared" si="3891"/>
        <v>1.5132427112589723E-2</v>
      </c>
      <c r="AE4183" s="10" t="b">
        <f t="shared" si="3892"/>
        <v>1</v>
      </c>
      <c r="AJ4183" t="s">
        <v>4970</v>
      </c>
      <c r="AK4183" t="s">
        <v>4707</v>
      </c>
      <c r="AL4183">
        <v>18211.759999999998</v>
      </c>
      <c r="AM4183">
        <v>63221.279999999999</v>
      </c>
      <c r="AN4183" s="10" cm="1">
        <f t="array" ref="AN4183">Lair(100000000/($AM4183-$AL4183))</f>
        <v>2221.0609050884409</v>
      </c>
      <c r="AO4183" s="10">
        <f t="shared" si="3933"/>
        <v>2221.7521982016247</v>
      </c>
      <c r="AP4183" s="12">
        <v>25700000</v>
      </c>
      <c r="AQ4183" s="3">
        <v>0.08</v>
      </c>
      <c r="AR4183" s="3">
        <f t="shared" si="3934"/>
        <v>-6.938645911934791</v>
      </c>
      <c r="AS4183" s="13">
        <f t="shared" si="3935"/>
        <v>8.8961033973017649</v>
      </c>
      <c r="AT4183" s="3">
        <f t="shared" si="3936"/>
        <v>2.1856133603388113</v>
      </c>
      <c r="AU4183" s="13" cm="1">
        <f t="array" ref="AU4183">$C4183*EXP(poly_from_str(100000000/$E4183,AU$4343))</f>
        <v>11.215583508519746</v>
      </c>
      <c r="AV4183" s="13">
        <f t="shared" si="3937"/>
        <v>-0.23169083557277229</v>
      </c>
      <c r="AW4183" s="13"/>
      <c r="AX4183" s="13"/>
      <c r="AY4183" s="13"/>
    </row>
    <row r="4184" spans="1:51" x14ac:dyDescent="0.25">
      <c r="A4184" t="s">
        <v>4496</v>
      </c>
      <c r="B4184" s="2" t="str">
        <f t="shared" si="3888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3889"/>
        <v>2220.4250000000002</v>
      </c>
      <c r="AB4184" s="3">
        <f t="shared" si="3890"/>
        <v>45022.41</v>
      </c>
      <c r="AC4184" s="3" cm="1">
        <f t="array" ref="AC4184">100000000/LvacE(AA4184)</f>
        <v>45022.408784165818</v>
      </c>
      <c r="AD4184" s="10">
        <f t="shared" si="3891"/>
        <v>1.5138241279071759E-2</v>
      </c>
      <c r="AE4184" s="10" t="b">
        <f t="shared" si="3892"/>
        <v>1</v>
      </c>
      <c r="AP4184"/>
      <c r="AQ4184"/>
      <c r="AU4184" s="13" cm="1">
        <f t="array" ref="AU4184">$C4184*EXP(poly_from_str(100000000/$E4184,AU$4343))</f>
        <v>11.294515246922462</v>
      </c>
    </row>
    <row r="4185" spans="1:51" x14ac:dyDescent="0.25">
      <c r="A4185" t="s">
        <v>4497</v>
      </c>
      <c r="B4185" s="2" t="str">
        <f t="shared" si="3888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3889"/>
        <v>2219.0619999999999</v>
      </c>
      <c r="AB4185" s="3">
        <f t="shared" si="3890"/>
        <v>45050.06</v>
      </c>
      <c r="AC4185" s="3" cm="1">
        <f t="array" ref="AC4185">100000000/LvacE(AA4185)</f>
        <v>45050.0598455168</v>
      </c>
      <c r="AD4185" s="10">
        <f t="shared" si="3891"/>
        <v>1.5150698773967741E-2</v>
      </c>
      <c r="AE4185" s="10" t="b">
        <f t="shared" si="3892"/>
        <v>1</v>
      </c>
      <c r="AP4185"/>
      <c r="AQ4185"/>
      <c r="AU4185" s="13" cm="1">
        <f t="array" ref="AU4185">$C4185*EXP(poly_from_str(100000000/$E4185,AU$4343))</f>
        <v>11.46652301151417</v>
      </c>
    </row>
    <row r="4186" spans="1:51" x14ac:dyDescent="0.25">
      <c r="A4186" t="s">
        <v>4498</v>
      </c>
      <c r="B4186" s="2" t="str">
        <f t="shared" si="3888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3889"/>
        <v>2218.5219999999999</v>
      </c>
      <c r="AB4186" s="3">
        <f t="shared" si="3890"/>
        <v>45061.02</v>
      </c>
      <c r="AC4186" s="3" cm="1">
        <f t="array" ref="AC4186">100000000/LvacE(AA4186)</f>
        <v>45061.024172943653</v>
      </c>
      <c r="AD4186" s="10">
        <f t="shared" si="3891"/>
        <v>1.5155640596068838E-2</v>
      </c>
      <c r="AE4186" s="10" t="b">
        <f t="shared" si="3892"/>
        <v>1</v>
      </c>
      <c r="AJ4186" t="s">
        <v>4800</v>
      </c>
      <c r="AK4186" t="s">
        <v>4907</v>
      </c>
      <c r="AL4186">
        <v>20848.39</v>
      </c>
      <c r="AM4186">
        <v>65909.440000000002</v>
      </c>
      <c r="AN4186" s="10" cm="1">
        <f t="array" ref="AN4186">Lair(100000000/($AM4186-$AL4186))</f>
        <v>2218.5207362419405</v>
      </c>
      <c r="AO4186" s="10">
        <f>100000000/($AM4186-$AL4186)</f>
        <v>2219.2114919647897</v>
      </c>
      <c r="AP4186" s="12">
        <v>9710000</v>
      </c>
      <c r="AQ4186" s="3">
        <v>0.02</v>
      </c>
      <c r="AR4186" s="3"/>
      <c r="AS4186" s="13">
        <f>EXP(AR$4341*$AM4186+AR$4342)*$AP4186/(100000000/($AM4186-$AL4186))</f>
        <v>2.7502317111715726</v>
      </c>
      <c r="AT4186" s="3"/>
      <c r="AU4186" s="13" cm="1">
        <f t="array" ref="AU4186">$C4186*EXP(poly_from_str(100000000/$E4186,AU$4343))</f>
        <v>11.535838050301995</v>
      </c>
      <c r="AV4186" s="13"/>
      <c r="AW4186" s="13"/>
      <c r="AX4186" s="13"/>
      <c r="AY4186" s="13"/>
    </row>
    <row r="4187" spans="1:51" x14ac:dyDescent="0.25">
      <c r="A4187" t="s">
        <v>4499</v>
      </c>
      <c r="B4187" s="2" t="str">
        <f t="shared" si="3888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3889"/>
        <v>2218.433</v>
      </c>
      <c r="AB4187" s="3">
        <f t="shared" si="3890"/>
        <v>45062.83</v>
      </c>
      <c r="AC4187" s="3" cm="1">
        <f t="array" ref="AC4187">100000000/LvacE(AA4187)</f>
        <v>45062.831768793556</v>
      </c>
      <c r="AD4187" s="10">
        <f t="shared" si="3891"/>
        <v>1.5156455427951521E-2</v>
      </c>
      <c r="AE4187" s="10" t="b">
        <f t="shared" si="3892"/>
        <v>1</v>
      </c>
      <c r="AP4187"/>
      <c r="AQ4187"/>
      <c r="AU4187" s="13" cm="1">
        <f t="array" ref="AU4187">$C4187*EXP(poly_from_str(100000000/$E4187,AU$4343))</f>
        <v>69.284087450128865</v>
      </c>
    </row>
    <row r="4188" spans="1:51" x14ac:dyDescent="0.25">
      <c r="A4188" t="s">
        <v>4500</v>
      </c>
      <c r="B4188" s="2" t="str">
        <f t="shared" si="3888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3889"/>
        <v>2217.424</v>
      </c>
      <c r="AB4188" s="3">
        <f t="shared" si="3890"/>
        <v>45083.33</v>
      </c>
      <c r="AC4188" s="3" cm="1">
        <f t="array" ref="AC4188">100000000/LvacE(AA4188)</f>
        <v>45083.334770300236</v>
      </c>
      <c r="AD4188" s="10">
        <f t="shared" si="3891"/>
        <v>1.5165700102979907E-2</v>
      </c>
      <c r="AE4188" s="10" t="b">
        <f t="shared" si="3892"/>
        <v>1</v>
      </c>
      <c r="AJ4188" t="s">
        <v>4782</v>
      </c>
      <c r="AK4188" t="s">
        <v>4869</v>
      </c>
      <c r="AL4188">
        <v>23442.25</v>
      </c>
      <c r="AM4188">
        <v>68525.62</v>
      </c>
      <c r="AN4188" s="10" cm="1">
        <f t="array" ref="AN4188">Lair(100000000/($AM4188-$AL4188))</f>
        <v>2217.4222750241856</v>
      </c>
      <c r="AO4188" s="10">
        <f>100000000/($AM4188-$AL4188)</f>
        <v>2218.1127985773915</v>
      </c>
      <c r="AP4188" s="12">
        <v>746000000</v>
      </c>
      <c r="AQ4188" s="3">
        <v>0.46899999999999997</v>
      </c>
      <c r="AR4188" s="3">
        <f>LN(AU4188*100000000/($AM4188-$AL4188)/AP4188)</f>
        <v>-8.0708103264591138</v>
      </c>
      <c r="AS4188" s="13">
        <f>EXP(AR$4341*$AM4188+AR$4342)*$AP4188/(100000000/($AM4188-$AL4188))</f>
        <v>173.7146234611005</v>
      </c>
      <c r="AT4188" s="3">
        <f>LN(AS4188/$C4188)</f>
        <v>2.9601892803988932</v>
      </c>
      <c r="AU4188" s="13" cm="1">
        <f t="array" ref="AU4188">$C4188*EXP(poly_from_str(100000000/$E4188,AU$4343))</f>
        <v>105.11067147323261</v>
      </c>
      <c r="AV4188" s="13">
        <f>LN(AS4188/AU4188)</f>
        <v>0.50240004862958176</v>
      </c>
      <c r="AW4188" s="13"/>
      <c r="AX4188" s="13"/>
      <c r="AY4188" s="13"/>
    </row>
    <row r="4189" spans="1:51" x14ac:dyDescent="0.25">
      <c r="A4189" t="s">
        <v>4501</v>
      </c>
      <c r="B4189" s="2" t="str">
        <f t="shared" si="3888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3889"/>
        <v>2217.3560000000002</v>
      </c>
      <c r="AB4189" s="3">
        <f t="shared" si="3890"/>
        <v>45084.72</v>
      </c>
      <c r="AC4189" s="3" cm="1">
        <f t="array" ref="AC4189">100000000/LvacE(AA4189)</f>
        <v>45084.717209484021</v>
      </c>
      <c r="AD4189" s="10">
        <f t="shared" si="3891"/>
        <v>1.5166323587525867E-2</v>
      </c>
      <c r="AE4189" s="10" t="b">
        <f t="shared" si="3892"/>
        <v>1</v>
      </c>
      <c r="AP4189"/>
      <c r="AQ4189"/>
      <c r="AU4189" s="13" cm="1">
        <f t="array" ref="AU4189">$C4189*EXP(poly_from_str(100000000/$E4189,AU$4343))</f>
        <v>11.68797183721399</v>
      </c>
    </row>
    <row r="4190" spans="1:51" x14ac:dyDescent="0.25">
      <c r="A4190" t="s">
        <v>4502</v>
      </c>
      <c r="B4190" s="2" t="str">
        <f t="shared" si="3888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3889"/>
        <v>2217.192</v>
      </c>
      <c r="AB4190" s="3">
        <f t="shared" si="3890"/>
        <v>45088.05</v>
      </c>
      <c r="AC4190" s="3" cm="1">
        <f t="array" ref="AC4190">100000000/LvacE(AA4190)</f>
        <v>45088.051676309864</v>
      </c>
      <c r="AD4190" s="10">
        <f t="shared" si="3891"/>
        <v>1.5167827521547494E-2</v>
      </c>
      <c r="AE4190" s="10" t="b">
        <f t="shared" si="3892"/>
        <v>1</v>
      </c>
      <c r="AP4190"/>
      <c r="AQ4190"/>
      <c r="AU4190" s="13" cm="1">
        <f t="array" ref="AU4190">$C4190*EXP(poly_from_str(100000000/$E4190,AU$4343))</f>
        <v>11.709596801873607</v>
      </c>
    </row>
    <row r="4191" spans="1:51" x14ac:dyDescent="0.25">
      <c r="A4191" t="s">
        <v>4503</v>
      </c>
      <c r="B4191" s="2">
        <f t="shared" si="3888"/>
        <v>1</v>
      </c>
      <c r="C4191">
        <v>10</v>
      </c>
      <c r="D4191" t="s">
        <v>3264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3938">$G4191&amp;""</f>
        <v>e</v>
      </c>
      <c r="N4191" t="str">
        <f t="shared" ref="N4191:N4192" si="3939">$H4191&amp;""</f>
        <v>7/2</v>
      </c>
      <c r="O4191">
        <v>61605.66</v>
      </c>
      <c r="P4191" t="str">
        <f t="shared" ref="P4191:P4192" si="3940">$J4191&amp;""</f>
        <v>o</v>
      </c>
      <c r="Q4191" t="str">
        <f t="shared" ref="Q4191:Q4192" si="3941">$K4191&amp;""</f>
        <v>7/2</v>
      </c>
      <c r="R4191">
        <v>38</v>
      </c>
      <c r="AA4191" s="10">
        <f t="shared" si="3889"/>
        <v>2217.1210000000001</v>
      </c>
      <c r="AB4191" s="3">
        <f t="shared" si="3890"/>
        <v>45089.49</v>
      </c>
      <c r="AC4191" s="3" cm="1">
        <f t="array" ref="AC4191">100000000/LvacE(AA4191)</f>
        <v>45089.495409436007</v>
      </c>
      <c r="AD4191" s="10">
        <f t="shared" si="3891"/>
        <v>1.516847871844523E-2</v>
      </c>
      <c r="AE4191" s="10" t="b">
        <f t="shared" si="3892"/>
        <v>1</v>
      </c>
      <c r="AJ4191" t="s">
        <v>4776</v>
      </c>
      <c r="AK4191" t="s">
        <v>4822</v>
      </c>
      <c r="AL4191">
        <v>16516.150000000001</v>
      </c>
      <c r="AM4191">
        <v>61605.66</v>
      </c>
      <c r="AN4191" s="10" cm="1">
        <f t="array" ref="AN4191">Lair(100000000/($AM4191-$AL4191))</f>
        <v>2217.1202904674606</v>
      </c>
      <c r="AO4191" s="10">
        <f t="shared" ref="AO4191:AO4192" si="3942">100000000/($AM4191-$AL4191)</f>
        <v>2217.8107502166245</v>
      </c>
      <c r="AP4191" s="12">
        <v>693000000</v>
      </c>
      <c r="AQ4191" s="3">
        <v>0.61599999999999999</v>
      </c>
      <c r="AR4191" s="3">
        <f>LN(AU4191*100000000/($AM4191-$AL4191)/AP4191)</f>
        <v>-7.888470955735861</v>
      </c>
      <c r="AS4191" s="13">
        <f t="shared" ref="AS4191:AS4192" si="3943">EXP(AR$4341*$AM4191+AR$4342)*$AP4191/(100000000/($AM4191-$AL4191))</f>
        <v>271.28638011451426</v>
      </c>
      <c r="AT4191" s="3">
        <f t="shared" ref="AT4191" si="3944">LN(AS4191/$C4191)</f>
        <v>3.3005899231051492</v>
      </c>
      <c r="AU4191" s="13" cm="1">
        <f t="array" ref="AU4191">$C4191*EXP(poly_from_str(100000000/$E4191,AU$4343))</f>
        <v>117.18967332125297</v>
      </c>
      <c r="AV4191" s="13">
        <f>LN(AS4191/AU4191)</f>
        <v>0.83938125443174183</v>
      </c>
      <c r="AW4191" s="13"/>
      <c r="AX4191" s="13"/>
      <c r="AY4191" s="13"/>
    </row>
    <row r="4192" spans="1:51" x14ac:dyDescent="0.25">
      <c r="A4192" t="s">
        <v>4503</v>
      </c>
      <c r="B4192" s="2">
        <f t="shared" si="3888"/>
        <v>2</v>
      </c>
      <c r="C4192">
        <v>10</v>
      </c>
      <c r="D4192" t="s">
        <v>3264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3938"/>
        <v>e</v>
      </c>
      <c r="N4192" t="str">
        <f t="shared" si="3939"/>
        <v>7/2</v>
      </c>
      <c r="O4192">
        <v>71536.38</v>
      </c>
      <c r="P4192" t="str">
        <f t="shared" si="3940"/>
        <v>o</v>
      </c>
      <c r="Q4192" t="str">
        <f t="shared" si="3941"/>
        <v>5/2</v>
      </c>
      <c r="R4192">
        <v>38</v>
      </c>
      <c r="AA4192" s="10">
        <f t="shared" si="3889"/>
        <v>2217.1210000000001</v>
      </c>
      <c r="AB4192" s="3">
        <f t="shared" si="3890"/>
        <v>45089.49</v>
      </c>
      <c r="AC4192" s="3" cm="1">
        <f t="array" ref="AC4192">100000000/LvacE(AA4192)</f>
        <v>45089.495409436007</v>
      </c>
      <c r="AD4192" s="10">
        <f t="shared" si="3891"/>
        <v>1.516847871844523E-2</v>
      </c>
      <c r="AE4192" s="10" t="b">
        <f t="shared" si="3892"/>
        <v>1</v>
      </c>
      <c r="AJ4192" t="s">
        <v>4736</v>
      </c>
      <c r="AK4192" t="s">
        <v>4860</v>
      </c>
      <c r="AL4192">
        <v>26446.97</v>
      </c>
      <c r="AM4192">
        <v>71536.38</v>
      </c>
      <c r="AN4192" s="10" cm="1">
        <f t="array" ref="AN4192">Lair(100000000/($AM4192-$AL4192))</f>
        <v>2217.1252081239581</v>
      </c>
      <c r="AO4192" s="10">
        <f t="shared" si="3942"/>
        <v>2217.8156689120569</v>
      </c>
      <c r="AP4192" s="12">
        <v>8010000</v>
      </c>
      <c r="AQ4192" s="3">
        <v>3.2000000000000001E-2</v>
      </c>
      <c r="AR4192" s="3"/>
      <c r="AS4192" s="13">
        <f t="shared" si="3943"/>
        <v>1.4881968225210835</v>
      </c>
      <c r="AT4192" s="3"/>
      <c r="AU4192" s="13" cm="1">
        <f t="array" ref="AU4192">$C4192*EXP(poly_from_str(100000000/$E4192,AU$4343))</f>
        <v>117.18967332125297</v>
      </c>
      <c r="AV4192" s="13"/>
      <c r="AW4192" s="13"/>
      <c r="AX4192" s="13"/>
      <c r="AY4192" s="13"/>
    </row>
    <row r="4193" spans="1:51" x14ac:dyDescent="0.25">
      <c r="A4193" t="s">
        <v>4504</v>
      </c>
      <c r="B4193" s="2" t="str">
        <f t="shared" si="3888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3889"/>
        <v>2216.89</v>
      </c>
      <c r="AB4193" s="3">
        <f t="shared" si="3890"/>
        <v>45094.19</v>
      </c>
      <c r="AC4193" s="3" cm="1">
        <f t="array" ref="AC4193">100000000/LvacE(AA4193)</f>
        <v>45094.193265408539</v>
      </c>
      <c r="AD4193" s="10">
        <f t="shared" si="3891"/>
        <v>1.5170597834220131E-2</v>
      </c>
      <c r="AE4193" s="10" t="b">
        <f t="shared" si="3892"/>
        <v>1</v>
      </c>
      <c r="AP4193"/>
      <c r="AQ4193"/>
      <c r="AU4193" s="13" cm="1">
        <f t="array" ref="AU4193">$C4193*EXP(poly_from_str(100000000/$E4193,AU$4343))</f>
        <v>11.749632592136948</v>
      </c>
    </row>
    <row r="4194" spans="1:51" x14ac:dyDescent="0.25">
      <c r="A4194" t="s">
        <v>4505</v>
      </c>
      <c r="B4194" s="2" t="str">
        <f t="shared" si="3888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3889"/>
        <v>2216.7689999999998</v>
      </c>
      <c r="AB4194" s="3">
        <f t="shared" si="3890"/>
        <v>45096.65</v>
      </c>
      <c r="AC4194" s="3" cm="1">
        <f t="array" ref="AC4194">100000000/LvacE(AA4194)</f>
        <v>45096.654437768484</v>
      </c>
      <c r="AD4194" s="10">
        <f t="shared" si="3891"/>
        <v>1.5171708111618418E-2</v>
      </c>
      <c r="AE4194" s="10" t="b">
        <f t="shared" si="3892"/>
        <v>1</v>
      </c>
      <c r="AP4194"/>
      <c r="AQ4194"/>
      <c r="AU4194" s="13" cm="1">
        <f t="array" ref="AU4194">$C4194*EXP(poly_from_str(100000000/$E4194,AU$4343))</f>
        <v>11.765732430335353</v>
      </c>
    </row>
    <row r="4195" spans="1:51" x14ac:dyDescent="0.25">
      <c r="A4195" t="s">
        <v>4506</v>
      </c>
      <c r="B4195" s="2" t="str">
        <f t="shared" si="3888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3889"/>
        <v>2216.5079999999998</v>
      </c>
      <c r="AB4195" s="3">
        <f t="shared" si="3890"/>
        <v>45101.96</v>
      </c>
      <c r="AC4195" s="3" cm="1">
        <f t="array" ref="AC4195">100000000/LvacE(AA4195)</f>
        <v>45101.964162303731</v>
      </c>
      <c r="AD4195" s="10">
        <f t="shared" si="3891"/>
        <v>1.5174103626583738E-2</v>
      </c>
      <c r="AE4195" s="10" t="b">
        <f t="shared" si="3892"/>
        <v>1</v>
      </c>
      <c r="AJ4195" t="s">
        <v>4782</v>
      </c>
      <c r="AK4195" t="s">
        <v>4901</v>
      </c>
      <c r="AL4195">
        <v>23442.25</v>
      </c>
      <c r="AM4195">
        <v>68544.19</v>
      </c>
      <c r="AN4195" s="10" cm="1">
        <f t="array" ref="AN4195">Lair(100000000/($AM4195-$AL4195))</f>
        <v>2216.5091955627258</v>
      </c>
      <c r="AO4195" s="10">
        <f>100000000/($AM4195-$AL4195)</f>
        <v>2217.1995262288051</v>
      </c>
      <c r="AP4195" s="12">
        <v>462000000</v>
      </c>
      <c r="AQ4195" s="3">
        <v>0.36099999999999999</v>
      </c>
      <c r="AR4195" s="3">
        <f>LN(AU4195*100000000/($AM4195-$AL4195)/AP4195)</f>
        <v>-7.6994832437698815</v>
      </c>
      <c r="AS4195" s="13">
        <f>EXP(AR$4341*$AM4195+AR$4342)*$AP4195/(100000000/($AM4195-$AL4195))</f>
        <v>107.47640649555993</v>
      </c>
      <c r="AT4195" s="3">
        <f>LN(AS4195/$C4195)</f>
        <v>2.59782980733993</v>
      </c>
      <c r="AU4195" s="13" cm="1">
        <f t="array" ref="AU4195">$C4195*EXP(poly_from_str(100000000/$E4195,AU$4343))</f>
        <v>94.404807750074099</v>
      </c>
      <c r="AV4195" s="13">
        <f>LN(AS4195/AU4195)</f>
        <v>0.12967934760930719</v>
      </c>
      <c r="AW4195" s="13"/>
      <c r="AX4195" s="13"/>
      <c r="AY4195" s="13"/>
    </row>
    <row r="4196" spans="1:51" x14ac:dyDescent="0.25">
      <c r="A4196" t="s">
        <v>4507</v>
      </c>
      <c r="B4196" s="2" t="str">
        <f t="shared" si="3888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3889"/>
        <v>2216.2849999999999</v>
      </c>
      <c r="AB4196" s="3">
        <f t="shared" si="3890"/>
        <v>45106.5</v>
      </c>
      <c r="AC4196" s="3" cm="1">
        <f t="array" ref="AC4196">100000000/LvacE(AA4196)</f>
        <v>45106.501814008559</v>
      </c>
      <c r="AD4196" s="10">
        <f t="shared" si="3891"/>
        <v>1.5176151039692224E-2</v>
      </c>
      <c r="AE4196" s="10" t="b">
        <f t="shared" si="3892"/>
        <v>1</v>
      </c>
      <c r="AP4196"/>
      <c r="AQ4196"/>
      <c r="AU4196" s="13" cm="1">
        <f t="array" ref="AU4196">$C4196*EXP(poly_from_str(100000000/$E4196,AU$4343))</f>
        <v>11.830539964596648</v>
      </c>
    </row>
    <row r="4197" spans="1:51" x14ac:dyDescent="0.25">
      <c r="A4197" t="s">
        <v>4508</v>
      </c>
      <c r="B4197" s="2" t="str">
        <f t="shared" si="3888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3889"/>
        <v>2215.7399999999998</v>
      </c>
      <c r="AB4197" s="3">
        <f t="shared" si="3890"/>
        <v>45117.599999999999</v>
      </c>
      <c r="AC4197" s="3" cm="1">
        <f t="array" ref="AC4197">100000000/LvacE(AA4197)</f>
        <v>45117.595433581875</v>
      </c>
      <c r="AD4197" s="10">
        <f t="shared" si="3891"/>
        <v>1.5181157408717151E-2</v>
      </c>
      <c r="AE4197" s="10" t="b">
        <f t="shared" si="3892"/>
        <v>1</v>
      </c>
      <c r="AJ4197" t="s">
        <v>4766</v>
      </c>
      <c r="AK4197" t="s">
        <v>4894</v>
      </c>
      <c r="AL4197">
        <v>22277.66</v>
      </c>
      <c r="AM4197">
        <v>67395.320000000007</v>
      </c>
      <c r="AN4197" s="10" cm="1">
        <f t="array" ref="AN4197">Lair(100000000/($AM4197-$AL4197))</f>
        <v>2215.7368368372236</v>
      </c>
      <c r="AO4197" s="10">
        <f>100000000/($AM4197-$AL4197)</f>
        <v>2216.4270044146792</v>
      </c>
      <c r="AP4197" s="12">
        <v>28300000</v>
      </c>
      <c r="AQ4197" s="3">
        <v>4.5999999999999999E-2</v>
      </c>
      <c r="AR4197" s="3"/>
      <c r="AS4197" s="13">
        <f>EXP(AR$4341*$AM4197+AR$4342)*$AP4197/(100000000/($AM4197-$AL4197))</f>
        <v>7.1788249713569217</v>
      </c>
      <c r="AT4197" s="3"/>
      <c r="AU4197" s="13" cm="1">
        <f t="array" ref="AU4197">$C4197*EXP(poly_from_str(100000000/$E4197,AU$4343))</f>
        <v>11.904234170135521</v>
      </c>
      <c r="AV4197" s="13"/>
      <c r="AW4197" s="13"/>
      <c r="AX4197" s="13"/>
      <c r="AY4197" s="13"/>
    </row>
    <row r="4198" spans="1:51" x14ac:dyDescent="0.25">
      <c r="A4198" t="s">
        <v>4509</v>
      </c>
      <c r="B4198" s="2" t="str">
        <f t="shared" si="3888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3889"/>
        <v>2215.4789999999998</v>
      </c>
      <c r="AB4198" s="3">
        <f t="shared" si="3890"/>
        <v>45122.91</v>
      </c>
      <c r="AC4198" s="3" cm="1">
        <f t="array" ref="AC4198">100000000/LvacE(AA4198)</f>
        <v>45122.910090178208</v>
      </c>
      <c r="AD4198" s="10">
        <f t="shared" si="3891"/>
        <v>1.5183556262591116E-2</v>
      </c>
      <c r="AE4198" s="10" t="b">
        <f t="shared" si="3892"/>
        <v>1</v>
      </c>
      <c r="AP4198"/>
      <c r="AQ4198"/>
      <c r="AU4198" s="13" cm="1">
        <f t="array" ref="AU4198">$C4198*EXP(poly_from_str(100000000/$E4198,AU$4343))</f>
        <v>11.939738221056921</v>
      </c>
    </row>
    <row r="4199" spans="1:51" x14ac:dyDescent="0.25">
      <c r="A4199" t="s">
        <v>4510</v>
      </c>
      <c r="B4199" s="2" t="str">
        <f t="shared" si="3888"/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3889"/>
        <v>2215.248</v>
      </c>
      <c r="AB4199" s="3">
        <f t="shared" si="3890"/>
        <v>45127.61</v>
      </c>
      <c r="AC4199" s="3" cm="1">
        <f t="array" ref="AC4199">100000000/LvacE(AA4199)</f>
        <v>45127.614911168341</v>
      </c>
      <c r="AD4199" s="10">
        <f t="shared" si="3891"/>
        <v>1.5185680093418061E-2</v>
      </c>
      <c r="AE4199" s="10" t="b">
        <f t="shared" si="3892"/>
        <v>1</v>
      </c>
      <c r="AJ4199" t="s">
        <v>4729</v>
      </c>
      <c r="AK4199" t="s">
        <v>4892</v>
      </c>
      <c r="AL4199">
        <v>17113.189999999999</v>
      </c>
      <c r="AM4199">
        <v>62240.83</v>
      </c>
      <c r="AN4199" s="10" cm="1">
        <f t="array" ref="AN4199">Lair(100000000/($AM4199-$AL4199))</f>
        <v>2215.2467763498289</v>
      </c>
      <c r="AO4199" s="10">
        <f>100000000/($AM4199-$AL4199)</f>
        <v>2215.9368404817978</v>
      </c>
      <c r="AP4199" s="12">
        <v>889000000</v>
      </c>
      <c r="AQ4199" s="3">
        <v>0.437</v>
      </c>
      <c r="AR4199" s="3">
        <f>LN(AU4199*100000000/($AM4199-$AL4199)/AP4199)</f>
        <v>-8.1170800568907548</v>
      </c>
      <c r="AS4199" s="13">
        <f>EXP(AR$4341*$AM4199+AR$4342)*$AP4199/(100000000/($AM4199-$AL4199))</f>
        <v>332.0946756303735</v>
      </c>
      <c r="AT4199" s="3">
        <f>LN(AS4199/$C4199)</f>
        <v>3.5028350028312683</v>
      </c>
      <c r="AU4199" s="13" cm="1">
        <f t="array" ref="AU4199">$C4199*EXP(poly_from_str(100000000/$E4199,AU$4343))</f>
        <v>119.7129975101814</v>
      </c>
      <c r="AV4199" s="13">
        <f>LN(AS4199/AU4199)</f>
        <v>1.0203229051112497</v>
      </c>
      <c r="AW4199" s="13"/>
      <c r="AX4199" s="13"/>
      <c r="AY4199" s="13"/>
    </row>
    <row r="4200" spans="1:51" x14ac:dyDescent="0.25">
      <c r="A4200" t="s">
        <v>4511</v>
      </c>
      <c r="B4200" s="2" t="str">
        <f t="shared" si="3888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3889"/>
        <v>2215.018</v>
      </c>
      <c r="AB4200" s="3">
        <f t="shared" si="3890"/>
        <v>45132.3</v>
      </c>
      <c r="AC4200" s="3" cm="1">
        <f t="array" ref="AC4200">100000000/LvacE(AA4200)</f>
        <v>45132.300339701636</v>
      </c>
      <c r="AD4200" s="10">
        <f t="shared" si="3891"/>
        <v>1.5187795390308709E-2</v>
      </c>
      <c r="AE4200" s="10" t="b">
        <f t="shared" si="3892"/>
        <v>1</v>
      </c>
      <c r="AP4200"/>
      <c r="AQ4200"/>
      <c r="AU4200" s="13" cm="1">
        <f t="array" ref="AU4200">$C4200*EXP(poly_from_str(100000000/$E4200,AU$4343))</f>
        <v>12.002922141680134</v>
      </c>
    </row>
    <row r="4201" spans="1:51" x14ac:dyDescent="0.25">
      <c r="A4201" t="s">
        <v>4512</v>
      </c>
      <c r="B4201" s="2" t="str">
        <f t="shared" si="3888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3889"/>
        <v>2214.6790000000001</v>
      </c>
      <c r="AB4201" s="3">
        <f t="shared" si="3890"/>
        <v>45139.21</v>
      </c>
      <c r="AC4201" s="3" cm="1">
        <f t="array" ref="AC4201">100000000/LvacE(AA4201)</f>
        <v>45139.208027817964</v>
      </c>
      <c r="AD4201" s="10">
        <f t="shared" si="3891"/>
        <v>1.5190914355493045E-2</v>
      </c>
      <c r="AE4201" s="10" t="b">
        <f t="shared" si="3892"/>
        <v>1</v>
      </c>
      <c r="AP4201"/>
      <c r="AQ4201"/>
      <c r="AU4201" s="13" cm="1">
        <f t="array" ref="AU4201">$C4201*EXP(poly_from_str(100000000/$E4201,AU$4343))</f>
        <v>12.049747160518489</v>
      </c>
    </row>
    <row r="4202" spans="1:51" x14ac:dyDescent="0.25">
      <c r="A4202" t="s">
        <v>4513</v>
      </c>
      <c r="B4202" s="2" t="str">
        <f t="shared" si="3888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3945">$G4202&amp;""</f>
        <v>e</v>
      </c>
      <c r="N4202" t="str">
        <f t="shared" ref="N4202:N4204" si="3946">$H4202&amp;""</f>
        <v>9/2</v>
      </c>
      <c r="O4202">
        <v>68987.070000000007</v>
      </c>
      <c r="P4202" t="str">
        <f t="shared" ref="P4202:P4204" si="3947">$J4202&amp;""</f>
        <v>o</v>
      </c>
      <c r="Q4202" t="str">
        <f t="shared" ref="Q4202:Q4204" si="3948">$K4202&amp;""</f>
        <v>7/2</v>
      </c>
      <c r="R4202">
        <v>38</v>
      </c>
      <c r="AA4202" s="10">
        <f t="shared" si="3889"/>
        <v>2214.5189999999998</v>
      </c>
      <c r="AB4202" s="3">
        <f t="shared" si="3890"/>
        <v>45142.47</v>
      </c>
      <c r="AC4202" s="3" cm="1">
        <f t="array" ref="AC4202">100000000/LvacE(AA4202)</f>
        <v>45142.469028071122</v>
      </c>
      <c r="AD4202" s="10">
        <f t="shared" si="3891"/>
        <v>1.5192386930992945E-2</v>
      </c>
      <c r="AE4202" s="10" t="b">
        <f t="shared" si="3892"/>
        <v>1</v>
      </c>
      <c r="AJ4202" t="s">
        <v>4763</v>
      </c>
      <c r="AK4202" t="s">
        <v>4920</v>
      </c>
      <c r="AL4202">
        <v>23844.58</v>
      </c>
      <c r="AM4202">
        <v>68987.070000000007</v>
      </c>
      <c r="AN4202" s="10" cm="1">
        <f t="array" ref="AN4202">Lair(100000000/($AM4202-$AL4202))</f>
        <v>2214.5179791660403</v>
      </c>
      <c r="AO4202" s="10">
        <f t="shared" ref="AO4202:AO4204" si="3949">100000000/($AM4202-$AL4202)</f>
        <v>2215.2078895072023</v>
      </c>
      <c r="AP4202" s="12">
        <v>27500000</v>
      </c>
      <c r="AQ4202" s="3">
        <v>3.5000000000000003E-2</v>
      </c>
      <c r="AR4202" s="3"/>
      <c r="AS4202" s="13">
        <f t="shared" ref="AS4202:AS4204" si="3950">EXP(AR$4341*$AM4202+AR$4342)*$AP4202/(100000000/($AM4202-$AL4202))</f>
        <v>6.1938348857993146</v>
      </c>
      <c r="AT4202" s="3"/>
      <c r="AU4202" s="13" cm="1">
        <f t="array" ref="AU4202">$C4202*EXP(poly_from_str(100000000/$E4202,AU$4343))</f>
        <v>24.143871265027311</v>
      </c>
      <c r="AV4202" s="13"/>
      <c r="AW4202" s="13"/>
      <c r="AX4202" s="13"/>
      <c r="AY4202" s="13"/>
    </row>
    <row r="4203" spans="1:51" x14ac:dyDescent="0.25">
      <c r="A4203" t="s">
        <v>4514</v>
      </c>
      <c r="B4203" s="2" t="str">
        <f t="shared" si="3888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3945"/>
        <v>e</v>
      </c>
      <c r="N4203" t="str">
        <f t="shared" si="3946"/>
        <v>15/2</v>
      </c>
      <c r="O4203">
        <v>62678.7</v>
      </c>
      <c r="P4203" t="str">
        <f t="shared" si="3947"/>
        <v>o</v>
      </c>
      <c r="Q4203" t="str">
        <f t="shared" si="3948"/>
        <v>13/2</v>
      </c>
      <c r="R4203">
        <v>38</v>
      </c>
      <c r="T4203">
        <v>1</v>
      </c>
      <c r="AA4203" s="10">
        <f t="shared" si="3889"/>
        <v>2214.4479999999999</v>
      </c>
      <c r="AB4203" s="3">
        <f t="shared" si="3890"/>
        <v>45143.92</v>
      </c>
      <c r="AC4203" s="3" cm="1">
        <f t="array" ref="AC4203">100000000/LvacE(AA4203)</f>
        <v>45143.916247850699</v>
      </c>
      <c r="AD4203" s="10">
        <f t="shared" si="3891"/>
        <v>1.5193040488611767E-2</v>
      </c>
      <c r="AE4203" s="10" t="b">
        <f t="shared" si="3892"/>
        <v>1</v>
      </c>
      <c r="AJ4203" t="s">
        <v>4701</v>
      </c>
      <c r="AK4203" t="s">
        <v>4888</v>
      </c>
      <c r="AL4203">
        <v>17534.759999999998</v>
      </c>
      <c r="AM4203">
        <v>62678.7</v>
      </c>
      <c r="AN4203" s="10" cm="1">
        <f t="array" ref="AN4203">Lair(100000000/($AM4203-$AL4203))</f>
        <v>2214.4468428425989</v>
      </c>
      <c r="AO4203" s="10">
        <f t="shared" si="3949"/>
        <v>2215.1367381757109</v>
      </c>
      <c r="AP4203" s="12">
        <v>948000000</v>
      </c>
      <c r="AQ4203" s="3">
        <v>0.61599999999999999</v>
      </c>
      <c r="AR4203" s="3">
        <f t="shared" ref="AR4203:AR4204" si="3951">LN(AU4203*100000000/($AM4203-$AL4203)/AP4203)</f>
        <v>-8.1725083072735867</v>
      </c>
      <c r="AS4203" s="13">
        <f t="shared" si="3950"/>
        <v>342.81048421199256</v>
      </c>
      <c r="AT4203" s="3">
        <f t="shared" ref="AT4203:AT4204" si="3952">LN(AS4203/$C4203)</f>
        <v>3.5345926773108829</v>
      </c>
      <c r="AU4203" s="13" cm="1">
        <f t="array" ref="AU4203">$C4203*EXP(poly_from_str(100000000/$E4203,AU$4343))</f>
        <v>120.818248708738</v>
      </c>
      <c r="AV4203" s="13">
        <f t="shared" ref="AV4203:AV4204" si="3953">LN(AS4203/AU4203)</f>
        <v>1.0428904307437679</v>
      </c>
      <c r="AW4203" s="13"/>
      <c r="AX4203" s="13"/>
      <c r="AY4203" s="13"/>
    </row>
    <row r="4204" spans="1:51" x14ac:dyDescent="0.25">
      <c r="A4204" t="s">
        <v>4515</v>
      </c>
      <c r="B4204" s="2" t="str">
        <f t="shared" si="3888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3945"/>
        <v>e</v>
      </c>
      <c r="N4204" t="str">
        <f t="shared" si="3946"/>
        <v>7/2</v>
      </c>
      <c r="O4204">
        <v>71592.34</v>
      </c>
      <c r="P4204" t="str">
        <f t="shared" si="3947"/>
        <v>o</v>
      </c>
      <c r="Q4204" t="str">
        <f t="shared" si="3948"/>
        <v>9/2</v>
      </c>
      <c r="R4204">
        <v>38</v>
      </c>
      <c r="S4204" t="s">
        <v>4516</v>
      </c>
      <c r="AA4204" s="10">
        <f t="shared" si="3889"/>
        <v>2214.3789999999999</v>
      </c>
      <c r="AB4204" s="3">
        <f t="shared" si="3890"/>
        <v>45145.32</v>
      </c>
      <c r="AC4204" s="3" cm="1">
        <f t="array" ref="AC4204">100000000/LvacE(AA4204)</f>
        <v>45145.322789776474</v>
      </c>
      <c r="AD4204" s="10">
        <f t="shared" si="3891"/>
        <v>1.5193675696386317E-2</v>
      </c>
      <c r="AE4204" s="10" t="b">
        <f t="shared" si="3892"/>
        <v>1</v>
      </c>
      <c r="AJ4204" t="s">
        <v>4736</v>
      </c>
      <c r="AK4204" t="s">
        <v>4881</v>
      </c>
      <c r="AL4204">
        <v>26446.97</v>
      </c>
      <c r="AM4204">
        <v>71592.34</v>
      </c>
      <c r="AN4204" s="10" cm="1">
        <f t="array" ref="AN4204">Lair(100000000/($AM4204-$AL4204))</f>
        <v>2214.3766921847491</v>
      </c>
      <c r="AO4204" s="10">
        <f t="shared" si="3949"/>
        <v>2215.06657271831</v>
      </c>
      <c r="AP4204" s="12">
        <v>63500000</v>
      </c>
      <c r="AQ4204" s="3">
        <v>0.14199999999999999</v>
      </c>
      <c r="AR4204" s="3">
        <f t="shared" si="3951"/>
        <v>-7.077872339684788</v>
      </c>
      <c r="AS4204" s="13">
        <f t="shared" si="3950"/>
        <v>11.762953385127739</v>
      </c>
      <c r="AT4204" s="3">
        <f t="shared" si="3952"/>
        <v>1.7718078685717531</v>
      </c>
      <c r="AU4204" s="13" cm="1">
        <f t="array" ref="AU4204">$C4204*EXP(poly_from_str(100000000/$E4204,AU$4343))</f>
        <v>24.182769773559464</v>
      </c>
      <c r="AV4204" s="13">
        <f t="shared" si="3953"/>
        <v>-0.72068533761555198</v>
      </c>
      <c r="AW4204" s="13"/>
      <c r="AX4204" s="13"/>
      <c r="AY4204" s="13"/>
    </row>
    <row r="4205" spans="1:51" x14ac:dyDescent="0.25">
      <c r="A4205" t="s">
        <v>4517</v>
      </c>
      <c r="B4205" s="2" t="str">
        <f t="shared" si="3888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3889"/>
        <v>2214.2170000000001</v>
      </c>
      <c r="AB4205" s="3">
        <f t="shared" si="3890"/>
        <v>45148.62</v>
      </c>
      <c r="AC4205" s="3" cm="1">
        <f t="array" ref="AC4205">100000000/LvacE(AA4205)</f>
        <v>45148.625450042149</v>
      </c>
      <c r="AD4205" s="10">
        <f t="shared" si="3891"/>
        <v>1.51951672871363E-2</v>
      </c>
      <c r="AE4205" s="10" t="b">
        <f t="shared" si="3892"/>
        <v>1</v>
      </c>
      <c r="AP4205"/>
      <c r="AQ4205"/>
      <c r="AU4205" s="13" cm="1">
        <f t="array" ref="AU4205">$C4205*EXP(poly_from_str(100000000/$E4205,AU$4343))</f>
        <v>12.113965116590521</v>
      </c>
    </row>
    <row r="4206" spans="1:51" x14ac:dyDescent="0.25">
      <c r="A4206" t="s">
        <v>4518</v>
      </c>
      <c r="B4206" s="2" t="str">
        <f t="shared" si="3888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3954">$G4206&amp;""</f>
        <v>e</v>
      </c>
      <c r="N4206" t="str">
        <f t="shared" ref="N4206:N4207" si="3955">$H4206&amp;""</f>
        <v>7/2</v>
      </c>
      <c r="O4206">
        <v>68801.67</v>
      </c>
      <c r="P4206" t="str">
        <f t="shared" ref="P4206:P4207" si="3956">$J4206&amp;""</f>
        <v>o</v>
      </c>
      <c r="Q4206" t="str">
        <f t="shared" ref="Q4206:Q4207" si="3957">$K4206&amp;""</f>
        <v>7/2</v>
      </c>
      <c r="R4206">
        <v>38</v>
      </c>
      <c r="AA4206" s="10">
        <f t="shared" si="3889"/>
        <v>2214.1640000000002</v>
      </c>
      <c r="AB4206" s="3">
        <f t="shared" si="3890"/>
        <v>45149.71</v>
      </c>
      <c r="AC4206" s="3" cm="1">
        <f t="array" ref="AC4206">100000000/LvacE(AA4206)</f>
        <v>45149.706054901028</v>
      </c>
      <c r="AD4206" s="10">
        <f t="shared" si="3891"/>
        <v>1.5195655347774832E-2</v>
      </c>
      <c r="AE4206" s="10" t="b">
        <f t="shared" si="3892"/>
        <v>1</v>
      </c>
      <c r="AJ4206" t="s">
        <v>4759</v>
      </c>
      <c r="AK4206" t="s">
        <v>4857</v>
      </c>
      <c r="AL4206">
        <v>23651.88</v>
      </c>
      <c r="AM4206">
        <v>68801.67</v>
      </c>
      <c r="AN4206" s="10" cm="1">
        <f t="array" ref="AN4206">Lair(100000000/($AM4206-$AL4206))</f>
        <v>2214.1598909695253</v>
      </c>
      <c r="AO4206" s="10">
        <f t="shared" ref="AO4206:AO4207" si="3958">100000000/($AM4206-$AL4206)</f>
        <v>2214.8497257683816</v>
      </c>
      <c r="AP4206" s="12">
        <v>8050000</v>
      </c>
      <c r="AQ4206" s="3">
        <v>5.0000000000000001E-3</v>
      </c>
      <c r="AR4206" s="3"/>
      <c r="AS4206" s="13">
        <f t="shared" ref="AS4206:AS4207" si="3959">EXP(AR$4341*$AM4206+AR$4342)*$AP4206/(100000000/($AM4206-$AL4206))</f>
        <v>1.8388049505500141</v>
      </c>
      <c r="AT4206" s="3"/>
      <c r="AU4206" s="13" cm="1">
        <f t="array" ref="AU4206">$C4206*EXP(poly_from_str(100000000/$E4206,AU$4343))</f>
        <v>24.242875249753425</v>
      </c>
      <c r="AV4206" s="13"/>
      <c r="AW4206" s="13"/>
      <c r="AX4206" s="13"/>
      <c r="AY4206" s="13"/>
    </row>
    <row r="4207" spans="1:51" x14ac:dyDescent="0.25">
      <c r="A4207" t="s">
        <v>4519</v>
      </c>
      <c r="B4207" s="2" t="str">
        <f t="shared" si="3888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3954"/>
        <v>e</v>
      </c>
      <c r="N4207" t="str">
        <f t="shared" si="3955"/>
        <v>7/2</v>
      </c>
      <c r="O4207">
        <v>67679.210000000006</v>
      </c>
      <c r="P4207" t="str">
        <f t="shared" si="3956"/>
        <v>o</v>
      </c>
      <c r="Q4207" t="str">
        <f t="shared" si="3957"/>
        <v>7/2</v>
      </c>
      <c r="R4207">
        <v>38</v>
      </c>
      <c r="AA4207" s="10">
        <f t="shared" si="3889"/>
        <v>2214.0790000000002</v>
      </c>
      <c r="AB4207" s="3">
        <f t="shared" si="3890"/>
        <v>45151.44</v>
      </c>
      <c r="AC4207" s="3" cm="1">
        <f t="array" ref="AC4207">100000000/LvacE(AA4207)</f>
        <v>45151.439208423282</v>
      </c>
      <c r="AD4207" s="10">
        <f t="shared" si="3891"/>
        <v>1.5196438159709585E-2</v>
      </c>
      <c r="AE4207" s="10" t="b">
        <f t="shared" si="3892"/>
        <v>1</v>
      </c>
      <c r="AJ4207" t="s">
        <v>4799</v>
      </c>
      <c r="AK4207" t="s">
        <v>4861</v>
      </c>
      <c r="AL4207">
        <v>22527.7</v>
      </c>
      <c r="AM4207">
        <v>67679.210000000006</v>
      </c>
      <c r="AN4207" s="10" cm="1">
        <f t="array" ref="AN4207">Lair(100000000/($AM4207-$AL4207))</f>
        <v>2214.0755363570242</v>
      </c>
      <c r="AO4207" s="10">
        <f t="shared" si="3958"/>
        <v>2214.7653533624893</v>
      </c>
      <c r="AP4207" s="12">
        <v>80200000</v>
      </c>
      <c r="AQ4207" s="3">
        <v>7.4999999999999997E-2</v>
      </c>
      <c r="AR4207" s="3">
        <f>LN(AU4207*100000000/($AM4207-$AL4207)/AP4207)</f>
        <v>-7.3080304099881568</v>
      </c>
      <c r="AS4207" s="13">
        <f t="shared" si="3959"/>
        <v>19.930323809816251</v>
      </c>
      <c r="AT4207" s="3">
        <f t="shared" ref="AT4207" si="3960">LN(AS4207/$C4207)</f>
        <v>2.2990952008893317</v>
      </c>
      <c r="AU4207" s="13" cm="1">
        <f t="array" ref="AU4207">$C4207*EXP(poly_from_str(100000000/$E4207,AU$4343))</f>
        <v>24.266624314645643</v>
      </c>
      <c r="AV4207" s="13">
        <f>LN(AS4207/AU4207)</f>
        <v>-0.19685953980813903</v>
      </c>
      <c r="AW4207" s="13"/>
      <c r="AX4207" s="13"/>
      <c r="AY4207" s="13"/>
    </row>
    <row r="4208" spans="1:51" x14ac:dyDescent="0.25">
      <c r="A4208" t="s">
        <v>4520</v>
      </c>
      <c r="B4208" s="2" t="str">
        <f t="shared" si="3888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3889"/>
        <v>2213.8380000000002</v>
      </c>
      <c r="AB4208" s="3">
        <f t="shared" si="3890"/>
        <v>45156.35</v>
      </c>
      <c r="AC4208" s="3" cm="1">
        <f t="array" ref="AC4208">100000000/LvacE(AA4208)</f>
        <v>45156.353931862279</v>
      </c>
      <c r="AD4208" s="10">
        <f t="shared" si="3891"/>
        <v>1.5198658152010734E-2</v>
      </c>
      <c r="AE4208" s="10" t="b">
        <f t="shared" si="3892"/>
        <v>1</v>
      </c>
      <c r="AP4208"/>
      <c r="AQ4208"/>
      <c r="AU4208" s="13" cm="1">
        <f t="array" ref="AU4208">$C4208*EXP(poly_from_str(100000000/$E4208,AU$4343))</f>
        <v>60.83555493583156</v>
      </c>
    </row>
    <row r="4209" spans="1:51" x14ac:dyDescent="0.25">
      <c r="A4209" t="s">
        <v>4521</v>
      </c>
      <c r="B4209" s="2" t="str">
        <f t="shared" si="3888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3961">$G4209&amp;""</f>
        <v>e</v>
      </c>
      <c r="N4209" t="str">
        <f t="shared" ref="N4209:N4211" si="3962">$H4209&amp;""</f>
        <v>7/2</v>
      </c>
      <c r="O4209">
        <v>67240.350000000006</v>
      </c>
      <c r="P4209" t="str">
        <f t="shared" ref="P4209:P4211" si="3963">$J4209&amp;""</f>
        <v>o</v>
      </c>
      <c r="Q4209" t="str">
        <f t="shared" ref="Q4209:Q4211" si="3964">$K4209&amp;""</f>
        <v>7/2</v>
      </c>
      <c r="R4209">
        <v>38</v>
      </c>
      <c r="AA4209" s="10">
        <f t="shared" si="3889"/>
        <v>2213.6930000000002</v>
      </c>
      <c r="AB4209" s="3">
        <f t="shared" si="3890"/>
        <v>45159.31</v>
      </c>
      <c r="AC4209" s="3" cm="1">
        <f t="array" ref="AC4209">100000000/LvacE(AA4209)</f>
        <v>45159.311438636236</v>
      </c>
      <c r="AD4209" s="10">
        <f t="shared" si="3891"/>
        <v>1.5199994181360341E-2</v>
      </c>
      <c r="AE4209" s="10" t="b">
        <f t="shared" si="3892"/>
        <v>1</v>
      </c>
      <c r="AJ4209" t="s">
        <v>4790</v>
      </c>
      <c r="AK4209" t="s">
        <v>4852</v>
      </c>
      <c r="AL4209">
        <v>22080.94</v>
      </c>
      <c r="AM4209">
        <v>67240.350000000006</v>
      </c>
      <c r="AN4209" s="10" cm="1">
        <f t="array" ref="AN4209">Lair(100000000/($AM4209-$AL4209))</f>
        <v>2213.6881761842405</v>
      </c>
      <c r="AO4209" s="10">
        <f t="shared" ref="AO4209:AO4211" si="3965">100000000/($AM4209-$AL4209)</f>
        <v>2214.3779114917575</v>
      </c>
      <c r="AP4209" s="12">
        <v>25600000</v>
      </c>
      <c r="AQ4209" s="3">
        <v>3.7999999999999999E-2</v>
      </c>
      <c r="AR4209" s="3"/>
      <c r="AS4209" s="13">
        <f t="shared" ref="AS4209:AS4211" si="3966">EXP(AR$4341*$AM4209+AR$4342)*$AP4209/(100000000/($AM4209-$AL4209))</f>
        <v>6.5759640458782238</v>
      </c>
      <c r="AT4209" s="3"/>
      <c r="AU4209" s="13" cm="1">
        <f t="array" ref="AU4209">$C4209*EXP(poly_from_str(100000000/$E4209,AU$4343))</f>
        <v>12.187556272197817</v>
      </c>
      <c r="AV4209" s="13"/>
      <c r="AW4209" s="13"/>
      <c r="AX4209" s="13"/>
      <c r="AY4209" s="13"/>
    </row>
    <row r="4210" spans="1:51" x14ac:dyDescent="0.25">
      <c r="A4210" t="s">
        <v>4522</v>
      </c>
      <c r="B4210" s="2">
        <f t="shared" si="3888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3961"/>
        <v>e</v>
      </c>
      <c r="N4210" t="str">
        <f t="shared" si="3962"/>
        <v>3/2</v>
      </c>
      <c r="O4210">
        <v>74105.2</v>
      </c>
      <c r="P4210" t="str">
        <f t="shared" si="3963"/>
        <v>o</v>
      </c>
      <c r="Q4210" t="str">
        <f t="shared" si="3964"/>
        <v>5/2</v>
      </c>
      <c r="R4210">
        <v>38</v>
      </c>
      <c r="AA4210" s="10">
        <f t="shared" si="3889"/>
        <v>2213.2289999999998</v>
      </c>
      <c r="AB4210" s="3">
        <f t="shared" si="3890"/>
        <v>45168.78</v>
      </c>
      <c r="AC4210" s="3" cm="1">
        <f t="array" ref="AC4210">100000000/LvacE(AA4210)</f>
        <v>45168.778063884965</v>
      </c>
      <c r="AD4210" s="10">
        <f t="shared" si="3891"/>
        <v>1.5204271239868304E-2</v>
      </c>
      <c r="AE4210" s="10" t="b">
        <f t="shared" si="3892"/>
        <v>1</v>
      </c>
      <c r="AJ4210" t="s">
        <v>4801</v>
      </c>
      <c r="AK4210" t="s">
        <v>4940</v>
      </c>
      <c r="AL4210">
        <v>28936.46</v>
      </c>
      <c r="AM4210">
        <v>74105.2</v>
      </c>
      <c r="AN4210" s="10" cm="1">
        <f t="array" ref="AN4210">Lair(100000000/($AM4210-$AL4210))</f>
        <v>2213.230873404103</v>
      </c>
      <c r="AO4210" s="10">
        <f t="shared" si="3965"/>
        <v>2213.9205122834951</v>
      </c>
      <c r="AP4210" s="12">
        <v>712000</v>
      </c>
      <c r="AQ4210" s="3">
        <v>5.0000000000000001E-3</v>
      </c>
      <c r="AR4210" s="3"/>
      <c r="AS4210" s="13">
        <f t="shared" si="3966"/>
        <v>0.10928165941833493</v>
      </c>
      <c r="AT4210" s="3"/>
      <c r="AU4210" s="13" cm="1">
        <f t="array" ref="AU4210">$C4210*EXP(poly_from_str(100000000/$E4210,AU$4343))</f>
        <v>12.253321157641997</v>
      </c>
      <c r="AV4210" s="13"/>
      <c r="AW4210" s="13"/>
      <c r="AX4210" s="13"/>
      <c r="AY4210" s="13"/>
    </row>
    <row r="4211" spans="1:51" x14ac:dyDescent="0.25">
      <c r="A4211" t="s">
        <v>4522</v>
      </c>
      <c r="B4211" s="2">
        <f t="shared" si="3888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3961"/>
        <v>e</v>
      </c>
      <c r="N4211" t="str">
        <f t="shared" si="3962"/>
        <v>9/2</v>
      </c>
      <c r="O4211">
        <v>63232.14</v>
      </c>
      <c r="P4211" t="str">
        <f t="shared" si="3963"/>
        <v>o</v>
      </c>
      <c r="Q4211" t="str">
        <f t="shared" si="3964"/>
        <v>7/2</v>
      </c>
      <c r="R4211">
        <v>38</v>
      </c>
      <c r="AA4211" s="10">
        <f t="shared" si="3889"/>
        <v>2213.2289999999998</v>
      </c>
      <c r="AB4211" s="3">
        <f t="shared" si="3890"/>
        <v>45168.78</v>
      </c>
      <c r="AC4211" s="3" cm="1">
        <f t="array" ref="AC4211">100000000/LvacE(AA4211)</f>
        <v>45168.778063884965</v>
      </c>
      <c r="AD4211" s="10">
        <f t="shared" si="3891"/>
        <v>1.5204271239868304E-2</v>
      </c>
      <c r="AE4211" s="10" t="b">
        <f t="shared" si="3892"/>
        <v>1</v>
      </c>
      <c r="AJ4211" t="s">
        <v>4744</v>
      </c>
      <c r="AK4211" t="s">
        <v>4819</v>
      </c>
      <c r="AL4211">
        <v>18063.36</v>
      </c>
      <c r="AM4211">
        <v>63232.14</v>
      </c>
      <c r="AN4211" s="10" cm="1">
        <f t="array" ref="AN4211">Lair(100000000/($AM4211-$AL4211))</f>
        <v>2213.2289132415008</v>
      </c>
      <c r="AO4211" s="10">
        <f t="shared" si="3965"/>
        <v>2213.9185517076176</v>
      </c>
      <c r="AP4211" s="12">
        <v>19600000</v>
      </c>
      <c r="AQ4211" s="3">
        <v>7.9000000000000001E-2</v>
      </c>
      <c r="AR4211" s="3">
        <f>LN(AU4211*100000000/($AM4211-$AL4211)/AP4211)</f>
        <v>-6.5827237843001765</v>
      </c>
      <c r="AS4211" s="13">
        <f t="shared" si="3966"/>
        <v>6.8030364150096752</v>
      </c>
      <c r="AT4211" s="3">
        <f t="shared" ref="AT4211" si="3967">LN(AS4211/$C4211)</f>
        <v>1.9173690441355555</v>
      </c>
      <c r="AU4211" s="13" cm="1">
        <f t="array" ref="AU4211">$C4211*EXP(poly_from_str(100000000/$E4211,AU$4343))</f>
        <v>12.253321157641997</v>
      </c>
      <c r="AV4211" s="13">
        <f>LN(AS4211/AU4211)</f>
        <v>-0.58842797101972544</v>
      </c>
      <c r="AW4211" s="13"/>
      <c r="AX4211" s="13"/>
      <c r="AY4211" s="13"/>
    </row>
    <row r="4212" spans="1:51" x14ac:dyDescent="0.25">
      <c r="A4212" t="s">
        <v>4523</v>
      </c>
      <c r="B4212" s="2" t="str">
        <f t="shared" si="3888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3889"/>
        <v>2212.6880000000001</v>
      </c>
      <c r="AB4212" s="3">
        <f t="shared" si="3890"/>
        <v>45179.82</v>
      </c>
      <c r="AC4212" s="3" cm="1">
        <f t="array" ref="AC4212">100000000/LvacE(AA4212)</f>
        <v>45179.820671411995</v>
      </c>
      <c r="AD4212" s="10">
        <f t="shared" si="3891"/>
        <v>1.5209261466463415E-2</v>
      </c>
      <c r="AE4212" s="10" t="b">
        <f t="shared" si="3892"/>
        <v>1</v>
      </c>
      <c r="AP4212"/>
      <c r="AQ4212"/>
      <c r="AU4212" s="13" cm="1">
        <f t="array" ref="AU4212">$C4212*EXP(poly_from_str(100000000/$E4212,AU$4343))</f>
        <v>12.330674818812813</v>
      </c>
    </row>
    <row r="4213" spans="1:51" x14ac:dyDescent="0.25">
      <c r="A4213" t="s">
        <v>4524</v>
      </c>
      <c r="B4213" s="2" t="str">
        <f t="shared" si="3888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3968">$G4213&amp;""</f>
        <v>e</v>
      </c>
      <c r="N4213" t="str">
        <f t="shared" ref="N4213:N4214" si="3969">$H4213&amp;""</f>
        <v>7/2</v>
      </c>
      <c r="O4213">
        <v>61717.98</v>
      </c>
      <c r="P4213" t="str">
        <f t="shared" ref="P4213:P4214" si="3970">$J4213&amp;""</f>
        <v>o</v>
      </c>
      <c r="Q4213" t="str">
        <f t="shared" ref="Q4213:Q4214" si="3971">$K4213&amp;""</f>
        <v>5/2</v>
      </c>
      <c r="R4213">
        <v>38</v>
      </c>
      <c r="AA4213" s="10">
        <f t="shared" si="3889"/>
        <v>2211.6120000000001</v>
      </c>
      <c r="AB4213" s="3">
        <f t="shared" si="3890"/>
        <v>45201.8</v>
      </c>
      <c r="AC4213" s="3" cm="1">
        <f t="array" ref="AC4213">100000000/LvacE(AA4213)</f>
        <v>45201.799471885104</v>
      </c>
      <c r="AD4213" s="10">
        <f t="shared" si="3891"/>
        <v>1.5219197461373221E-2</v>
      </c>
      <c r="AE4213" s="10" t="b">
        <f t="shared" si="3892"/>
        <v>1</v>
      </c>
      <c r="AJ4213" t="s">
        <v>4776</v>
      </c>
      <c r="AK4213" t="s">
        <v>4880</v>
      </c>
      <c r="AL4213">
        <v>16516.150000000001</v>
      </c>
      <c r="AM4213">
        <v>61717.98</v>
      </c>
      <c r="AN4213" s="10" cm="1">
        <f t="array" ref="AN4213">Lair(100000000/($AM4213-$AL4213))</f>
        <v>2211.6105143625073</v>
      </c>
      <c r="AO4213" s="10">
        <f t="shared" ref="AO4213:AO4214" si="3972">100000000/($AM4213-$AL4213)</f>
        <v>2212.2998117554089</v>
      </c>
      <c r="AP4213" s="12">
        <v>120000000</v>
      </c>
      <c r="AQ4213" s="3">
        <v>0.25800000000000001</v>
      </c>
      <c r="AR4213" s="3">
        <f t="shared" ref="AR4213:AR4214" si="3973">LN(AU4213*100000000/($AM4213-$AL4213)/AP4213)</f>
        <v>-6.5847739745955076</v>
      </c>
      <c r="AS4213" s="13">
        <f t="shared" ref="AS4213:AS4214" si="3974">EXP(AR$4341*$AM4213+AR$4342)*$AP4213/(100000000/($AM4213-$AL4213))</f>
        <v>46.697725320407457</v>
      </c>
      <c r="AT4213" s="3">
        <f t="shared" ref="AT4213:AT4214" si="3975">LN(AS4213/$C4213)</f>
        <v>2.0519359859180542</v>
      </c>
      <c r="AU4213" s="13" cm="1">
        <f t="array" ref="AU4213">$C4213*EXP(poly_from_str(100000000/$E4213,AU$4343))</f>
        <v>74.92146517599231</v>
      </c>
      <c r="AV4213" s="13">
        <f t="shared" ref="AV4213:AV4214" si="3976">LN(AS4213/AU4213)</f>
        <v>-0.47274497877875898</v>
      </c>
      <c r="AW4213" s="13"/>
      <c r="AX4213" s="13"/>
      <c r="AY4213" s="13"/>
    </row>
    <row r="4214" spans="1:51" x14ac:dyDescent="0.25">
      <c r="A4214" t="s">
        <v>4525</v>
      </c>
      <c r="B4214" s="2" t="str">
        <f t="shared" si="3888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3968"/>
        <v>e</v>
      </c>
      <c r="N4214" t="str">
        <f t="shared" si="3969"/>
        <v>5/2</v>
      </c>
      <c r="O4214">
        <v>85306.1</v>
      </c>
      <c r="P4214" t="str">
        <f t="shared" si="3970"/>
        <v>o</v>
      </c>
      <c r="Q4214" t="str">
        <f t="shared" si="3971"/>
        <v>5/2</v>
      </c>
      <c r="R4214">
        <v>38</v>
      </c>
      <c r="AA4214" s="10">
        <f t="shared" si="3889"/>
        <v>2211.3319999999999</v>
      </c>
      <c r="AB4214" s="3">
        <f t="shared" si="3890"/>
        <v>45207.519999999997</v>
      </c>
      <c r="AC4214" s="3" cm="1">
        <f t="array" ref="AC4214">100000000/LvacE(AA4214)</f>
        <v>45207.522368715181</v>
      </c>
      <c r="AD4214" s="10">
        <f t="shared" si="3891"/>
        <v>1.5221785414563527E-2</v>
      </c>
      <c r="AE4214" s="10" t="b">
        <f t="shared" si="3892"/>
        <v>1</v>
      </c>
      <c r="AJ4214" t="s">
        <v>4737</v>
      </c>
      <c r="AK4214" t="s">
        <v>4929</v>
      </c>
      <c r="AL4214">
        <v>40098.660000000003</v>
      </c>
      <c r="AM4214">
        <v>85306.1</v>
      </c>
      <c r="AN4214" s="10" cm="1">
        <f t="array" ref="AN4214">Lair(100000000/($AM4214-$AL4214))</f>
        <v>2211.3360376786541</v>
      </c>
      <c r="AO4214" s="10">
        <f t="shared" si="3972"/>
        <v>2212.0252772552481</v>
      </c>
      <c r="AP4214" s="12">
        <v>183000000</v>
      </c>
      <c r="AQ4214" s="3">
        <v>0.43</v>
      </c>
      <c r="AR4214" s="3">
        <f t="shared" si="3973"/>
        <v>-8.7953618198179804</v>
      </c>
      <c r="AS4214" s="13">
        <f t="shared" si="3974"/>
        <v>12.129032875058716</v>
      </c>
      <c r="AT4214" s="3">
        <f t="shared" si="3975"/>
        <v>2.4956019897739496</v>
      </c>
      <c r="AU4214" s="13" cm="1">
        <f t="array" ref="AU4214">$C4214*EXP(poly_from_str(100000000/$E4214,AU$4343))</f>
        <v>12.528062161982385</v>
      </c>
      <c r="AV4214" s="13">
        <f t="shared" si="3976"/>
        <v>-3.2369111306247929E-2</v>
      </c>
      <c r="AW4214" s="13"/>
      <c r="AX4214" s="13"/>
      <c r="AY4214" s="13"/>
    </row>
    <row r="4215" spans="1:51" x14ac:dyDescent="0.25">
      <c r="A4215" t="s">
        <v>4526</v>
      </c>
      <c r="B4215" s="2" t="str">
        <f t="shared" si="3888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3889"/>
        <v>2209.9630000000002</v>
      </c>
      <c r="AB4215" s="3">
        <f t="shared" si="3890"/>
        <v>45235.519999999997</v>
      </c>
      <c r="AC4215" s="3" cm="1">
        <f t="array" ref="AC4215">100000000/LvacE(AA4215)</f>
        <v>45235.52412012501</v>
      </c>
      <c r="AD4215" s="10">
        <f t="shared" si="3891"/>
        <v>1.5234452821184113E-2</v>
      </c>
      <c r="AE4215" s="10" t="b">
        <f t="shared" si="3892"/>
        <v>1</v>
      </c>
      <c r="AP4215"/>
      <c r="AQ4215"/>
      <c r="AU4215" s="13" cm="1">
        <f t="array" ref="AU4215">$C4215*EXP(poly_from_str(100000000/$E4215,AU$4343))</f>
        <v>12.732494391939509</v>
      </c>
    </row>
    <row r="4216" spans="1:51" x14ac:dyDescent="0.25">
      <c r="A4216" t="s">
        <v>4527</v>
      </c>
      <c r="B4216" s="2" t="str">
        <f t="shared" si="3888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3977">$G4216&amp;""</f>
        <v>e</v>
      </c>
      <c r="N4216" t="str">
        <f t="shared" ref="N4216:N4217" si="3978">$H4216&amp;""</f>
        <v>11/2</v>
      </c>
      <c r="O4216">
        <v>75762.23</v>
      </c>
      <c r="P4216" t="str">
        <f t="shared" ref="P4216:P4217" si="3979">$J4216&amp;""</f>
        <v>o</v>
      </c>
      <c r="Q4216" t="str">
        <f t="shared" ref="Q4216:Q4217" si="3980">$K4216&amp;""</f>
        <v>9/2</v>
      </c>
      <c r="R4216">
        <v>38</v>
      </c>
      <c r="AA4216" s="10">
        <f t="shared" si="3889"/>
        <v>2208.9389999999999</v>
      </c>
      <c r="AB4216" s="3">
        <f t="shared" si="3890"/>
        <v>45256.49</v>
      </c>
      <c r="AC4216" s="3" cm="1">
        <f t="array" ref="AC4216">100000000/LvacE(AA4216)</f>
        <v>45256.491869939695</v>
      </c>
      <c r="AD4216" s="10">
        <f t="shared" si="3891"/>
        <v>1.5243943329793105E-2</v>
      </c>
      <c r="AE4216" s="10" t="b">
        <f t="shared" si="3892"/>
        <v>1</v>
      </c>
      <c r="AJ4216" t="s">
        <v>4706</v>
      </c>
      <c r="AK4216" t="s">
        <v>4932</v>
      </c>
      <c r="AL4216">
        <v>30505.72</v>
      </c>
      <c r="AM4216">
        <v>75762.23</v>
      </c>
      <c r="AN4216" s="10" cm="1">
        <f t="array" ref="AN4216">Lair(100000000/($AM4216-$AL4216))</f>
        <v>2208.9381232693081</v>
      </c>
      <c r="AO4216" s="10">
        <f t="shared" ref="AO4216:AO4217" si="3981">100000000/($AM4216-$AL4216)</f>
        <v>2209.6268581028457</v>
      </c>
      <c r="AP4216" s="12">
        <v>350000000</v>
      </c>
      <c r="AQ4216" s="3">
        <v>0.154</v>
      </c>
      <c r="AR4216" s="3">
        <f t="shared" ref="AR4216:AR4217" si="3982">LN(AU4216*100000000/($AM4216-$AL4216)/AP4216)</f>
        <v>-7.6247377589702898</v>
      </c>
      <c r="AS4216" s="13">
        <f t="shared" ref="AS4216:AS4217" si="3983">EXP(AR$4341*$AM4216+AR$4342)*$AP4216/(100000000/($AM4216-$AL4216))</f>
        <v>47.530440756325454</v>
      </c>
      <c r="AT4216" s="3">
        <f t="shared" ref="AT4216:AT4217" si="3984">LN(AS4216/$C4216)</f>
        <v>2.0696108945786298</v>
      </c>
      <c r="AU4216" s="13" cm="1">
        <f t="array" ref="AU4216">$C4216*EXP(poly_from_str(100000000/$E4216,AU$4343))</f>
        <v>77.333482796410891</v>
      </c>
      <c r="AV4216" s="13">
        <f t="shared" ref="AV4216:AV4217" si="3985">LN(AS4216/AU4216)</f>
        <v>-0.48675665190185746</v>
      </c>
      <c r="AW4216" s="13"/>
      <c r="AX4216" s="13"/>
      <c r="AY4216" s="13"/>
    </row>
    <row r="4217" spans="1:51" x14ac:dyDescent="0.25">
      <c r="A4217" t="s">
        <v>4528</v>
      </c>
      <c r="B4217" s="2" t="str">
        <f t="shared" si="3888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3977"/>
        <v>e</v>
      </c>
      <c r="N4217" t="str">
        <f t="shared" si="3978"/>
        <v>5/2</v>
      </c>
      <c r="O4217">
        <v>66681.14</v>
      </c>
      <c r="P4217" t="str">
        <f t="shared" si="3979"/>
        <v>o</v>
      </c>
      <c r="Q4217" t="str">
        <f t="shared" si="3980"/>
        <v>5/2</v>
      </c>
      <c r="R4217">
        <v>38</v>
      </c>
      <c r="AA4217" s="10">
        <f t="shared" si="3889"/>
        <v>2208.6550000000002</v>
      </c>
      <c r="AB4217" s="3">
        <f t="shared" si="3890"/>
        <v>45262.31</v>
      </c>
      <c r="AC4217" s="3" cm="1">
        <f t="array" ref="AC4217">100000000/LvacE(AA4217)</f>
        <v>45262.310587421278</v>
      </c>
      <c r="AD4217" s="10">
        <f t="shared" si="3891"/>
        <v>1.5246577801291118E-2</v>
      </c>
      <c r="AE4217" s="10" t="b">
        <f t="shared" si="3892"/>
        <v>1</v>
      </c>
      <c r="AJ4217" t="s">
        <v>4792</v>
      </c>
      <c r="AK4217" t="s">
        <v>4851</v>
      </c>
      <c r="AL4217">
        <v>21418.84</v>
      </c>
      <c r="AM4217">
        <v>66681.14</v>
      </c>
      <c r="AN4217" s="10" cm="1">
        <f t="array" ref="AN4217">Lair(100000000/($AM4217-$AL4217))</f>
        <v>2208.6555249697999</v>
      </c>
      <c r="AO4217" s="10">
        <f t="shared" si="3981"/>
        <v>2209.3442003610066</v>
      </c>
      <c r="AP4217" s="12">
        <v>38200000</v>
      </c>
      <c r="AQ4217" s="3">
        <v>6.0999999999999999E-2</v>
      </c>
      <c r="AR4217" s="3">
        <f t="shared" si="3982"/>
        <v>-6.0995130563549207</v>
      </c>
      <c r="AS4217" s="13">
        <f t="shared" si="3983"/>
        <v>10.256452655290477</v>
      </c>
      <c r="AT4217" s="3">
        <f t="shared" si="3984"/>
        <v>1.229294746192503</v>
      </c>
      <c r="AU4217" s="13" cm="1">
        <f t="array" ref="AU4217">$C4217*EXP(poly_from_str(100000000/$E4217,AU$4343))</f>
        <v>38.79851639534445</v>
      </c>
      <c r="AV4217" s="13">
        <f t="shared" si="3985"/>
        <v>-1.330474973804163</v>
      </c>
      <c r="AW4217" s="13"/>
      <c r="AX4217" s="13"/>
      <c r="AY4217" s="13"/>
    </row>
    <row r="4218" spans="1:51" x14ac:dyDescent="0.25">
      <c r="A4218" t="s">
        <v>4529</v>
      </c>
      <c r="B4218" s="2" t="str">
        <f t="shared" si="3888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3889"/>
        <v>2208.5889999999999</v>
      </c>
      <c r="AB4218" s="3">
        <f t="shared" si="3890"/>
        <v>45263.66</v>
      </c>
      <c r="AC4218" s="3" cm="1">
        <f t="array" ref="AC4218">100000000/LvacE(AA4218)</f>
        <v>45263.663038826111</v>
      </c>
      <c r="AD4218" s="10">
        <f t="shared" si="3891"/>
        <v>1.5247190183149992E-2</v>
      </c>
      <c r="AE4218" s="10" t="b">
        <f t="shared" si="3892"/>
        <v>1</v>
      </c>
      <c r="AP4218"/>
      <c r="AQ4218"/>
      <c r="AU4218" s="13" cm="1">
        <f t="array" ref="AU4218">$C4218*EXP(poly_from_str(100000000/$E4218,AU$4343))</f>
        <v>12.943059700188519</v>
      </c>
    </row>
    <row r="4219" spans="1:51" x14ac:dyDescent="0.25">
      <c r="A4219" t="s">
        <v>4530</v>
      </c>
      <c r="B4219" s="2" t="str">
        <f t="shared" si="3888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3889"/>
        <v>2208.4720000000002</v>
      </c>
      <c r="AB4219" s="3">
        <f t="shared" si="3890"/>
        <v>45266.06</v>
      </c>
      <c r="AC4219" s="3" cm="1">
        <f t="array" ref="AC4219">100000000/LvacE(AA4219)</f>
        <v>45266.060764937225</v>
      </c>
      <c r="AD4219" s="10">
        <f t="shared" si="3891"/>
        <v>1.5248275904095054E-2</v>
      </c>
      <c r="AE4219" s="10" t="b">
        <f t="shared" si="3892"/>
        <v>1</v>
      </c>
      <c r="AJ4219" t="s">
        <v>4745</v>
      </c>
      <c r="AK4219" t="s">
        <v>4927</v>
      </c>
      <c r="AL4219">
        <v>39725.99</v>
      </c>
      <c r="AM4219">
        <v>84992.04</v>
      </c>
      <c r="AN4219" s="10" cm="1">
        <f t="array" ref="AN4219">Lair(100000000/($AM4219-$AL4219))</f>
        <v>2208.4725335525768</v>
      </c>
      <c r="AO4219" s="10">
        <f>100000000/($AM4219-$AL4219)</f>
        <v>2209.1611704577717</v>
      </c>
      <c r="AP4219" s="12">
        <v>143000000</v>
      </c>
      <c r="AQ4219" s="3">
        <v>0.22500000000000001</v>
      </c>
      <c r="AR4219" s="3">
        <f>LN(AU4219*100000000/($AM4219-$AL4219)/AP4219)</f>
        <v>-8.5160221069106061</v>
      </c>
      <c r="AS4219" s="13">
        <f>EXP(AR$4341*$AM4219+AR$4342)*$AP4219/(100000000/($AM4219-$AL4219))</f>
        <v>9.7164981500265473</v>
      </c>
      <c r="AT4219" s="3">
        <f>LN(AS4219/$C4219)</f>
        <v>2.2738252809275581</v>
      </c>
      <c r="AU4219" s="13" cm="1">
        <f t="array" ref="AU4219">$C4219*EXP(poly_from_str(100000000/$E4219,AU$4343))</f>
        <v>12.961260146611293</v>
      </c>
      <c r="AV4219" s="13">
        <f>LN(AS4219/AU4219)</f>
        <v>-0.28813963880451882</v>
      </c>
      <c r="AW4219" s="13"/>
      <c r="AX4219" s="13"/>
      <c r="AY4219" s="13"/>
    </row>
    <row r="4220" spans="1:51" x14ac:dyDescent="0.25">
      <c r="A4220" t="s">
        <v>4531</v>
      </c>
      <c r="B4220" s="2" t="str">
        <f t="shared" si="3888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3889"/>
        <v>2208.3429999999998</v>
      </c>
      <c r="AB4220" s="3">
        <f t="shared" si="3890"/>
        <v>45268.7</v>
      </c>
      <c r="AC4220" s="3" cm="1">
        <f t="array" ref="AC4220">100000000/LvacE(AA4220)</f>
        <v>45268.704706099546</v>
      </c>
      <c r="AD4220" s="10">
        <f t="shared" si="3891"/>
        <v>1.5249473181045595E-2</v>
      </c>
      <c r="AE4220" s="10" t="b">
        <f t="shared" si="3892"/>
        <v>1</v>
      </c>
      <c r="AP4220"/>
      <c r="AQ4220"/>
      <c r="AU4220" s="13" cm="1">
        <f t="array" ref="AU4220">$C4220*EXP(poly_from_str(100000000/$E4220,AU$4343))</f>
        <v>25.962650033847744</v>
      </c>
    </row>
    <row r="4221" spans="1:51" x14ac:dyDescent="0.25">
      <c r="A4221" t="s">
        <v>4532</v>
      </c>
      <c r="B4221" s="2" t="str">
        <f t="shared" si="3888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3986">$G4221&amp;""</f>
        <v>e</v>
      </c>
      <c r="N4221" t="str">
        <f t="shared" ref="N4221:N4222" si="3987">$H4221&amp;""</f>
        <v>11/2</v>
      </c>
      <c r="O4221">
        <v>67049.179999999993</v>
      </c>
      <c r="P4221" t="str">
        <f t="shared" ref="P4221:P4222" si="3988">$J4221&amp;""</f>
        <v>o</v>
      </c>
      <c r="Q4221" t="str">
        <f t="shared" ref="Q4221:Q4222" si="3989">$K4221&amp;""</f>
        <v>9/2</v>
      </c>
      <c r="R4221">
        <v>38</v>
      </c>
      <c r="AA4221" s="10">
        <f t="shared" si="3889"/>
        <v>2207.1379999999999</v>
      </c>
      <c r="AB4221" s="3">
        <f t="shared" si="3890"/>
        <v>45293.42</v>
      </c>
      <c r="AC4221" s="3" cm="1">
        <f t="array" ref="AC4221">100000000/LvacE(AA4221)</f>
        <v>45293.416909670465</v>
      </c>
      <c r="AD4221" s="10">
        <f t="shared" si="3891"/>
        <v>1.5260667187477737E-2</v>
      </c>
      <c r="AE4221" s="10" t="b">
        <f t="shared" si="3892"/>
        <v>1</v>
      </c>
      <c r="AJ4221" t="s">
        <v>4965</v>
      </c>
      <c r="AK4221" t="s">
        <v>4862</v>
      </c>
      <c r="AL4221">
        <v>21755.84</v>
      </c>
      <c r="AM4221">
        <v>67049.179999999993</v>
      </c>
      <c r="AN4221" s="10" cm="1">
        <f t="array" ref="AN4221">Lair(100000000/($AM4221-$AL4221))</f>
        <v>2207.1417565195011</v>
      </c>
      <c r="AO4221" s="10">
        <f t="shared" ref="AO4221:AO4222" si="3990">100000000/($AM4221-$AL4221)</f>
        <v>2207.8301136546788</v>
      </c>
      <c r="AP4221" s="12">
        <v>47600000</v>
      </c>
      <c r="AQ4221" s="3">
        <v>0.124</v>
      </c>
      <c r="AR4221" s="3">
        <f t="shared" ref="AR4221:AR4222" si="3991">LN(AU4221*100000000/($AM4221-$AL4221)/AP4221)</f>
        <v>-5.7910857837386658</v>
      </c>
      <c r="AS4221" s="13">
        <f t="shared" ref="AS4221:AS4222" si="3992">EXP(AR$4341*$AM4221+AR$4342)*$AP4221/(100000000/($AM4221-$AL4221))</f>
        <v>12.440653478752072</v>
      </c>
      <c r="AT4221" s="3">
        <f t="shared" ref="AT4221:AT4222" si="3993">LN(AS4221/$C4221)</f>
        <v>0.91153170394356553</v>
      </c>
      <c r="AU4221" s="13" cm="1">
        <f t="array" ref="AU4221">$C4221*EXP(poly_from_str(100000000/$E4221,AU$4343))</f>
        <v>65.857418032857481</v>
      </c>
      <c r="AV4221" s="13">
        <f t="shared" ref="AV4221:AV4222" si="3994">LN(AS4221/AU4221)</f>
        <v>-1.6665224559280469</v>
      </c>
      <c r="AW4221" s="13"/>
      <c r="AX4221" s="13"/>
      <c r="AY4221" s="13"/>
    </row>
    <row r="4222" spans="1:51" x14ac:dyDescent="0.25">
      <c r="A4222" t="s">
        <v>4533</v>
      </c>
      <c r="B4222" s="2" t="str">
        <f t="shared" si="3888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3986"/>
        <v>e</v>
      </c>
      <c r="N4222" t="str">
        <f t="shared" si="3987"/>
        <v>15/2</v>
      </c>
      <c r="O4222">
        <v>64215.45</v>
      </c>
      <c r="P4222" t="str">
        <f t="shared" si="3988"/>
        <v>o</v>
      </c>
      <c r="Q4222" t="str">
        <f t="shared" si="3989"/>
        <v>13/2</v>
      </c>
      <c r="R4222">
        <v>38</v>
      </c>
      <c r="AA4222" s="10">
        <f t="shared" si="3889"/>
        <v>2207.0970000000002</v>
      </c>
      <c r="AB4222" s="3">
        <f t="shared" si="3890"/>
        <v>45294.26</v>
      </c>
      <c r="AC4222" s="3" cm="1">
        <f t="array" ref="AC4222">100000000/LvacE(AA4222)</f>
        <v>45294.258214410242</v>
      </c>
      <c r="AD4222" s="10">
        <f t="shared" si="3891"/>
        <v>1.5261048384916983E-2</v>
      </c>
      <c r="AE4222" s="10" t="b">
        <f t="shared" si="3892"/>
        <v>1</v>
      </c>
      <c r="AJ4222" t="s">
        <v>4741</v>
      </c>
      <c r="AK4222" t="s">
        <v>4823</v>
      </c>
      <c r="AL4222">
        <v>18921.240000000002</v>
      </c>
      <c r="AM4222">
        <v>64215.45</v>
      </c>
      <c r="AN4222" s="10" cm="1">
        <f t="array" ref="AN4222">Lair(100000000/($AM4222-$AL4222))</f>
        <v>2207.0993579740966</v>
      </c>
      <c r="AO4222" s="10">
        <f t="shared" si="3990"/>
        <v>2207.787706199093</v>
      </c>
      <c r="AP4222" s="12">
        <v>528000000</v>
      </c>
      <c r="AQ4222" s="3">
        <v>0.42299999999999999</v>
      </c>
      <c r="AR4222" s="3">
        <f t="shared" si="3991"/>
        <v>-7.6090858463637172</v>
      </c>
      <c r="AS4222" s="13">
        <f t="shared" si="3992"/>
        <v>170.70119010221376</v>
      </c>
      <c r="AT4222" s="3">
        <f t="shared" si="3993"/>
        <v>2.9426900243333329</v>
      </c>
      <c r="AU4222" s="13" cm="1">
        <f t="array" ref="AU4222">$C4222*EXP(poly_from_str(100000000/$E4222,AU$4343))</f>
        <v>118.60216488763811</v>
      </c>
      <c r="AV4222" s="13">
        <f t="shared" si="3994"/>
        <v>0.36413986158248901</v>
      </c>
      <c r="AW4222" s="13"/>
      <c r="AX4222" s="13"/>
      <c r="AY4222" s="13"/>
    </row>
    <row r="4223" spans="1:51" x14ac:dyDescent="0.25">
      <c r="A4223" t="s">
        <v>4534</v>
      </c>
      <c r="B4223" s="2" t="str">
        <f t="shared" si="3888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3889"/>
        <v>2206.86</v>
      </c>
      <c r="AB4223" s="3">
        <f t="shared" si="3890"/>
        <v>45299.12</v>
      </c>
      <c r="AC4223" s="3" cm="1">
        <f t="array" ref="AC4223">100000000/LvacE(AA4223)</f>
        <v>45299.121978675066</v>
      </c>
      <c r="AD4223" s="10">
        <f t="shared" si="3891"/>
        <v>1.5263252308409928E-2</v>
      </c>
      <c r="AE4223" s="10" t="b">
        <f t="shared" si="3892"/>
        <v>1</v>
      </c>
      <c r="AP4223"/>
      <c r="AQ4223"/>
      <c r="AU4223" s="13" cm="1">
        <f t="array" ref="AU4223">$C4223*EXP(poly_from_str(100000000/$E4223,AU$4343))</f>
        <v>13.215921480125433</v>
      </c>
    </row>
    <row r="4224" spans="1:51" x14ac:dyDescent="0.25">
      <c r="A4224" t="s">
        <v>4535</v>
      </c>
      <c r="B4224" s="2" t="str">
        <f t="shared" si="3888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3889"/>
        <v>2206.7379999999998</v>
      </c>
      <c r="AB4224" s="3">
        <f t="shared" si="3890"/>
        <v>45301.63</v>
      </c>
      <c r="AC4224" s="3" cm="1">
        <f t="array" ref="AC4224">100000000/LvacE(AA4224)</f>
        <v>45301.626095769818</v>
      </c>
      <c r="AD4224" s="10">
        <f t="shared" si="3891"/>
        <v>1.5264387094383162E-2</v>
      </c>
      <c r="AE4224" s="10" t="b">
        <f t="shared" si="3892"/>
        <v>1</v>
      </c>
      <c r="AP4224"/>
      <c r="AQ4224"/>
      <c r="AU4224" s="13" cm="1">
        <f t="array" ref="AU4224">$C4224*EXP(poly_from_str(100000000/$E4224,AU$4343))</f>
        <v>13.235560707116511</v>
      </c>
    </row>
    <row r="4225" spans="1:51" x14ac:dyDescent="0.25">
      <c r="A4225" t="s">
        <v>4536</v>
      </c>
      <c r="B4225" s="2" t="str">
        <f t="shared" ref="B4225:B4288" si="3995">IF(OR(A4225=A4224,A4225=A4226),IF(B4224="",1,B4224+1),"")</f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3996">$G4225&amp;""</f>
        <v>e</v>
      </c>
      <c r="N4225" t="str">
        <f t="shared" ref="N4225:N4227" si="3997">$H4225&amp;""</f>
        <v>11/2</v>
      </c>
      <c r="O4225">
        <v>60166.2</v>
      </c>
      <c r="P4225" t="str">
        <f t="shared" ref="P4225:P4227" si="3998">$J4225&amp;""</f>
        <v>o</v>
      </c>
      <c r="Q4225" t="str">
        <f t="shared" ref="Q4225:Q4227" si="3999">$K4225&amp;""</f>
        <v>9/2</v>
      </c>
      <c r="R4225">
        <v>38</v>
      </c>
      <c r="AA4225" s="10">
        <f t="shared" si="3889"/>
        <v>2206.5120000000002</v>
      </c>
      <c r="AB4225" s="3">
        <f t="shared" si="3890"/>
        <v>45306.27</v>
      </c>
      <c r="AC4225" s="3" cm="1">
        <f t="array" ref="AC4225">100000000/LvacE(AA4225)</f>
        <v>45306.265601498235</v>
      </c>
      <c r="AD4225" s="10">
        <f t="shared" si="3891"/>
        <v>1.5266489736175972E-2</v>
      </c>
      <c r="AE4225" s="10" t="b">
        <f t="shared" si="3892"/>
        <v>1</v>
      </c>
      <c r="AJ4225" t="s">
        <v>4709</v>
      </c>
      <c r="AK4225" t="s">
        <v>4726</v>
      </c>
      <c r="AL4225">
        <v>14859.96</v>
      </c>
      <c r="AM4225">
        <v>60166.2</v>
      </c>
      <c r="AN4225" s="10" cm="1">
        <f t="array" ref="AN4225">Lair(100000000/($AM4225-$AL4225))</f>
        <v>2206.5132553395547</v>
      </c>
      <c r="AO4225" s="10">
        <f t="shared" ref="AO4225:AO4227" si="4000">100000000/($AM4225-$AL4225)</f>
        <v>2207.2014804141772</v>
      </c>
      <c r="AP4225" s="12">
        <v>411000000</v>
      </c>
      <c r="AQ4225" s="3">
        <v>0.28399999999999997</v>
      </c>
      <c r="AR4225" s="3">
        <f t="shared" ref="AR4225:AR4227" si="4001">LN(AU4225*100000000/($AM4225-$AL4225)/AP4225)</f>
        <v>-7.4695264427911825</v>
      </c>
      <c r="AS4225" s="13">
        <f t="shared" ref="AS4225:AS4227" si="4002">EXP(AR$4341*$AM4225+AR$4342)*$AP4225/(100000000/($AM4225-$AL4225))</f>
        <v>180.10863318037354</v>
      </c>
      <c r="AT4225" s="3">
        <f t="shared" ref="AT4225:AT4227" si="4003">LN(AS4225/$C4225)</f>
        <v>3.1141186448355689</v>
      </c>
      <c r="AU4225" s="13" cm="1">
        <f t="array" ref="AU4225">$C4225*EXP(poly_from_str(100000000/$E4225,AU$4343))</f>
        <v>106.17584514008587</v>
      </c>
      <c r="AV4225" s="13">
        <f t="shared" ref="AV4225:AV4227" si="4004">LN(AS4225/AU4225)</f>
        <v>0.52846355046938009</v>
      </c>
      <c r="AW4225" s="13"/>
      <c r="AX4225" s="13"/>
      <c r="AY4225" s="13"/>
    </row>
    <row r="4226" spans="1:51" x14ac:dyDescent="0.25">
      <c r="A4226" t="s">
        <v>4537</v>
      </c>
      <c r="B4226" s="2" t="str">
        <f t="shared" si="3995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3996"/>
        <v>e</v>
      </c>
      <c r="N4226" t="str">
        <f t="shared" si="3997"/>
        <v>9/2</v>
      </c>
      <c r="O4226">
        <v>58158.080000000002</v>
      </c>
      <c r="P4226" t="str">
        <f t="shared" si="3998"/>
        <v>o</v>
      </c>
      <c r="Q4226" t="str">
        <f t="shared" si="3999"/>
        <v>7/2</v>
      </c>
      <c r="R4226">
        <v>38</v>
      </c>
      <c r="AA4226" s="10">
        <f t="shared" si="3889"/>
        <v>2206.259</v>
      </c>
      <c r="AB4226" s="3">
        <f t="shared" si="3890"/>
        <v>45311.46</v>
      </c>
      <c r="AC4226" s="3" cm="1">
        <f t="array" ref="AC4226">100000000/LvacE(AA4226)</f>
        <v>45311.46051182373</v>
      </c>
      <c r="AD4226" s="10">
        <f t="shared" si="3891"/>
        <v>1.5268844345070941E-2</v>
      </c>
      <c r="AE4226" s="10" t="b">
        <f t="shared" si="3892"/>
        <v>1</v>
      </c>
      <c r="AJ4226" t="s">
        <v>4758</v>
      </c>
      <c r="AK4226" t="s">
        <v>4902</v>
      </c>
      <c r="AL4226">
        <v>12846.66</v>
      </c>
      <c r="AM4226">
        <v>58158.080000000002</v>
      </c>
      <c r="AN4226" s="10" cm="1">
        <f t="array" ref="AN4226">Lair(100000000/($AM4226-$AL4226))</f>
        <v>2206.2609811362763</v>
      </c>
      <c r="AO4226" s="10">
        <f t="shared" si="4000"/>
        <v>2206.9491532156794</v>
      </c>
      <c r="AP4226" s="12">
        <v>509000000</v>
      </c>
      <c r="AQ4226" s="3">
        <v>0.376</v>
      </c>
      <c r="AR4226" s="3">
        <f t="shared" si="4001"/>
        <v>-7.4572740156931507</v>
      </c>
      <c r="AS4226" s="13">
        <f t="shared" si="4002"/>
        <v>259.36393103034698</v>
      </c>
      <c r="AT4226" s="3">
        <f t="shared" si="4003"/>
        <v>3.2556471215346399</v>
      </c>
      <c r="AU4226" s="13" cm="1">
        <f t="array" ref="AU4226">$C4226*EXP(poly_from_str(100000000/$E4226,AU$4343))</f>
        <v>133.12894791180599</v>
      </c>
      <c r="AV4226" s="13">
        <f t="shared" si="4004"/>
        <v>0.66691402282917878</v>
      </c>
      <c r="AW4226" s="13"/>
      <c r="AX4226" s="13"/>
      <c r="AY4226" s="13"/>
    </row>
    <row r="4227" spans="1:51" x14ac:dyDescent="0.25">
      <c r="A4227" t="s">
        <v>4538</v>
      </c>
      <c r="B4227" s="2" t="str">
        <f t="shared" si="3995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3996"/>
        <v>e</v>
      </c>
      <c r="N4227" t="str">
        <f t="shared" si="3997"/>
        <v>7/2</v>
      </c>
      <c r="O4227">
        <v>67395.320000000007</v>
      </c>
      <c r="P4227" t="str">
        <f t="shared" si="3998"/>
        <v>o</v>
      </c>
      <c r="Q4227" t="str">
        <f t="shared" si="3999"/>
        <v>5/2</v>
      </c>
      <c r="R4227">
        <v>38</v>
      </c>
      <c r="AA4227" s="10">
        <f t="shared" ref="AA4227:AA4290" si="4005">ROUND($A4227,3)+0</f>
        <v>2206.1149999999998</v>
      </c>
      <c r="AB4227" s="3">
        <f t="shared" ref="AB4227:AB4290" si="4006">ROUND($E4227,2)+0</f>
        <v>45314.42</v>
      </c>
      <c r="AC4227" s="3" cm="1">
        <f t="array" ref="AC4227">100000000/LvacE(AA4227)</f>
        <v>45314.417830694147</v>
      </c>
      <c r="AD4227" s="10">
        <f t="shared" ref="AD4227:AD4290" si="4007">0.0005/$AA4227*AC4227+0.005</f>
        <v>1.527018487945872E-2</v>
      </c>
      <c r="AE4227" s="10" t="b">
        <f t="shared" ref="AE4227:AE4290" si="4008">ABS(AB4227-AC4227)&lt;AD4227</f>
        <v>1</v>
      </c>
      <c r="AJ4227" t="s">
        <v>4790</v>
      </c>
      <c r="AK4227" t="s">
        <v>4894</v>
      </c>
      <c r="AL4227">
        <v>22080.94</v>
      </c>
      <c r="AM4227">
        <v>67395.320000000007</v>
      </c>
      <c r="AN4227" s="10" cm="1">
        <f t="array" ref="AN4227">Lair(100000000/($AM4227-$AL4227))</f>
        <v>2206.1168503408803</v>
      </c>
      <c r="AO4227" s="10">
        <f t="shared" si="4000"/>
        <v>2206.804992145981</v>
      </c>
      <c r="AP4227" s="12">
        <v>320000000</v>
      </c>
      <c r="AQ4227" s="3">
        <v>0.33</v>
      </c>
      <c r="AR4227" s="3">
        <f t="shared" si="4001"/>
        <v>-7.5022803950722361</v>
      </c>
      <c r="AS4227" s="13">
        <f t="shared" si="4002"/>
        <v>81.527923815212063</v>
      </c>
      <c r="AT4227" s="3">
        <f t="shared" si="4003"/>
        <v>2.6091861158362688</v>
      </c>
      <c r="AU4227" s="13" cm="1">
        <f t="array" ref="AU4227">$C4227*EXP(poly_from_str(100000000/$E4227,AU$4343))</f>
        <v>80.017880433976842</v>
      </c>
      <c r="AV4227" s="13">
        <f t="shared" si="4004"/>
        <v>1.8695469939347995E-2</v>
      </c>
      <c r="AW4227" s="13"/>
      <c r="AX4227" s="13"/>
      <c r="AY4227" s="13"/>
    </row>
    <row r="4228" spans="1:51" x14ac:dyDescent="0.25">
      <c r="A4228" t="s">
        <v>4539</v>
      </c>
      <c r="B4228" s="2" t="str">
        <f t="shared" si="3995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4005"/>
        <v>2206.0189999999998</v>
      </c>
      <c r="AB4228" s="3">
        <f t="shared" si="4006"/>
        <v>45316.39</v>
      </c>
      <c r="AC4228" s="3" cm="1">
        <f t="array" ref="AC4228">100000000/LvacE(AA4228)</f>
        <v>45316.38959104992</v>
      </c>
      <c r="AD4228" s="10">
        <f t="shared" si="4007"/>
        <v>1.5271078714881859E-2</v>
      </c>
      <c r="AE4228" s="10" t="b">
        <f t="shared" si="4008"/>
        <v>1</v>
      </c>
      <c r="AP4228"/>
      <c r="AQ4228"/>
      <c r="AU4228" s="13" cm="1">
        <f t="array" ref="AU4228">$C4228*EXP(poly_from_str(100000000/$E4228,AU$4343))</f>
        <v>13.351933435620676</v>
      </c>
    </row>
    <row r="4229" spans="1:51" x14ac:dyDescent="0.25">
      <c r="A4229" t="s">
        <v>4540</v>
      </c>
      <c r="B4229" s="2">
        <f t="shared" si="3995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4009">$G4229&amp;""</f>
        <v>e</v>
      </c>
      <c r="N4229" t="str">
        <f t="shared" ref="N4229:N4230" si="4010">$H4229&amp;""</f>
        <v>7/2</v>
      </c>
      <c r="O4229">
        <v>67398.789999999994</v>
      </c>
      <c r="P4229" t="str">
        <f t="shared" ref="P4229:P4230" si="4011">$J4229&amp;""</f>
        <v>o</v>
      </c>
      <c r="Q4229" t="str">
        <f t="shared" ref="Q4229:Q4230" si="4012">$K4229&amp;""</f>
        <v>9/2</v>
      </c>
      <c r="R4229">
        <v>38</v>
      </c>
      <c r="AA4229" s="10">
        <f t="shared" si="4005"/>
        <v>2205.9520000000002</v>
      </c>
      <c r="AB4229" s="3">
        <f t="shared" si="4006"/>
        <v>45317.77</v>
      </c>
      <c r="AC4229" s="3" cm="1">
        <f t="array" ref="AC4229">100000000/LvacE(AA4229)</f>
        <v>45317.765817124964</v>
      </c>
      <c r="AD4229" s="10">
        <f t="shared" si="4007"/>
        <v>1.5271702606658024E-2</v>
      </c>
      <c r="AE4229" s="10" t="b">
        <f t="shared" si="4008"/>
        <v>1</v>
      </c>
      <c r="AJ4229" t="s">
        <v>4790</v>
      </c>
      <c r="AK4229" t="s">
        <v>4863</v>
      </c>
      <c r="AL4229">
        <v>22080.94</v>
      </c>
      <c r="AM4229">
        <v>67398.789999999994</v>
      </c>
      <c r="AN4229" s="10" cm="1">
        <f t="array" ref="AN4229">Lair(100000000/($AM4229-$AL4229))</f>
        <v>2205.947910169743</v>
      </c>
      <c r="AO4229" s="10">
        <f t="shared" ref="AO4229:AO4230" si="4013">100000000/($AM4229-$AL4229)</f>
        <v>2206.6360164923981</v>
      </c>
      <c r="AP4229" s="12">
        <v>238000</v>
      </c>
      <c r="AQ4229" s="3">
        <v>2E-3</v>
      </c>
      <c r="AR4229" s="3"/>
      <c r="AS4229" s="13">
        <f t="shared" ref="AS4229:AS4230" si="4014">EXP(AR$4341*$AM4229+AR$4342)*$AP4229/(100000000/($AM4229-$AL4229))</f>
        <v>6.0625247024886877E-2</v>
      </c>
      <c r="AT4229" s="3"/>
      <c r="AU4229" s="13" cm="1">
        <f t="array" ref="AU4229">$C4229*EXP(poly_from_str(100000000/$E4229,AU$4343))</f>
        <v>26.725783201021894</v>
      </c>
      <c r="AV4229" s="13"/>
      <c r="AW4229" s="13"/>
      <c r="AX4229" s="13"/>
      <c r="AY4229" s="13"/>
    </row>
    <row r="4230" spans="1:51" x14ac:dyDescent="0.25">
      <c r="A4230" t="s">
        <v>4540</v>
      </c>
      <c r="B4230" s="2">
        <f t="shared" si="3995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4009"/>
        <v>e</v>
      </c>
      <c r="N4230" t="str">
        <f t="shared" si="4010"/>
        <v>9/2</v>
      </c>
      <c r="O4230">
        <v>66852.87</v>
      </c>
      <c r="P4230" t="str">
        <f t="shared" si="4011"/>
        <v>o</v>
      </c>
      <c r="Q4230" t="str">
        <f t="shared" si="4012"/>
        <v>7/2</v>
      </c>
      <c r="R4230">
        <v>38</v>
      </c>
      <c r="AA4230" s="10">
        <f t="shared" si="4005"/>
        <v>2205.9520000000002</v>
      </c>
      <c r="AB4230" s="3">
        <f t="shared" si="4006"/>
        <v>45317.77</v>
      </c>
      <c r="AC4230" s="3" cm="1">
        <f t="array" ref="AC4230">100000000/LvacE(AA4230)</f>
        <v>45317.765817124964</v>
      </c>
      <c r="AD4230" s="10">
        <f t="shared" si="4007"/>
        <v>1.5271702606658024E-2</v>
      </c>
      <c r="AE4230" s="10" t="b">
        <f t="shared" si="4008"/>
        <v>1</v>
      </c>
      <c r="AJ4230" t="s">
        <v>4798</v>
      </c>
      <c r="AK4230" t="s">
        <v>4830</v>
      </c>
      <c r="AL4230">
        <v>21535.17</v>
      </c>
      <c r="AM4230">
        <v>66852.87</v>
      </c>
      <c r="AN4230" s="10" cm="1">
        <f t="array" ref="AN4230">Lair(100000000/($AM4230-$AL4230))</f>
        <v>2205.955212524038</v>
      </c>
      <c r="AO4230" s="10">
        <f t="shared" si="4013"/>
        <v>2206.6433203803372</v>
      </c>
      <c r="AP4230" s="12">
        <v>30200000</v>
      </c>
      <c r="AQ4230" s="3">
        <v>5.2999999999999999E-2</v>
      </c>
      <c r="AR4230" s="3">
        <f>LN(AU4230*100000000/($AM4230-$AL4230)/AP4230)</f>
        <v>-6.2384959396128918</v>
      </c>
      <c r="AS4230" s="13">
        <f t="shared" si="4014"/>
        <v>8.0144718748323047</v>
      </c>
      <c r="AT4230" s="3">
        <f t="shared" ref="AT4230" si="4015">LN(AS4230/$C4230)</f>
        <v>1.3881017112323137</v>
      </c>
      <c r="AU4230" s="13" cm="1">
        <f t="array" ref="AU4230">$C4230*EXP(poly_from_str(100000000/$E4230,AU$4343))</f>
        <v>26.725783201021894</v>
      </c>
      <c r="AV4230" s="13">
        <f>LN(AS4230/AU4230)</f>
        <v>-1.2043798706210351</v>
      </c>
      <c r="AW4230" s="13"/>
      <c r="AX4230" s="13"/>
      <c r="AY4230" s="13"/>
    </row>
    <row r="4231" spans="1:51" x14ac:dyDescent="0.25">
      <c r="A4231" t="s">
        <v>4541</v>
      </c>
      <c r="B4231" s="2" t="str">
        <f t="shared" si="3995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4005"/>
        <v>2205.7130000000002</v>
      </c>
      <c r="AB4231" s="3">
        <f t="shared" si="4006"/>
        <v>45322.67</v>
      </c>
      <c r="AC4231" s="3" cm="1">
        <f t="array" ref="AC4231">100000000/LvacE(AA4231)</f>
        <v>45322.67572238727</v>
      </c>
      <c r="AD4231" s="10">
        <f t="shared" si="4007"/>
        <v>1.5273928594152383E-2</v>
      </c>
      <c r="AE4231" s="10" t="b">
        <f t="shared" si="4008"/>
        <v>1</v>
      </c>
      <c r="AP4231"/>
      <c r="AQ4231"/>
      <c r="AU4231" s="13" cm="1">
        <f t="array" ref="AU4231">$C4231*EXP(poly_from_str(100000000/$E4231,AU$4343))</f>
        <v>26.80381851562553</v>
      </c>
    </row>
    <row r="4232" spans="1:51" x14ac:dyDescent="0.25">
      <c r="A4232" t="s">
        <v>4542</v>
      </c>
      <c r="B4232" s="2" t="str">
        <f t="shared" si="3995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4016">$G4232&amp;""</f>
        <v>e</v>
      </c>
      <c r="N4232" t="str">
        <f t="shared" ref="N4232:N4233" si="4017">$H4232&amp;""</f>
        <v>9/2</v>
      </c>
      <c r="O4232">
        <v>58174.15</v>
      </c>
      <c r="P4232" t="str">
        <f t="shared" ref="P4232:P4233" si="4018">$J4232&amp;""</f>
        <v>o</v>
      </c>
      <c r="Q4232" t="str">
        <f t="shared" ref="Q4232:Q4233" si="4019">$K4232&amp;""</f>
        <v>9/2</v>
      </c>
      <c r="R4232">
        <v>38</v>
      </c>
      <c r="AA4232" s="10">
        <f t="shared" si="4005"/>
        <v>2205.4780000000001</v>
      </c>
      <c r="AB4232" s="3">
        <f t="shared" si="4006"/>
        <v>45327.5</v>
      </c>
      <c r="AC4232" s="3" cm="1">
        <f t="array" ref="AC4232">100000000/LvacE(AA4232)</f>
        <v>45327.504490839936</v>
      </c>
      <c r="AD4232" s="10">
        <f t="shared" si="4007"/>
        <v>1.5276118032199807E-2</v>
      </c>
      <c r="AE4232" s="10" t="b">
        <f t="shared" si="4008"/>
        <v>1</v>
      </c>
      <c r="AJ4232" t="s">
        <v>4758</v>
      </c>
      <c r="AK4232" t="s">
        <v>4698</v>
      </c>
      <c r="AL4232">
        <v>12846.66</v>
      </c>
      <c r="AM4232">
        <v>58174.15</v>
      </c>
      <c r="AN4232" s="10" cm="1">
        <f t="array" ref="AN4232">Lair(100000000/($AM4232-$AL4232))</f>
        <v>2205.4787135483684</v>
      </c>
      <c r="AO4232" s="10">
        <f t="shared" ref="AO4232:AO4233" si="4020">100000000/($AM4232-$AL4232)</f>
        <v>2206.1667213428318</v>
      </c>
      <c r="AP4232" s="12">
        <v>1180000000</v>
      </c>
      <c r="AQ4232" s="3">
        <v>0.75800000000000001</v>
      </c>
      <c r="AR4232" s="3">
        <f t="shared" ref="AR4232:AR4233" si="4021">LN(AU4232*100000000/($AM4232-$AL4232)/AP4232)</f>
        <v>-8.2889082361046817</v>
      </c>
      <c r="AS4232" s="13">
        <f t="shared" ref="AS4232:AS4233" si="4022">EXP(AR$4341*$AM4232+AR$4342)*$AP4232/(100000000/($AM4232-$AL4232))</f>
        <v>600.76419783853362</v>
      </c>
      <c r="AT4232" s="3">
        <f t="shared" ref="AT4232:AT4233" si="4023">LN(AS4232/$C4232)</f>
        <v>4.0956174148655853</v>
      </c>
      <c r="AU4232" s="13" cm="1">
        <f t="array" ref="AU4232">$C4232*EXP(poly_from_str(100000000/$E4232,AU$4343))</f>
        <v>134.40535432863803</v>
      </c>
      <c r="AV4232" s="13">
        <f t="shared" ref="AV4232:AV4233" si="4024">LN(AS4232/AU4232)</f>
        <v>1.4973422418093765</v>
      </c>
      <c r="AW4232" s="13"/>
      <c r="AX4232" s="13"/>
      <c r="AY4232" s="13"/>
    </row>
    <row r="4233" spans="1:51" x14ac:dyDescent="0.25">
      <c r="A4233" t="s">
        <v>4543</v>
      </c>
      <c r="B4233" s="2" t="str">
        <f t="shared" si="3995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4016"/>
        <v>e</v>
      </c>
      <c r="N4233" t="str">
        <f t="shared" si="4017"/>
        <v>5/2</v>
      </c>
      <c r="O4233">
        <v>66943.039999999994</v>
      </c>
      <c r="P4233" t="str">
        <f t="shared" si="4018"/>
        <v>o</v>
      </c>
      <c r="Q4233" t="str">
        <f t="shared" si="4019"/>
        <v>5/2</v>
      </c>
      <c r="R4233">
        <v>38</v>
      </c>
      <c r="AA4233" s="10">
        <f t="shared" si="4005"/>
        <v>2205.2649999999999</v>
      </c>
      <c r="AB4233" s="3">
        <f t="shared" si="4006"/>
        <v>45331.88</v>
      </c>
      <c r="AC4233" s="3" cm="1">
        <f t="array" ref="AC4233">100000000/LvacE(AA4233)</f>
        <v>45331.882093301421</v>
      </c>
      <c r="AD4233" s="10">
        <f t="shared" si="4007"/>
        <v>1.5278103106270997E-2</v>
      </c>
      <c r="AE4233" s="10" t="b">
        <f t="shared" si="4008"/>
        <v>1</v>
      </c>
      <c r="AJ4233" t="s">
        <v>4796</v>
      </c>
      <c r="AK4233" t="s">
        <v>4847</v>
      </c>
      <c r="AL4233">
        <v>21611.19</v>
      </c>
      <c r="AM4233">
        <v>66943.039999999994</v>
      </c>
      <c r="AN4233" s="10" cm="1">
        <f t="array" ref="AN4233">Lair(100000000/($AM4233-$AL4233))</f>
        <v>2205.2665698172186</v>
      </c>
      <c r="AO4233" s="10">
        <f t="shared" si="4020"/>
        <v>2205.9545330711194</v>
      </c>
      <c r="AP4233" s="12">
        <v>52700000</v>
      </c>
      <c r="AQ4233" s="3">
        <v>0.111</v>
      </c>
      <c r="AR4233" s="3">
        <f t="shared" si="4021"/>
        <v>-6.7871747360700363</v>
      </c>
      <c r="AS4233" s="13">
        <f t="shared" si="4022"/>
        <v>13.895536145008718</v>
      </c>
      <c r="AT4233" s="3">
        <f t="shared" si="4023"/>
        <v>1.9384204673531458</v>
      </c>
      <c r="AU4233" s="13" cm="1">
        <f t="array" ref="AU4233">$C4233*EXP(poly_from_str(100000000/$E4233,AU$4343))</f>
        <v>26.951411976072897</v>
      </c>
      <c r="AV4233" s="13">
        <f t="shared" si="4024"/>
        <v>-0.6624680405026111</v>
      </c>
      <c r="AW4233" s="13"/>
      <c r="AX4233" s="13"/>
      <c r="AY4233" s="13"/>
    </row>
    <row r="4234" spans="1:51" x14ac:dyDescent="0.25">
      <c r="A4234" t="s">
        <v>4544</v>
      </c>
      <c r="B4234" s="2" t="str">
        <f t="shared" si="3995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4005"/>
        <v>2205.116</v>
      </c>
      <c r="AB4234" s="3">
        <f t="shared" si="4006"/>
        <v>45334.94</v>
      </c>
      <c r="AC4234" s="3" cm="1">
        <f t="array" ref="AC4234">100000000/LvacE(AA4234)</f>
        <v>45334.944862410543</v>
      </c>
      <c r="AD4234" s="10">
        <f t="shared" si="4007"/>
        <v>1.5279492068084072E-2</v>
      </c>
      <c r="AE4234" s="10" t="b">
        <f t="shared" si="4008"/>
        <v>1</v>
      </c>
      <c r="AP4234"/>
      <c r="AQ4234"/>
      <c r="AU4234" s="13" cm="1">
        <f t="array" ref="AU4234">$C4234*EXP(poly_from_str(100000000/$E4234,AU$4343))</f>
        <v>13.500358288310043</v>
      </c>
    </row>
    <row r="4235" spans="1:51" x14ac:dyDescent="0.25">
      <c r="A4235" t="s">
        <v>4545</v>
      </c>
      <c r="B4235" s="2" t="str">
        <f t="shared" si="3995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4025">$G4235&amp;""</f>
        <v>e</v>
      </c>
      <c r="N4235" t="str">
        <f t="shared" ref="N4235:N4237" si="4026">$H4235&amp;""</f>
        <v>13/2</v>
      </c>
      <c r="O4235">
        <v>68525.62</v>
      </c>
      <c r="P4235" t="str">
        <f t="shared" ref="P4235:P4237" si="4027">$J4235&amp;""</f>
        <v>o</v>
      </c>
      <c r="Q4235" t="str">
        <f t="shared" ref="Q4235:Q4237" si="4028">$K4235&amp;""</f>
        <v>11/2</v>
      </c>
      <c r="R4235">
        <v>38</v>
      </c>
      <c r="AA4235" s="10">
        <f t="shared" si="4005"/>
        <v>2204.357</v>
      </c>
      <c r="AB4235" s="3">
        <f t="shared" si="4006"/>
        <v>45350.55</v>
      </c>
      <c r="AC4235" s="3" cm="1">
        <f t="array" ref="AC4235">100000000/LvacE(AA4235)</f>
        <v>45350.552909942184</v>
      </c>
      <c r="AD4235" s="10">
        <f t="shared" si="4007"/>
        <v>1.5286571755378595E-2</v>
      </c>
      <c r="AE4235" s="10" t="b">
        <f t="shared" si="4008"/>
        <v>1</v>
      </c>
      <c r="AJ4235" t="s">
        <v>4969</v>
      </c>
      <c r="AK4235" t="s">
        <v>4869</v>
      </c>
      <c r="AL4235">
        <v>23175.09</v>
      </c>
      <c r="AM4235">
        <v>68525.62</v>
      </c>
      <c r="AN4235" s="10" cm="1">
        <f t="array" ref="AN4235">Lair(100000000/($AM4235-$AL4235))</f>
        <v>2204.3581221436461</v>
      </c>
      <c r="AO4235" s="10">
        <f t="shared" ref="AO4235:AO4237" si="4029">100000000/($AM4235-$AL4235)</f>
        <v>2205.0458947227298</v>
      </c>
      <c r="AP4235" s="12">
        <v>542000000</v>
      </c>
      <c r="AQ4235" s="3">
        <v>0.14399999999999999</v>
      </c>
      <c r="AR4235" s="3">
        <f t="shared" ref="AR4235:AR4237" si="4030">LN(AU4235*100000000/($AM4235-$AL4235)/AP4235)</f>
        <v>-7.720766305993517</v>
      </c>
      <c r="AS4235" s="13">
        <f t="shared" ref="AS4235:AS4237" si="4031">EXP(AR$4341*$AM4235+AR$4342)*$AP4235/(100000000/($AM4235-$AL4235))</f>
        <v>126.95880705880718</v>
      </c>
      <c r="AT4235" s="3">
        <f t="shared" ref="AT4235:AT4237" si="4032">LN(AS4235/$C4235)</f>
        <v>2.7644211382970023</v>
      </c>
      <c r="AU4235" s="13" cm="1">
        <f t="array" ref="AU4235">$C4235*EXP(poly_from_str(100000000/$E4235,AU$4343))</f>
        <v>109.01730725852104</v>
      </c>
      <c r="AV4235" s="13">
        <f t="shared" ref="AV4235:AV4237" si="4033">LN(AS4235/AU4235)</f>
        <v>0.15235602816398541</v>
      </c>
      <c r="AW4235" s="13"/>
      <c r="AX4235" s="13"/>
      <c r="AY4235" s="13"/>
    </row>
    <row r="4236" spans="1:51" x14ac:dyDescent="0.25">
      <c r="A4236" t="s">
        <v>4546</v>
      </c>
      <c r="B4236" s="2" t="str">
        <f t="shared" si="3995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4025"/>
        <v>e</v>
      </c>
      <c r="N4236" t="str">
        <f t="shared" si="4026"/>
        <v>11/2</v>
      </c>
      <c r="O4236">
        <v>63593.35</v>
      </c>
      <c r="P4236" t="str">
        <f t="shared" si="4027"/>
        <v>o</v>
      </c>
      <c r="Q4236" t="str">
        <f t="shared" si="4028"/>
        <v>9/2</v>
      </c>
      <c r="R4236">
        <v>38</v>
      </c>
      <c r="AA4236" s="10">
        <f t="shared" si="4005"/>
        <v>2204.297</v>
      </c>
      <c r="AB4236" s="3">
        <f t="shared" si="4006"/>
        <v>45351.79</v>
      </c>
      <c r="AC4236" s="3" cm="1">
        <f t="array" ref="AC4236">100000000/LvacE(AA4236)</f>
        <v>45351.787206015906</v>
      </c>
      <c r="AD4236" s="10">
        <f t="shared" si="4007"/>
        <v>1.5287131726354458E-2</v>
      </c>
      <c r="AE4236" s="10" t="b">
        <f t="shared" si="4008"/>
        <v>1</v>
      </c>
      <c r="AJ4236" t="s">
        <v>4724</v>
      </c>
      <c r="AK4236" t="s">
        <v>4840</v>
      </c>
      <c r="AL4236">
        <v>18241.54</v>
      </c>
      <c r="AM4236">
        <v>63593.35</v>
      </c>
      <c r="AN4236" s="10" cm="1">
        <f t="array" ref="AN4236">Lair(100000000/($AM4236-$AL4236))</f>
        <v>2204.2959004458212</v>
      </c>
      <c r="AO4236" s="10">
        <f t="shared" si="4029"/>
        <v>2204.9836599685877</v>
      </c>
      <c r="AP4236" s="12">
        <v>318000000</v>
      </c>
      <c r="AQ4236" s="3">
        <v>0.22600000000000001</v>
      </c>
      <c r="AR4236" s="3">
        <f t="shared" si="4030"/>
        <v>-7.1868354679253983</v>
      </c>
      <c r="AS4236" s="13">
        <f t="shared" si="4031"/>
        <v>107.85925339236798</v>
      </c>
      <c r="AT4236" s="3">
        <f t="shared" si="4032"/>
        <v>2.6013856261986863</v>
      </c>
      <c r="AU4236" s="13" cm="1">
        <f t="array" ref="AU4236">$C4236*EXP(poly_from_str(100000000/$E4236,AU$4343))</f>
        <v>109.0984947109487</v>
      </c>
      <c r="AV4236" s="13">
        <f t="shared" si="4033"/>
        <v>-1.1423927532126182E-2</v>
      </c>
      <c r="AW4236" s="13"/>
      <c r="AX4236" s="13"/>
      <c r="AY4236" s="13"/>
    </row>
    <row r="4237" spans="1:51" x14ac:dyDescent="0.25">
      <c r="A4237" t="s">
        <v>4547</v>
      </c>
      <c r="B4237" s="2" t="str">
        <f t="shared" si="3995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4025"/>
        <v>e</v>
      </c>
      <c r="N4237" t="str">
        <f t="shared" si="4026"/>
        <v>5/2</v>
      </c>
      <c r="O4237">
        <v>63576.27</v>
      </c>
      <c r="P4237" t="str">
        <f t="shared" si="4027"/>
        <v>o</v>
      </c>
      <c r="Q4237" t="str">
        <f t="shared" si="4028"/>
        <v>5/2</v>
      </c>
      <c r="R4237">
        <v>38</v>
      </c>
      <c r="AA4237" s="10">
        <f t="shared" si="4005"/>
        <v>2203.6779999999999</v>
      </c>
      <c r="AB4237" s="3">
        <f t="shared" si="4006"/>
        <v>45364.52</v>
      </c>
      <c r="AC4237" s="3" cm="1">
        <f t="array" ref="AC4237">100000000/LvacE(AA4237)</f>
        <v>45364.52494984115</v>
      </c>
      <c r="AD4237" s="10">
        <f t="shared" si="4007"/>
        <v>1.5292911430309045E-2</v>
      </c>
      <c r="AE4237" s="10" t="b">
        <f t="shared" si="4008"/>
        <v>1</v>
      </c>
      <c r="AJ4237" t="s">
        <v>4970</v>
      </c>
      <c r="AK4237" t="s">
        <v>4843</v>
      </c>
      <c r="AL4237">
        <v>18211.759999999998</v>
      </c>
      <c r="AM4237">
        <v>63576.27</v>
      </c>
      <c r="AN4237" s="10" cm="1">
        <f t="array" ref="AN4237">Lair(100000000/($AM4237-$AL4237))</f>
        <v>2203.6787347645877</v>
      </c>
      <c r="AO4237" s="10">
        <f t="shared" si="4029"/>
        <v>2204.3663648080847</v>
      </c>
      <c r="AP4237" s="12">
        <v>103000000</v>
      </c>
      <c r="AQ4237" s="3">
        <v>0.186</v>
      </c>
      <c r="AR4237" s="3">
        <f t="shared" si="4030"/>
        <v>-6.522138783999023</v>
      </c>
      <c r="AS4237" s="13">
        <f t="shared" si="4031"/>
        <v>34.990149034278133</v>
      </c>
      <c r="AT4237" s="3">
        <f t="shared" si="4032"/>
        <v>1.9456286532756117</v>
      </c>
      <c r="AU4237" s="13" cm="1">
        <f t="array" ref="AU4237">$C4237*EXP(poly_from_str(100000000/$E4237,AU$4343))</f>
        <v>68.710730354518873</v>
      </c>
      <c r="AV4237" s="13">
        <f t="shared" si="4033"/>
        <v>-0.67483881279968549</v>
      </c>
      <c r="AW4237" s="13"/>
      <c r="AX4237" s="13"/>
      <c r="AY4237" s="13"/>
    </row>
    <row r="4238" spans="1:51" x14ac:dyDescent="0.25">
      <c r="A4238" t="s">
        <v>4548</v>
      </c>
      <c r="B4238" s="2" t="str">
        <f t="shared" si="3995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4005"/>
        <v>2203.5070000000001</v>
      </c>
      <c r="AB4238" s="3">
        <f t="shared" si="4006"/>
        <v>45368.04</v>
      </c>
      <c r="AC4238" s="3" cm="1">
        <f t="array" ref="AC4238">100000000/LvacE(AA4238)</f>
        <v>45368.045038574914</v>
      </c>
      <c r="AD4238" s="10">
        <f t="shared" si="4007"/>
        <v>1.5294508943827931E-2</v>
      </c>
      <c r="AE4238" s="10" t="b">
        <f t="shared" si="4008"/>
        <v>1</v>
      </c>
      <c r="AP4238"/>
      <c r="AQ4238"/>
      <c r="AU4238" s="13" cm="1">
        <f t="array" ref="AU4238">$C4238*EXP(poly_from_str(100000000/$E4238,AU$4343))</f>
        <v>13.771344035324912</v>
      </c>
    </row>
    <row r="4239" spans="1:51" x14ac:dyDescent="0.25">
      <c r="A4239" t="s">
        <v>4549</v>
      </c>
      <c r="B4239" s="2">
        <f t="shared" si="3995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4034">$G4239&amp;""</f>
        <v>e</v>
      </c>
      <c r="N4239" t="str">
        <f t="shared" ref="N4239:N4243" si="4035">$H4239&amp;""</f>
        <v>9/2</v>
      </c>
      <c r="O4239">
        <v>84410.63</v>
      </c>
      <c r="P4239" t="str">
        <f t="shared" ref="P4239:P4243" si="4036">$J4239&amp;""</f>
        <v>o</v>
      </c>
      <c r="Q4239" t="str">
        <f t="shared" ref="Q4239:Q4243" si="4037">$K4239&amp;""</f>
        <v>9/2</v>
      </c>
      <c r="R4239">
        <v>38</v>
      </c>
      <c r="AA4239" s="10">
        <f t="shared" si="4005"/>
        <v>2202.62</v>
      </c>
      <c r="AB4239" s="3">
        <f t="shared" si="4006"/>
        <v>45386.31</v>
      </c>
      <c r="AC4239" s="3" cm="1">
        <f t="array" ref="AC4239">100000000/LvacE(AA4239)</f>
        <v>45386.312980849805</v>
      </c>
      <c r="AD4239" s="10">
        <f t="shared" si="4007"/>
        <v>1.5302801432123973E-2</v>
      </c>
      <c r="AE4239" s="10" t="b">
        <f t="shared" si="4008"/>
        <v>1</v>
      </c>
      <c r="AJ4239" t="s">
        <v>4702</v>
      </c>
      <c r="AK4239" t="s">
        <v>4933</v>
      </c>
      <c r="AL4239">
        <v>39024.269999999997</v>
      </c>
      <c r="AM4239">
        <v>84410.63</v>
      </c>
      <c r="AN4239" s="10" cm="1">
        <f t="array" ref="AN4239">Lair(100000000/($AM4239-$AL4239))</f>
        <v>2202.6177264158691</v>
      </c>
      <c r="AO4239" s="10">
        <f t="shared" ref="AO4239:AO4243" si="4038">100000000/($AM4239-$AL4239)</f>
        <v>2203.3051339653584</v>
      </c>
      <c r="AP4239" s="12">
        <v>87700000</v>
      </c>
      <c r="AQ4239" s="3">
        <v>0.54600000000000004</v>
      </c>
      <c r="AR4239" s="3">
        <f t="shared" ref="AR4239:AR4243" si="4039">LN(AU4239*100000000/($AM4239-$AL4239)/AP4239)</f>
        <v>-6.8594657568782322</v>
      </c>
      <c r="AS4239" s="13">
        <f t="shared" ref="AS4239:AS4243" si="4040">EXP(AR$4341*$AM4239+AR$4342)*$AP4239/(100000000/($AM4239-$AL4239))</f>
        <v>6.2413081678833464</v>
      </c>
      <c r="AT4239" s="3">
        <f t="shared" ref="AT4239:AT4243" si="4041">LN(AS4239/$C4239)</f>
        <v>0.73257751403035054</v>
      </c>
      <c r="AU4239" s="13" cm="1">
        <f t="array" ref="AU4239">$C4239*EXP(poly_from_str(100000000/$E4239,AU$4343))</f>
        <v>41.773110993496971</v>
      </c>
      <c r="AV4239" s="13">
        <f t="shared" ref="AV4239:AV4243" si="4042">LN(AS4239/AU4239)</f>
        <v>-1.9010630521728615</v>
      </c>
      <c r="AW4239" s="13"/>
      <c r="AX4239" s="13"/>
      <c r="AY4239" s="13"/>
    </row>
    <row r="4240" spans="1:51" x14ac:dyDescent="0.25">
      <c r="A4240" t="s">
        <v>4549</v>
      </c>
      <c r="B4240" s="2">
        <f t="shared" si="3995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4034"/>
        <v>e</v>
      </c>
      <c r="N4240" t="str">
        <f t="shared" si="4035"/>
        <v>7/2</v>
      </c>
      <c r="O4240">
        <v>66681.14</v>
      </c>
      <c r="P4240" t="str">
        <f t="shared" si="4036"/>
        <v>o</v>
      </c>
      <c r="Q4240" t="str">
        <f t="shared" si="4037"/>
        <v>5/2</v>
      </c>
      <c r="R4240">
        <v>38</v>
      </c>
      <c r="AA4240" s="10">
        <f t="shared" si="4005"/>
        <v>2202.62</v>
      </c>
      <c r="AB4240" s="3">
        <f t="shared" si="4006"/>
        <v>45386.31</v>
      </c>
      <c r="AC4240" s="3" cm="1">
        <f t="array" ref="AC4240">100000000/LvacE(AA4240)</f>
        <v>45386.312980849805</v>
      </c>
      <c r="AD4240" s="10">
        <f t="shared" si="4007"/>
        <v>1.5302801432123973E-2</v>
      </c>
      <c r="AE4240" s="10" t="b">
        <f t="shared" si="4008"/>
        <v>1</v>
      </c>
      <c r="AJ4240" t="s">
        <v>4791</v>
      </c>
      <c r="AK4240" t="s">
        <v>4851</v>
      </c>
      <c r="AL4240">
        <v>21294.89</v>
      </c>
      <c r="AM4240">
        <v>66681.14</v>
      </c>
      <c r="AN4240" s="10" cm="1">
        <f t="array" ref="AN4240">Lair(100000000/($AM4240-$AL4240))</f>
        <v>2202.6230653184289</v>
      </c>
      <c r="AO4240" s="10">
        <f t="shared" si="4038"/>
        <v>2203.3104739871656</v>
      </c>
      <c r="AP4240" s="12">
        <v>74500000</v>
      </c>
      <c r="AQ4240" s="3">
        <v>0.127</v>
      </c>
      <c r="AR4240" s="3">
        <f t="shared" si="4039"/>
        <v>-6.696340559247024</v>
      </c>
      <c r="AS4240" s="13">
        <f t="shared" si="4040"/>
        <v>20.057544834852401</v>
      </c>
      <c r="AT4240" s="3">
        <f t="shared" si="4041"/>
        <v>1.8999930952911523</v>
      </c>
      <c r="AU4240" s="13" cm="1">
        <f t="array" ref="AU4240">$C4240*EXP(poly_from_str(100000000/$E4240,AU$4343))</f>
        <v>41.773110993496971</v>
      </c>
      <c r="AV4240" s="13">
        <f t="shared" si="4042"/>
        <v>-0.73364747091205973</v>
      </c>
      <c r="AW4240" s="13"/>
      <c r="AX4240" s="13"/>
      <c r="AY4240" s="13"/>
    </row>
    <row r="4241" spans="1:51" x14ac:dyDescent="0.25">
      <c r="A4241" t="s">
        <v>4550</v>
      </c>
      <c r="B4241" s="2" t="str">
        <f t="shared" si="3995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4034"/>
        <v>e</v>
      </c>
      <c r="N4241" t="str">
        <f t="shared" si="4035"/>
        <v>9/2</v>
      </c>
      <c r="O4241">
        <v>84430.98</v>
      </c>
      <c r="P4241" t="str">
        <f t="shared" si="4036"/>
        <v>o</v>
      </c>
      <c r="Q4241" t="str">
        <f t="shared" si="4037"/>
        <v>7/2</v>
      </c>
      <c r="R4241">
        <v>38</v>
      </c>
      <c r="AA4241" s="10">
        <f t="shared" si="4005"/>
        <v>2201.6779999999999</v>
      </c>
      <c r="AB4241" s="3">
        <f t="shared" si="4006"/>
        <v>45405.73</v>
      </c>
      <c r="AC4241" s="3" cm="1">
        <f t="array" ref="AC4241">100000000/LvacE(AA4241)</f>
        <v>45405.729772148406</v>
      </c>
      <c r="AD4241" s="10">
        <f t="shared" si="4007"/>
        <v>1.5311619086021754E-2</v>
      </c>
      <c r="AE4241" s="10" t="b">
        <f t="shared" si="4008"/>
        <v>1</v>
      </c>
      <c r="AJ4241" t="s">
        <v>4702</v>
      </c>
      <c r="AK4241" t="s">
        <v>4915</v>
      </c>
      <c r="AL4241">
        <v>39024.269999999997</v>
      </c>
      <c r="AM4241">
        <v>84430.98</v>
      </c>
      <c r="AN4241" s="10" cm="1">
        <f t="array" ref="AN4241">Lair(100000000/($AM4241-$AL4241))</f>
        <v>2201.6304744365352</v>
      </c>
      <c r="AO4241" s="10">
        <f t="shared" si="4038"/>
        <v>2202.3176750748953</v>
      </c>
      <c r="AP4241" s="12">
        <v>2000000000</v>
      </c>
      <c r="AQ4241" s="3">
        <v>0.748</v>
      </c>
      <c r="AR4241" s="3">
        <f t="shared" si="4039"/>
        <v>-9.1277871438464633</v>
      </c>
      <c r="AS4241" s="13">
        <f t="shared" si="4040"/>
        <v>142.17965491580148</v>
      </c>
      <c r="AT4241" s="3">
        <f t="shared" si="4041"/>
        <v>3.0111812843492642</v>
      </c>
      <c r="AU4241" s="13" cm="1">
        <f t="array" ref="AU4241">$C4241*EXP(poly_from_str(100000000/$E4241,AU$4343))</f>
        <v>98.628503321516476</v>
      </c>
      <c r="AV4241" s="13">
        <f t="shared" si="4042"/>
        <v>0.36573113323173456</v>
      </c>
      <c r="AW4241" s="13"/>
      <c r="AX4241" s="13"/>
      <c r="AY4241" s="13"/>
    </row>
    <row r="4242" spans="1:51" x14ac:dyDescent="0.25">
      <c r="A4242" t="s">
        <v>4551</v>
      </c>
      <c r="B4242" s="2" t="str">
        <f t="shared" si="3995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4034"/>
        <v>e</v>
      </c>
      <c r="N4242" t="str">
        <f t="shared" si="4035"/>
        <v>5/2</v>
      </c>
      <c r="O4242">
        <v>66867.09</v>
      </c>
      <c r="P4242" t="str">
        <f t="shared" si="4036"/>
        <v>o</v>
      </c>
      <c r="Q4242" t="str">
        <f t="shared" si="4037"/>
        <v>3/2</v>
      </c>
      <c r="R4242">
        <v>38</v>
      </c>
      <c r="AA4242" s="10">
        <f t="shared" si="4005"/>
        <v>2199.6170000000002</v>
      </c>
      <c r="AB4242" s="3">
        <f t="shared" si="4006"/>
        <v>45448.27</v>
      </c>
      <c r="AC4242" s="3" cm="1">
        <f t="array" ref="AC4242">100000000/LvacE(AA4242)</f>
        <v>45448.269717362367</v>
      </c>
      <c r="AD4242" s="10">
        <f t="shared" si="4007"/>
        <v>1.5330950733096343E-2</v>
      </c>
      <c r="AE4242" s="10" t="b">
        <f t="shared" si="4008"/>
        <v>1</v>
      </c>
      <c r="AJ4242" t="s">
        <v>4792</v>
      </c>
      <c r="AK4242" t="s">
        <v>4867</v>
      </c>
      <c r="AL4242">
        <v>21418.84</v>
      </c>
      <c r="AM4242">
        <v>66867.09</v>
      </c>
      <c r="AN4242" s="10" cm="1">
        <f t="array" ref="AN4242">Lair(100000000/($AM4242-$AL4242))</f>
        <v>2199.6179630081292</v>
      </c>
      <c r="AO4242" s="10">
        <f t="shared" si="4038"/>
        <v>2200.3047422067957</v>
      </c>
      <c r="AP4242" s="12">
        <v>97500000</v>
      </c>
      <c r="AQ4242" s="3">
        <v>0.153</v>
      </c>
      <c r="AR4242" s="3">
        <f t="shared" si="4039"/>
        <v>-6.4180259604822956</v>
      </c>
      <c r="AS4242" s="13">
        <f t="shared" si="4040"/>
        <v>25.921398172516607</v>
      </c>
      <c r="AT4242" s="3">
        <f t="shared" si="4041"/>
        <v>1.6456308994360831</v>
      </c>
      <c r="AU4242" s="13" cm="1">
        <f t="array" ref="AU4242">$C4242*EXP(poly_from_str(100000000/$E4242,AU$4343))</f>
        <v>72.311691665995525</v>
      </c>
      <c r="AV4242" s="13">
        <f t="shared" si="4042"/>
        <v>-1.0259170146771786</v>
      </c>
      <c r="AW4242" s="13"/>
      <c r="AX4242" s="13"/>
      <c r="AY4242" s="13"/>
    </row>
    <row r="4243" spans="1:51" x14ac:dyDescent="0.25">
      <c r="A4243" t="s">
        <v>4552</v>
      </c>
      <c r="B4243" s="2" t="str">
        <f t="shared" si="3995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4034"/>
        <v>e</v>
      </c>
      <c r="N4243" t="str">
        <f t="shared" si="4035"/>
        <v>7/2</v>
      </c>
      <c r="O4243">
        <v>69138.28</v>
      </c>
      <c r="P4243" t="str">
        <f t="shared" si="4036"/>
        <v>o</v>
      </c>
      <c r="Q4243" t="str">
        <f t="shared" si="4037"/>
        <v>9/2</v>
      </c>
      <c r="R4243">
        <v>38</v>
      </c>
      <c r="AA4243" s="10">
        <f t="shared" si="4005"/>
        <v>2197.7719999999999</v>
      </c>
      <c r="AB4243" s="3">
        <f t="shared" si="4006"/>
        <v>45486.42</v>
      </c>
      <c r="AC4243" s="3" cm="1">
        <f t="array" ref="AC4243">100000000/LvacE(AA4243)</f>
        <v>45486.418992790597</v>
      </c>
      <c r="AD4243" s="10">
        <f t="shared" si="4007"/>
        <v>1.53483025065363E-2</v>
      </c>
      <c r="AE4243" s="10" t="b">
        <f t="shared" si="4008"/>
        <v>1</v>
      </c>
      <c r="AJ4243" t="s">
        <v>4759</v>
      </c>
      <c r="AK4243" t="s">
        <v>4879</v>
      </c>
      <c r="AL4243">
        <v>23651.88</v>
      </c>
      <c r="AM4243">
        <v>69138.28</v>
      </c>
      <c r="AN4243" s="10" cm="1">
        <f t="array" ref="AN4243">Lair(100000000/($AM4243-$AL4243))</f>
        <v>2197.7729264660402</v>
      </c>
      <c r="AO4243" s="10">
        <f t="shared" si="4038"/>
        <v>2198.4593197087484</v>
      </c>
      <c r="AP4243" s="12">
        <v>163000000</v>
      </c>
      <c r="AQ4243" s="3">
        <v>0.23899999999999999</v>
      </c>
      <c r="AR4243" s="3">
        <f t="shared" si="4039"/>
        <v>-7.4199163542019901</v>
      </c>
      <c r="AS4243" s="13">
        <f t="shared" si="4040"/>
        <v>36.574828146652855</v>
      </c>
      <c r="AT4243" s="3">
        <f t="shared" si="4041"/>
        <v>2.5007479595709317</v>
      </c>
      <c r="AU4243" s="13" cm="1">
        <f t="array" ref="AU4243">$C4243*EXP(poly_from_str(100000000/$E4243,AU$4343))</f>
        <v>44.426330359252951</v>
      </c>
      <c r="AV4243" s="13">
        <f t="shared" si="4042"/>
        <v>-0.19447207153794269</v>
      </c>
      <c r="AW4243" s="13"/>
      <c r="AX4243" s="13"/>
      <c r="AY4243" s="13"/>
    </row>
    <row r="4244" spans="1:51" x14ac:dyDescent="0.25">
      <c r="A4244" t="s">
        <v>4553</v>
      </c>
      <c r="B4244" s="2" t="str">
        <f t="shared" si="3995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4005"/>
        <v>2197.4780000000001</v>
      </c>
      <c r="AB4244" s="3">
        <f t="shared" si="4006"/>
        <v>45492.5</v>
      </c>
      <c r="AC4244" s="3" cm="1">
        <f t="array" ref="AC4244">100000000/LvacE(AA4244)</f>
        <v>45492.50398025108</v>
      </c>
      <c r="AD4244" s="10">
        <f t="shared" si="4007"/>
        <v>1.5351071542070292E-2</v>
      </c>
      <c r="AE4244" s="10" t="b">
        <f t="shared" si="4008"/>
        <v>1</v>
      </c>
      <c r="AP4244"/>
      <c r="AQ4244"/>
      <c r="AU4244" s="13" cm="1">
        <f t="array" ref="AU4244">$C4244*EXP(poly_from_str(100000000/$E4244,AU$4343))</f>
        <v>14.865098728443265</v>
      </c>
    </row>
    <row r="4245" spans="1:51" x14ac:dyDescent="0.25">
      <c r="A4245" t="s">
        <v>4554</v>
      </c>
      <c r="B4245" s="2">
        <f t="shared" si="3995"/>
        <v>1</v>
      </c>
      <c r="C4245">
        <v>10</v>
      </c>
      <c r="D4245" t="s">
        <v>3264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4043">$G4245&amp;""</f>
        <v>e</v>
      </c>
      <c r="N4245" t="str">
        <f t="shared" ref="N4245:N4249" si="4044">$H4245&amp;""</f>
        <v>13/2</v>
      </c>
      <c r="O4245">
        <v>66735.88</v>
      </c>
      <c r="P4245" t="str">
        <f t="shared" ref="P4245:P4249" si="4045">$J4245&amp;""</f>
        <v>o</v>
      </c>
      <c r="Q4245" t="str">
        <f t="shared" ref="Q4245:Q4249" si="4046">$K4245&amp;""</f>
        <v>13/2</v>
      </c>
      <c r="R4245">
        <v>38</v>
      </c>
      <c r="AA4245" s="10">
        <f t="shared" si="4005"/>
        <v>2197.2530000000002</v>
      </c>
      <c r="AB4245" s="3">
        <f t="shared" si="4006"/>
        <v>45497.16</v>
      </c>
      <c r="AC4245" s="3" cm="1">
        <f t="array" ref="AC4245">100000000/LvacE(AA4245)</f>
        <v>45497.161958127901</v>
      </c>
      <c r="AD4245" s="10">
        <f t="shared" si="4007"/>
        <v>1.5353191452720259E-2</v>
      </c>
      <c r="AE4245" s="10" t="b">
        <f t="shared" si="4008"/>
        <v>1</v>
      </c>
      <c r="AJ4245" t="s">
        <v>4696</v>
      </c>
      <c r="AK4245" t="s">
        <v>4909</v>
      </c>
      <c r="AL4245">
        <v>21238.78</v>
      </c>
      <c r="AM4245">
        <v>66735.88</v>
      </c>
      <c r="AN4245" s="10" cm="1">
        <f t="array" ref="AN4245">Lair(100000000/($AM4245-$AL4245))</f>
        <v>2197.2560012511203</v>
      </c>
      <c r="AO4245" s="10">
        <f t="shared" ref="AO4245:AO4249" si="4047">100000000/($AM4245-$AL4245)</f>
        <v>2197.9422864314424</v>
      </c>
      <c r="AP4245" s="12">
        <v>685000000</v>
      </c>
      <c r="AQ4245" s="3">
        <v>0.56699999999999995</v>
      </c>
      <c r="AR4245" s="3">
        <f t="shared" ref="AR4245:AR4249" si="4048">LN(AU4245*100000000/($AM4245-$AL4245)/AP4245)</f>
        <v>-7.6451374787333322</v>
      </c>
      <c r="AS4245" s="13">
        <f t="shared" ref="AS4245:AS4249" si="4049">EXP(AR$4341*$AM4245+AR$4342)*$AP4245/(100000000/($AM4245-$AL4245))</f>
        <v>184.1142390073739</v>
      </c>
      <c r="AT4245" s="3">
        <f t="shared" ref="AT4245:AT4249" si="4050">LN(AS4245/$C4245)</f>
        <v>2.9129713361290293</v>
      </c>
      <c r="AU4245" s="13" cm="1">
        <f t="array" ref="AU4245">$C4245*EXP(poly_from_str(100000000/$E4245,AU$4343))</f>
        <v>149.0847655039089</v>
      </c>
      <c r="AV4245" s="13">
        <f t="shared" ref="AV4245:AV4249" si="4051">LN(AS4245/AU4245)</f>
        <v>0.21104138893820953</v>
      </c>
      <c r="AW4245" s="13"/>
      <c r="AX4245" s="13"/>
      <c r="AY4245" s="13"/>
    </row>
    <row r="4246" spans="1:51" x14ac:dyDescent="0.25">
      <c r="A4246" t="s">
        <v>4554</v>
      </c>
      <c r="B4246" s="2">
        <f t="shared" si="3995"/>
        <v>2</v>
      </c>
      <c r="C4246">
        <v>10</v>
      </c>
      <c r="D4246" t="s">
        <v>3264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4043"/>
        <v>e</v>
      </c>
      <c r="N4246" t="str">
        <f t="shared" si="4044"/>
        <v>11/2</v>
      </c>
      <c r="O4246">
        <v>71592.34</v>
      </c>
      <c r="P4246" t="str">
        <f t="shared" si="4045"/>
        <v>o</v>
      </c>
      <c r="Q4246" t="str">
        <f t="shared" si="4046"/>
        <v>9/2</v>
      </c>
      <c r="R4246">
        <v>38</v>
      </c>
      <c r="AA4246" s="10">
        <f t="shared" si="4005"/>
        <v>2197.2530000000002</v>
      </c>
      <c r="AB4246" s="3">
        <f t="shared" si="4006"/>
        <v>45497.16</v>
      </c>
      <c r="AC4246" s="3" cm="1">
        <f t="array" ref="AC4246">100000000/LvacE(AA4246)</f>
        <v>45497.161958127901</v>
      </c>
      <c r="AD4246" s="10">
        <f t="shared" si="4007"/>
        <v>1.5353191452720259E-2</v>
      </c>
      <c r="AE4246" s="10" t="b">
        <f t="shared" si="4008"/>
        <v>1</v>
      </c>
      <c r="AJ4246" t="s">
        <v>4738</v>
      </c>
      <c r="AK4246" t="s">
        <v>4881</v>
      </c>
      <c r="AL4246">
        <v>26095.23</v>
      </c>
      <c r="AM4246">
        <v>71592.34</v>
      </c>
      <c r="AN4246" s="10" cm="1">
        <f t="array" ref="AN4246">Lair(100000000/($AM4246-$AL4246))</f>
        <v>2197.2555182571518</v>
      </c>
      <c r="AO4246" s="10">
        <f t="shared" si="4047"/>
        <v>2197.9418033365196</v>
      </c>
      <c r="AP4246" s="12">
        <v>1120000000</v>
      </c>
      <c r="AQ4246" s="3">
        <v>0.5</v>
      </c>
      <c r="AR4246" s="3">
        <f t="shared" si="4048"/>
        <v>-8.1368028245544508</v>
      </c>
      <c r="AS4246" s="13">
        <f t="shared" si="4049"/>
        <v>209.08903947529009</v>
      </c>
      <c r="AT4246" s="3">
        <f t="shared" si="4050"/>
        <v>3.0401750944449311</v>
      </c>
      <c r="AU4246" s="13" cm="1">
        <f t="array" ref="AU4246">$C4246*EXP(poly_from_str(100000000/$E4246,AU$4343))</f>
        <v>149.0847655039089</v>
      </c>
      <c r="AV4246" s="13">
        <f t="shared" si="4051"/>
        <v>0.33824514725411137</v>
      </c>
      <c r="AW4246" s="13"/>
      <c r="AX4246" s="13"/>
      <c r="AY4246" s="13"/>
    </row>
    <row r="4247" spans="1:51" x14ac:dyDescent="0.25">
      <c r="A4247" t="s">
        <v>4555</v>
      </c>
      <c r="B4247" s="2" t="str">
        <f t="shared" si="3995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4043"/>
        <v>e</v>
      </c>
      <c r="N4247" t="str">
        <f t="shared" si="4044"/>
        <v>7/2</v>
      </c>
      <c r="O4247">
        <v>83426.55</v>
      </c>
      <c r="P4247" t="str">
        <f t="shared" si="4045"/>
        <v>o</v>
      </c>
      <c r="Q4247" t="str">
        <f t="shared" si="4046"/>
        <v>5/2</v>
      </c>
      <c r="R4247">
        <v>38</v>
      </c>
      <c r="AA4247" s="10">
        <f t="shared" si="4005"/>
        <v>2196.7750000000001</v>
      </c>
      <c r="AB4247" s="3">
        <f t="shared" si="4006"/>
        <v>45507.06</v>
      </c>
      <c r="AC4247" s="3" cm="1">
        <f t="array" ref="AC4247">100000000/LvacE(AA4247)</f>
        <v>45507.060739356712</v>
      </c>
      <c r="AD4247" s="10">
        <f t="shared" si="4007"/>
        <v>1.5357697246954446E-2</v>
      </c>
      <c r="AE4247" s="10" t="b">
        <f t="shared" si="4008"/>
        <v>1</v>
      </c>
      <c r="AJ4247" t="s">
        <v>4764</v>
      </c>
      <c r="AK4247" t="s">
        <v>4868</v>
      </c>
      <c r="AL4247">
        <v>37919.58</v>
      </c>
      <c r="AM4247">
        <v>83426.55</v>
      </c>
      <c r="AN4247" s="10" cm="1">
        <f t="array" ref="AN4247">Lair(100000000/($AM4247-$AL4247))</f>
        <v>2196.7793894805786</v>
      </c>
      <c r="AO4247" s="10">
        <f t="shared" si="4047"/>
        <v>2197.4655750536676</v>
      </c>
      <c r="AP4247" s="12">
        <v>848000000</v>
      </c>
      <c r="AQ4247" s="3">
        <v>0.57099999999999995</v>
      </c>
      <c r="AR4247" s="3">
        <f t="shared" si="4048"/>
        <v>-8.2092881943230154</v>
      </c>
      <c r="AS4247" s="13">
        <f t="shared" si="4049"/>
        <v>65.147532990070985</v>
      </c>
      <c r="AT4247" s="3">
        <f t="shared" si="4050"/>
        <v>2.2307442871841694</v>
      </c>
      <c r="AU4247" s="13" cm="1">
        <f t="array" ref="AU4247">$C4247*EXP(poly_from_str(100000000/$E4247,AU$4343))</f>
        <v>105.00868232002335</v>
      </c>
      <c r="AV4247" s="13">
        <f t="shared" si="4051"/>
        <v>-0.47738859926164073</v>
      </c>
      <c r="AW4247" s="13"/>
      <c r="AX4247" s="13"/>
      <c r="AY4247" s="13"/>
    </row>
    <row r="4248" spans="1:51" x14ac:dyDescent="0.25">
      <c r="A4248" t="s">
        <v>4556</v>
      </c>
      <c r="B4248" s="2" t="str">
        <f t="shared" si="3995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4043"/>
        <v>e</v>
      </c>
      <c r="N4248" t="str">
        <f t="shared" si="4044"/>
        <v>9/2</v>
      </c>
      <c r="O4248">
        <v>67049.179999999993</v>
      </c>
      <c r="P4248" t="str">
        <f t="shared" si="4045"/>
        <v>o</v>
      </c>
      <c r="Q4248" t="str">
        <f t="shared" si="4046"/>
        <v>9/2</v>
      </c>
      <c r="R4248">
        <v>38</v>
      </c>
      <c r="AA4248" s="10">
        <f t="shared" si="4005"/>
        <v>2196.4360000000001</v>
      </c>
      <c r="AB4248" s="3">
        <f t="shared" si="4006"/>
        <v>45514.080000000002</v>
      </c>
      <c r="AC4248" s="3" cm="1">
        <f t="array" ref="AC4248">100000000/LvacE(AA4248)</f>
        <v>45514.083615400217</v>
      </c>
      <c r="AD4248" s="10">
        <f t="shared" si="4007"/>
        <v>1.5360894561781045E-2</v>
      </c>
      <c r="AE4248" s="10" t="b">
        <f t="shared" si="4008"/>
        <v>1</v>
      </c>
      <c r="AJ4248" t="s">
        <v>4798</v>
      </c>
      <c r="AK4248" t="s">
        <v>4862</v>
      </c>
      <c r="AL4248">
        <v>21535.17</v>
      </c>
      <c r="AM4248">
        <v>67049.179999999993</v>
      </c>
      <c r="AN4248" s="10" cm="1">
        <f t="array" ref="AN4248">Lair(100000000/($AM4248-$AL4248))</f>
        <v>2196.4395616791917</v>
      </c>
      <c r="AO4248" s="10">
        <f t="shared" si="4047"/>
        <v>2197.1256762478192</v>
      </c>
      <c r="AP4248" s="12">
        <v>204000000</v>
      </c>
      <c r="AQ4248" s="3">
        <v>0.13200000000000001</v>
      </c>
      <c r="AR4248" s="3">
        <f t="shared" si="4048"/>
        <v>-8.0330363970814389</v>
      </c>
      <c r="AS4248" s="13">
        <f t="shared" si="4049"/>
        <v>53.576848179803974</v>
      </c>
      <c r="AT4248" s="3">
        <f t="shared" si="4050"/>
        <v>3.2879698572612228</v>
      </c>
      <c r="AU4248" s="13" cm="1">
        <f t="array" ref="AU4248">$C4248*EXP(poly_from_str(100000000/$E4248,AU$4343))</f>
        <v>30.135048019299951</v>
      </c>
      <c r="AV4248" s="13">
        <f t="shared" si="4051"/>
        <v>0.57542815741472564</v>
      </c>
      <c r="AW4248" s="13"/>
      <c r="AX4248" s="13"/>
      <c r="AY4248" s="13"/>
    </row>
    <row r="4249" spans="1:51" x14ac:dyDescent="0.25">
      <c r="A4249" t="s">
        <v>4557</v>
      </c>
      <c r="B4249" s="2" t="str">
        <f t="shared" si="3995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4043"/>
        <v>e</v>
      </c>
      <c r="N4249" t="str">
        <f t="shared" si="4044"/>
        <v>9/2</v>
      </c>
      <c r="O4249">
        <v>63593.35</v>
      </c>
      <c r="P4249" t="str">
        <f t="shared" si="4045"/>
        <v>o</v>
      </c>
      <c r="Q4249" t="str">
        <f t="shared" si="4046"/>
        <v>9/2</v>
      </c>
      <c r="R4249">
        <v>38</v>
      </c>
      <c r="AA4249" s="10">
        <f t="shared" si="4005"/>
        <v>2195.6669999999999</v>
      </c>
      <c r="AB4249" s="3">
        <f t="shared" si="4006"/>
        <v>45530.02</v>
      </c>
      <c r="AC4249" s="3" cm="1">
        <f t="array" ref="AC4249">100000000/LvacE(AA4249)</f>
        <v>45530.022601670244</v>
      </c>
      <c r="AD4249" s="10">
        <f t="shared" si="4007"/>
        <v>1.5368152958000973E-2</v>
      </c>
      <c r="AE4249" s="10" t="b">
        <f t="shared" si="4008"/>
        <v>1</v>
      </c>
      <c r="AJ4249" t="s">
        <v>4744</v>
      </c>
      <c r="AK4249" t="s">
        <v>4840</v>
      </c>
      <c r="AL4249">
        <v>18063.36</v>
      </c>
      <c r="AM4249">
        <v>63593.35</v>
      </c>
      <c r="AN4249" s="10" cm="1">
        <f t="array" ref="AN4249">Lair(100000000/($AM4249-$AL4249))</f>
        <v>2195.6685811421503</v>
      </c>
      <c r="AO4249" s="10">
        <f t="shared" si="4047"/>
        <v>2196.354534670445</v>
      </c>
      <c r="AP4249" s="12">
        <v>814000000</v>
      </c>
      <c r="AQ4249" s="3">
        <v>0.54800000000000004</v>
      </c>
      <c r="AR4249" s="3">
        <f t="shared" si="4048"/>
        <v>-7.9031075544218732</v>
      </c>
      <c r="AS4249" s="13">
        <f t="shared" si="4049"/>
        <v>277.17727772039558</v>
      </c>
      <c r="AT4249" s="3">
        <f t="shared" si="4050"/>
        <v>3.4274327159141031</v>
      </c>
      <c r="AU4249" s="13" cm="1">
        <f t="array" ref="AU4249">$C4249*EXP(poly_from_str(100000000/$E4249,AU$4343))</f>
        <v>136.97646658020449</v>
      </c>
      <c r="AV4249" s="13">
        <f t="shared" si="4051"/>
        <v>0.70484815896434827</v>
      </c>
      <c r="AW4249" s="13"/>
      <c r="AX4249" s="13"/>
      <c r="AY4249" s="13"/>
    </row>
    <row r="4250" spans="1:51" x14ac:dyDescent="0.25">
      <c r="A4250" t="s">
        <v>4558</v>
      </c>
      <c r="B4250" s="2" t="str">
        <f t="shared" si="3995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4005"/>
        <v>2195.5309999999999</v>
      </c>
      <c r="AB4250" s="3">
        <f t="shared" si="4006"/>
        <v>45532.84</v>
      </c>
      <c r="AC4250" s="3" cm="1">
        <f t="array" ref="AC4250">100000000/LvacE(AA4250)</f>
        <v>45532.842621765987</v>
      </c>
      <c r="AD4250" s="10">
        <f t="shared" si="4007"/>
        <v>1.5369437421235681E-2</v>
      </c>
      <c r="AE4250" s="10" t="b">
        <f t="shared" si="4008"/>
        <v>1</v>
      </c>
      <c r="AP4250"/>
      <c r="AQ4250"/>
      <c r="AU4250" s="13" cm="1">
        <f t="array" ref="AU4250">$C4250*EXP(poly_from_str(100000000/$E4250,AU$4343))</f>
        <v>15.246742839039365</v>
      </c>
    </row>
    <row r="4251" spans="1:51" x14ac:dyDescent="0.25">
      <c r="A4251" t="s">
        <v>4559</v>
      </c>
      <c r="B4251" s="2" t="str">
        <f t="shared" si="3995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4005"/>
        <v>2194.8679999999999</v>
      </c>
      <c r="AB4251" s="3">
        <f t="shared" si="4006"/>
        <v>45546.59</v>
      </c>
      <c r="AC4251" s="3" cm="1">
        <f t="array" ref="AC4251">100000000/LvacE(AA4251)</f>
        <v>45546.595223118173</v>
      </c>
      <c r="AD4251" s="10">
        <f t="shared" si="4007"/>
        <v>1.5375702598770899E-2</v>
      </c>
      <c r="AE4251" s="10" t="b">
        <f t="shared" si="4008"/>
        <v>1</v>
      </c>
      <c r="AP4251"/>
      <c r="AQ4251"/>
      <c r="AU4251" s="13" cm="1">
        <f t="array" ref="AU4251">$C4251*EXP(poly_from_str(100000000/$E4251,AU$4343))</f>
        <v>15.380053233161957</v>
      </c>
    </row>
    <row r="4252" spans="1:51" x14ac:dyDescent="0.25">
      <c r="A4252" t="s">
        <v>4560</v>
      </c>
      <c r="B4252" s="2" t="str">
        <f t="shared" si="3995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4052">$G4252&amp;""</f>
        <v>e</v>
      </c>
      <c r="N4252" t="str">
        <f t="shared" ref="N4252:N4256" si="4053">$H4252&amp;""</f>
        <v>11/2</v>
      </c>
      <c r="O4252">
        <v>64865.15</v>
      </c>
      <c r="P4252" t="str">
        <f t="shared" ref="P4252:P4256" si="4054">$J4252&amp;""</f>
        <v>o</v>
      </c>
      <c r="Q4252" t="str">
        <f t="shared" ref="Q4252:Q4256" si="4055">$K4252&amp;""</f>
        <v>11/2</v>
      </c>
      <c r="R4252">
        <v>38</v>
      </c>
      <c r="AA4252" s="10">
        <f t="shared" si="4005"/>
        <v>2194.4009999999998</v>
      </c>
      <c r="AB4252" s="3">
        <f t="shared" si="4006"/>
        <v>45556.29</v>
      </c>
      <c r="AC4252" s="3" cm="1">
        <f t="array" ref="AC4252">100000000/LvacE(AA4252)</f>
        <v>45556.287185845453</v>
      </c>
      <c r="AD4252" s="10">
        <f t="shared" si="4007"/>
        <v>1.5380119036093553E-2</v>
      </c>
      <c r="AE4252" s="10" t="b">
        <f t="shared" si="4008"/>
        <v>1</v>
      </c>
      <c r="AJ4252" t="s">
        <v>4813</v>
      </c>
      <c r="AK4252" t="s">
        <v>4896</v>
      </c>
      <c r="AL4252">
        <v>19308.93</v>
      </c>
      <c r="AM4252">
        <v>64865.15</v>
      </c>
      <c r="AN4252" s="10" cm="1">
        <f t="array" ref="AN4252">Lair(100000000/($AM4252-$AL4252))</f>
        <v>2194.4042454410678</v>
      </c>
      <c r="AO4252" s="10">
        <f t="shared" ref="AO4252:AO4256" si="4056">100000000/($AM4252-$AL4252)</f>
        <v>2195.0899350297282</v>
      </c>
      <c r="AP4252" s="12">
        <v>284000000</v>
      </c>
      <c r="AQ4252" s="3">
        <v>0.32800000000000001</v>
      </c>
      <c r="AR4252" s="3">
        <f t="shared" ref="AR4252:AR4256" si="4057">LN(AU4252*100000000/($AM4252-$AL4252)/AP4252)</f>
        <v>-7.0853636677783252</v>
      </c>
      <c r="AS4252" s="13">
        <f t="shared" ref="AS4252:AS4256" si="4058">EXP(AR$4341*$AM4252+AR$4342)*$AP4252/(100000000/($AM4252-$AL4252))</f>
        <v>87.953004679749469</v>
      </c>
      <c r="AT4252" s="3">
        <f t="shared" ref="AT4252:AT4256" si="4059">LN(AS4252/$C4252)</f>
        <v>2.5308924850438359</v>
      </c>
      <c r="AU4252" s="13" cm="1">
        <f t="array" ref="AU4252">$C4252*EXP(poly_from_str(100000000/$E4252,AU$4343))</f>
        <v>108.32574347738564</v>
      </c>
      <c r="AV4252" s="13">
        <f t="shared" ref="AV4252:AV4256" si="4060">LN(AS4252/AU4252)</f>
        <v>-0.2083401968993995</v>
      </c>
      <c r="AW4252" s="13"/>
      <c r="AX4252" s="13"/>
      <c r="AY4252" s="13"/>
    </row>
    <row r="4253" spans="1:51" x14ac:dyDescent="0.25">
      <c r="A4253" t="s">
        <v>4561</v>
      </c>
      <c r="B4253" s="2" t="str">
        <f t="shared" si="3995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4052"/>
        <v>e</v>
      </c>
      <c r="N4253" t="str">
        <f t="shared" si="4053"/>
        <v>5/2</v>
      </c>
      <c r="O4253">
        <v>63768.66</v>
      </c>
      <c r="P4253" t="str">
        <f t="shared" si="4054"/>
        <v>o</v>
      </c>
      <c r="Q4253" t="str">
        <f t="shared" si="4055"/>
        <v>7/2</v>
      </c>
      <c r="R4253">
        <v>38</v>
      </c>
      <c r="AA4253" s="10">
        <f t="shared" si="4005"/>
        <v>2194.37</v>
      </c>
      <c r="AB4253" s="3">
        <f t="shared" si="4006"/>
        <v>45556.93</v>
      </c>
      <c r="AC4253" s="3" cm="1">
        <f t="array" ref="AC4253">100000000/LvacE(AA4253)</f>
        <v>45556.930695511961</v>
      </c>
      <c r="AD4253" s="10">
        <f t="shared" si="4007"/>
        <v>1.5380412304103676E-2</v>
      </c>
      <c r="AE4253" s="10" t="b">
        <f t="shared" si="4008"/>
        <v>1</v>
      </c>
      <c r="AJ4253" t="s">
        <v>4970</v>
      </c>
      <c r="AK4253" t="s">
        <v>4850</v>
      </c>
      <c r="AL4253">
        <v>18211.759999999998</v>
      </c>
      <c r="AM4253">
        <v>63768.66</v>
      </c>
      <c r="AN4253" s="10" cm="1">
        <f t="array" ref="AN4253">Lair(100000000/($AM4253-$AL4253))</f>
        <v>2194.3714875112987</v>
      </c>
      <c r="AO4253" s="10">
        <f t="shared" si="4056"/>
        <v>2195.0571702639991</v>
      </c>
      <c r="AP4253" s="12">
        <v>110000000</v>
      </c>
      <c r="AQ4253" s="3">
        <v>0.11600000000000001</v>
      </c>
      <c r="AR4253" s="3">
        <f t="shared" si="4057"/>
        <v>-6.290628306543101</v>
      </c>
      <c r="AS4253" s="13">
        <f t="shared" si="4058"/>
        <v>36.988672235641182</v>
      </c>
      <c r="AT4253" s="3">
        <f t="shared" si="4059"/>
        <v>1.8188522407474352</v>
      </c>
      <c r="AU4253" s="13" cm="1">
        <f t="array" ref="AU4253">$C4253*EXP(poly_from_str(100000000/$E4253,AU$4343))</f>
        <v>92.888444009457174</v>
      </c>
      <c r="AV4253" s="13">
        <f t="shared" si="4060"/>
        <v>-0.92078753638965039</v>
      </c>
      <c r="AW4253" s="13"/>
      <c r="AX4253" s="13"/>
      <c r="AY4253" s="13"/>
    </row>
    <row r="4254" spans="1:51" x14ac:dyDescent="0.25">
      <c r="A4254" t="s">
        <v>4562</v>
      </c>
      <c r="B4254" s="2" t="str">
        <f t="shared" si="3995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4052"/>
        <v>e</v>
      </c>
      <c r="N4254" t="str">
        <f t="shared" si="4053"/>
        <v>7/2</v>
      </c>
      <c r="O4254">
        <v>66852.87</v>
      </c>
      <c r="P4254" t="str">
        <f t="shared" si="4054"/>
        <v>o</v>
      </c>
      <c r="Q4254" t="str">
        <f t="shared" si="4055"/>
        <v>7/2</v>
      </c>
      <c r="R4254">
        <v>38</v>
      </c>
      <c r="AA4254" s="10">
        <f t="shared" si="4005"/>
        <v>2194.3150000000001</v>
      </c>
      <c r="AB4254" s="3">
        <f t="shared" si="4006"/>
        <v>45558.07</v>
      </c>
      <c r="AC4254" s="3" cm="1">
        <f t="array" ref="AC4254">100000000/LvacE(AA4254)</f>
        <v>45558.072450946303</v>
      </c>
      <c r="AD4254" s="10">
        <f t="shared" si="4007"/>
        <v>1.5380932648900978E-2</v>
      </c>
      <c r="AE4254" s="10" t="b">
        <f t="shared" si="4008"/>
        <v>1</v>
      </c>
      <c r="AJ4254" t="s">
        <v>4791</v>
      </c>
      <c r="AK4254" t="s">
        <v>4830</v>
      </c>
      <c r="AL4254">
        <v>21294.89</v>
      </c>
      <c r="AM4254">
        <v>66852.87</v>
      </c>
      <c r="AN4254" s="10" cm="1">
        <f t="array" ref="AN4254">Lair(100000000/($AM4254-$AL4254))</f>
        <v>2194.3194622207411</v>
      </c>
      <c r="AO4254" s="10">
        <f t="shared" si="4056"/>
        <v>2195.0051341170088</v>
      </c>
      <c r="AP4254" s="12">
        <v>41800000</v>
      </c>
      <c r="AQ4254" s="3">
        <v>0.11700000000000001</v>
      </c>
      <c r="AR4254" s="3">
        <f t="shared" si="4057"/>
        <v>-7.1141021398561799</v>
      </c>
      <c r="AS4254" s="13">
        <f t="shared" si="4058"/>
        <v>11.151694090682561</v>
      </c>
      <c r="AT4254" s="3">
        <f t="shared" si="4059"/>
        <v>2.4115914227490505</v>
      </c>
      <c r="AU4254" s="13" cm="1">
        <f t="array" ref="AU4254">$C4254*EXP(poly_from_str(100000000/$E4254,AU$4343))</f>
        <v>15.492640320432331</v>
      </c>
      <c r="AV4254" s="13">
        <f t="shared" si="4060"/>
        <v>-0.32877367037774696</v>
      </c>
      <c r="AW4254" s="13"/>
      <c r="AX4254" s="13"/>
      <c r="AY4254" s="13"/>
    </row>
    <row r="4255" spans="1:51" x14ac:dyDescent="0.25">
      <c r="A4255" t="s">
        <v>4563</v>
      </c>
      <c r="B4255" s="2" t="str">
        <f t="shared" si="3995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4052"/>
        <v>e</v>
      </c>
      <c r="N4255" t="str">
        <f t="shared" si="4053"/>
        <v>11/2</v>
      </c>
      <c r="O4255">
        <v>60419.73</v>
      </c>
      <c r="P4255" t="str">
        <f t="shared" si="4054"/>
        <v>o</v>
      </c>
      <c r="Q4255" t="str">
        <f t="shared" si="4055"/>
        <v>11/2</v>
      </c>
      <c r="R4255">
        <v>38</v>
      </c>
      <c r="AA4255" s="10">
        <f t="shared" si="4005"/>
        <v>2194.2370000000001</v>
      </c>
      <c r="AB4255" s="3">
        <f t="shared" si="4006"/>
        <v>45559.69</v>
      </c>
      <c r="AC4255" s="3" cm="1">
        <f t="array" ref="AC4255">100000000/LvacE(AA4255)</f>
        <v>45559.691765867283</v>
      </c>
      <c r="AD4255" s="10">
        <f t="shared" si="4007"/>
        <v>1.5381670659520206E-2</v>
      </c>
      <c r="AE4255" s="10" t="b">
        <f t="shared" si="4008"/>
        <v>1</v>
      </c>
      <c r="AJ4255" t="s">
        <v>4709</v>
      </c>
      <c r="AK4255" t="s">
        <v>4849</v>
      </c>
      <c r="AL4255">
        <v>14859.96</v>
      </c>
      <c r="AM4255">
        <v>60419.73</v>
      </c>
      <c r="AN4255" s="10" cm="1">
        <f t="array" ref="AN4255">Lair(100000000/($AM4255-$AL4255))</f>
        <v>2194.2332405498983</v>
      </c>
      <c r="AO4255" s="10">
        <f t="shared" si="4056"/>
        <v>2194.9188944544712</v>
      </c>
      <c r="AP4255" s="12">
        <v>1210000000</v>
      </c>
      <c r="AQ4255" s="3">
        <v>0.70099999999999996</v>
      </c>
      <c r="AR4255" s="3">
        <f t="shared" si="4057"/>
        <v>-8.1760045320227857</v>
      </c>
      <c r="AS4255" s="13">
        <f t="shared" si="4058"/>
        <v>523.16469793878082</v>
      </c>
      <c r="AT4255" s="3">
        <f t="shared" si="4059"/>
        <v>3.9573112315139145</v>
      </c>
      <c r="AU4255" s="13" cm="1">
        <f t="array" ref="AU4255">$C4255*EXP(poly_from_str(100000000/$E4255,AU$4343))</f>
        <v>155.08623078015492</v>
      </c>
      <c r="AV4255" s="13">
        <f t="shared" si="4060"/>
        <v>1.2159150346676473</v>
      </c>
      <c r="AW4255" s="13"/>
      <c r="AX4255" s="13"/>
      <c r="AY4255" s="13"/>
    </row>
    <row r="4256" spans="1:51" x14ac:dyDescent="0.25">
      <c r="A4256" t="s">
        <v>4564</v>
      </c>
      <c r="B4256" s="2" t="str">
        <f t="shared" si="3995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4052"/>
        <v>e</v>
      </c>
      <c r="N4256" t="str">
        <f t="shared" si="4053"/>
        <v>13/2</v>
      </c>
      <c r="O4256">
        <v>62678.7</v>
      </c>
      <c r="P4256" t="str">
        <f t="shared" si="4054"/>
        <v>o</v>
      </c>
      <c r="Q4256" t="str">
        <f t="shared" si="4055"/>
        <v>13/2</v>
      </c>
      <c r="R4256">
        <v>38</v>
      </c>
      <c r="AA4256" s="10">
        <f t="shared" si="4005"/>
        <v>2193.9549999999999</v>
      </c>
      <c r="AB4256" s="3">
        <f t="shared" si="4006"/>
        <v>45565.55</v>
      </c>
      <c r="AC4256" s="3" cm="1">
        <f t="array" ref="AC4256">100000000/LvacE(AA4256)</f>
        <v>45565.547172535422</v>
      </c>
      <c r="AD4256" s="10">
        <f t="shared" si="4007"/>
        <v>1.5384339508452867E-2</v>
      </c>
      <c r="AE4256" s="10" t="b">
        <f t="shared" si="4008"/>
        <v>1</v>
      </c>
      <c r="AJ4256" t="s">
        <v>4729</v>
      </c>
      <c r="AK4256" t="s">
        <v>4888</v>
      </c>
      <c r="AL4256">
        <v>17113.189999999999</v>
      </c>
      <c r="AM4256">
        <v>62678.7</v>
      </c>
      <c r="AN4256" s="10" cm="1">
        <f t="array" ref="AN4256">Lair(100000000/($AM4256-$AL4256))</f>
        <v>2193.9567988662589</v>
      </c>
      <c r="AO4256" s="10">
        <f t="shared" si="4056"/>
        <v>2194.6423950922531</v>
      </c>
      <c r="AP4256" s="12">
        <v>582000000</v>
      </c>
      <c r="AQ4256" s="3">
        <v>0.49299999999999999</v>
      </c>
      <c r="AR4256" s="3">
        <f t="shared" si="4057"/>
        <v>-7.6636352389959042</v>
      </c>
      <c r="AS4256" s="13">
        <f t="shared" si="4058"/>
        <v>212.4249468922705</v>
      </c>
      <c r="AT4256" s="3">
        <f t="shared" si="4059"/>
        <v>3.2791471932027729</v>
      </c>
      <c r="AU4256" s="13" cm="1">
        <f t="array" ref="AU4256">$C4256*EXP(poly_from_str(100000000/$E4256,AU$4343))</f>
        <v>124.53307862929628</v>
      </c>
      <c r="AV4256" s="13">
        <f t="shared" si="4060"/>
        <v>0.53401736246608611</v>
      </c>
      <c r="AW4256" s="13"/>
      <c r="AX4256" s="13"/>
      <c r="AY4256" s="13"/>
    </row>
    <row r="4257" spans="1:51" x14ac:dyDescent="0.25">
      <c r="A4257" t="s">
        <v>4565</v>
      </c>
      <c r="B4257" s="2" t="str">
        <f t="shared" si="3995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4005"/>
        <v>2193.8359999999998</v>
      </c>
      <c r="AB4257" s="3">
        <f t="shared" si="4006"/>
        <v>45568.02</v>
      </c>
      <c r="AC4257" s="3" cm="1">
        <f t="array" ref="AC4257">100000000/LvacE(AA4257)</f>
        <v>45568.018522631217</v>
      </c>
      <c r="AD4257" s="10">
        <f t="shared" si="4007"/>
        <v>1.5385466033612179E-2</v>
      </c>
      <c r="AE4257" s="10" t="b">
        <f t="shared" si="4008"/>
        <v>1</v>
      </c>
      <c r="AP4257"/>
      <c r="AQ4257"/>
      <c r="AU4257" s="13" cm="1">
        <f t="array" ref="AU4257">$C4257*EXP(poly_from_str(100000000/$E4257,AU$4343))</f>
        <v>15.591179944355829</v>
      </c>
    </row>
    <row r="4258" spans="1:51" x14ac:dyDescent="0.25">
      <c r="A4258" t="s">
        <v>4566</v>
      </c>
      <c r="B4258" s="2" t="str">
        <f t="shared" si="3995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4061">$G4258&amp;""</f>
        <v>e</v>
      </c>
      <c r="N4258" t="str">
        <f t="shared" ref="N4258:N4259" si="4062">$H4258&amp;""</f>
        <v>11/2</v>
      </c>
      <c r="O4258">
        <v>63816.91</v>
      </c>
      <c r="P4258" t="str">
        <f t="shared" ref="P4258:P4259" si="4063">$J4258&amp;""</f>
        <v>o</v>
      </c>
      <c r="Q4258" t="str">
        <f t="shared" ref="Q4258:Q4259" si="4064">$K4258&amp;""</f>
        <v>11/2</v>
      </c>
      <c r="R4258">
        <v>38</v>
      </c>
      <c r="AA4258" s="10">
        <f t="shared" si="4005"/>
        <v>2193.48</v>
      </c>
      <c r="AB4258" s="3">
        <f t="shared" si="4006"/>
        <v>45575.41</v>
      </c>
      <c r="AC4258" s="3" cm="1">
        <f t="array" ref="AC4258">100000000/LvacE(AA4258)</f>
        <v>45575.413405917934</v>
      </c>
      <c r="AD4258" s="10">
        <f t="shared" si="4007"/>
        <v>1.5388837237156925E-2</v>
      </c>
      <c r="AE4258" s="10" t="b">
        <f t="shared" si="4008"/>
        <v>1</v>
      </c>
      <c r="AJ4258" t="s">
        <v>4724</v>
      </c>
      <c r="AK4258" t="s">
        <v>4928</v>
      </c>
      <c r="AL4258">
        <v>18241.54</v>
      </c>
      <c r="AM4258">
        <v>63816.91</v>
      </c>
      <c r="AN4258" s="10" cm="1">
        <f t="array" ref="AN4258">Lair(100000000/($AM4258-$AL4258))</f>
        <v>2193.4820981456396</v>
      </c>
      <c r="AO4258" s="10">
        <f t="shared" ref="AO4258:AO4259" si="4065">100000000/($AM4258-$AL4258)</f>
        <v>2194.1675953481013</v>
      </c>
      <c r="AP4258" s="12">
        <v>520000000</v>
      </c>
      <c r="AQ4258" s="3">
        <v>0.373</v>
      </c>
      <c r="AR4258" s="3">
        <f t="shared" ref="AR4258:AR4259" si="4066">LN(AU4258*100000000/($AM4258-$AL4258)/AP4258)</f>
        <v>-7.5449142015895374</v>
      </c>
      <c r="AS4258" s="13">
        <f t="shared" ref="AS4258:AS4259" si="4067">EXP(AR$4341*$AM4258+AR$4342)*$AP4258/(100000000/($AM4258-$AL4258))</f>
        <v>174.2941683619153</v>
      </c>
      <c r="AT4258" s="3">
        <f t="shared" ref="AT4258:AT4259" si="4068">LN(AS4258/$C4258)</f>
        <v>3.0813029528103226</v>
      </c>
      <c r="AU4258" s="13" cm="1">
        <f t="array" ref="AU4258">$C4258*EXP(poly_from_str(100000000/$E4258,AU$4343))</f>
        <v>125.31958342620662</v>
      </c>
      <c r="AV4258" s="13">
        <f t="shared" ref="AV4258:AV4259" si="4069">LN(AS4258/AU4258)</f>
        <v>0.32987735249239297</v>
      </c>
      <c r="AW4258" s="13"/>
      <c r="AX4258" s="13"/>
      <c r="AY4258" s="13"/>
    </row>
    <row r="4259" spans="1:51" x14ac:dyDescent="0.25">
      <c r="A4259" t="s">
        <v>4567</v>
      </c>
      <c r="B4259" s="2" t="str">
        <f t="shared" si="3995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4061"/>
        <v>e</v>
      </c>
      <c r="N4259" t="str">
        <f t="shared" si="4062"/>
        <v>5/2</v>
      </c>
      <c r="O4259">
        <v>71536.38</v>
      </c>
      <c r="P4259" t="str">
        <f t="shared" si="4063"/>
        <v>o</v>
      </c>
      <c r="Q4259" t="str">
        <f t="shared" si="4064"/>
        <v>5/2</v>
      </c>
      <c r="R4259">
        <v>38</v>
      </c>
      <c r="AA4259" s="10">
        <f t="shared" si="4005"/>
        <v>2192.2289999999998</v>
      </c>
      <c r="AB4259" s="3">
        <f t="shared" si="4006"/>
        <v>45601.42</v>
      </c>
      <c r="AC4259" s="3" cm="1">
        <f t="array" ref="AC4259">100000000/LvacE(AA4259)</f>
        <v>45601.418402520583</v>
      </c>
      <c r="AD4259" s="10">
        <f t="shared" si="4007"/>
        <v>1.5400696825587243E-2</v>
      </c>
      <c r="AE4259" s="10" t="b">
        <f t="shared" si="4008"/>
        <v>1</v>
      </c>
      <c r="AJ4259" t="s">
        <v>4713</v>
      </c>
      <c r="AK4259" t="s">
        <v>4860</v>
      </c>
      <c r="AL4259">
        <v>25934.98</v>
      </c>
      <c r="AM4259">
        <v>71536.38</v>
      </c>
      <c r="AN4259" s="10" cm="1">
        <f t="array" ref="AN4259">Lair(100000000/($AM4259-$AL4259))</f>
        <v>2192.2298936803595</v>
      </c>
      <c r="AO4259" s="10">
        <f t="shared" si="4065"/>
        <v>2192.9151297986459</v>
      </c>
      <c r="AP4259" s="12">
        <v>352000000</v>
      </c>
      <c r="AQ4259" s="3">
        <v>0.51900000000000002</v>
      </c>
      <c r="AR4259" s="3">
        <f t="shared" si="4066"/>
        <v>-7.4262799963577066</v>
      </c>
      <c r="AS4259" s="13">
        <f t="shared" si="4067"/>
        <v>66.141515828750912</v>
      </c>
      <c r="AT4259" s="3">
        <f t="shared" si="4068"/>
        <v>2.4000371565502805</v>
      </c>
      <c r="AU4259" s="13" cm="1">
        <f t="array" ref="AU4259">$C4259*EXP(poly_from_str(100000000/$E4259,AU$4343))</f>
        <v>95.57150301825142</v>
      </c>
      <c r="AV4259" s="13">
        <f t="shared" si="4069"/>
        <v>-0.3680780642595376</v>
      </c>
      <c r="AW4259" s="13"/>
      <c r="AX4259" s="13"/>
      <c r="AY4259" s="13"/>
    </row>
    <row r="4260" spans="1:51" x14ac:dyDescent="0.25">
      <c r="A4260" t="s">
        <v>4568</v>
      </c>
      <c r="B4260" s="2" t="str">
        <f t="shared" si="3995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4005"/>
        <v>2192.0569999999998</v>
      </c>
      <c r="AB4260" s="3">
        <f t="shared" si="4006"/>
        <v>45605</v>
      </c>
      <c r="AC4260" s="3" cm="1">
        <f t="array" ref="AC4260">100000000/LvacE(AA4260)</f>
        <v>45604.996150198087</v>
      </c>
      <c r="AD4260" s="10">
        <f t="shared" si="4007"/>
        <v>1.5402328988296857E-2</v>
      </c>
      <c r="AE4260" s="10" t="b">
        <f t="shared" si="4008"/>
        <v>1</v>
      </c>
      <c r="AP4260"/>
      <c r="AQ4260"/>
      <c r="AU4260" s="13" cm="1">
        <f t="array" ref="AU4260">$C4260*EXP(poly_from_str(100000000/$E4260,AU$4343))</f>
        <v>15.965364654022498</v>
      </c>
    </row>
    <row r="4261" spans="1:51" x14ac:dyDescent="0.25">
      <c r="A4261" t="s">
        <v>4569</v>
      </c>
      <c r="B4261" s="2" t="str">
        <f t="shared" si="3995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4005"/>
        <v>2191.1010000000001</v>
      </c>
      <c r="AB4261" s="3">
        <f t="shared" si="4006"/>
        <v>45624.89</v>
      </c>
      <c r="AC4261" s="3" cm="1">
        <f t="array" ref="AC4261">100000000/LvacE(AA4261)</f>
        <v>45624.892005913709</v>
      </c>
      <c r="AD4261" s="10">
        <f t="shared" si="4007"/>
        <v>1.5411407782186606E-2</v>
      </c>
      <c r="AE4261" s="10" t="b">
        <f t="shared" si="4008"/>
        <v>1</v>
      </c>
      <c r="AP4261"/>
      <c r="AQ4261"/>
      <c r="AU4261" s="13" cm="1">
        <f t="array" ref="AU4261">$C4261*EXP(poly_from_str(100000000/$E4261,AU$4343))</f>
        <v>32.34385871396011</v>
      </c>
    </row>
    <row r="4262" spans="1:51" x14ac:dyDescent="0.25">
      <c r="A4262" t="s">
        <v>4570</v>
      </c>
      <c r="B4262" s="2" t="str">
        <f t="shared" si="3995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4070">$G4262&amp;""</f>
        <v>e</v>
      </c>
      <c r="N4262" t="str">
        <f t="shared" ref="N4262:N4264" si="4071">$H4262&amp;""</f>
        <v>9/2</v>
      </c>
      <c r="O4262">
        <v>68374.539999999994</v>
      </c>
      <c r="P4262" t="str">
        <f t="shared" ref="P4262:P4264" si="4072">$J4262&amp;""</f>
        <v>o</v>
      </c>
      <c r="Q4262" t="str">
        <f t="shared" ref="Q4262:Q4264" si="4073">$K4262&amp;""</f>
        <v>9/2</v>
      </c>
      <c r="R4262">
        <v>38</v>
      </c>
      <c r="AA4262" s="10">
        <f t="shared" si="4005"/>
        <v>2191.0050000000001</v>
      </c>
      <c r="AB4262" s="3">
        <f t="shared" si="4006"/>
        <v>45626.89</v>
      </c>
      <c r="AC4262" s="3" cm="1">
        <f t="array" ref="AC4262">100000000/LvacE(AA4262)</f>
        <v>45626.890875171906</v>
      </c>
      <c r="AD4262" s="10">
        <f t="shared" si="4007"/>
        <v>1.5412320116834948E-2</v>
      </c>
      <c r="AE4262" s="10" t="b">
        <f t="shared" si="4008"/>
        <v>1</v>
      </c>
      <c r="AJ4262" t="s">
        <v>4797</v>
      </c>
      <c r="AK4262" t="s">
        <v>4739</v>
      </c>
      <c r="AL4262">
        <v>22747.69</v>
      </c>
      <c r="AM4262">
        <v>68374.539999999994</v>
      </c>
      <c r="AN4262" s="10" cm="1">
        <f t="array" ref="AN4262">Lair(100000000/($AM4262-$AL4262))</f>
        <v>2191.0069719929447</v>
      </c>
      <c r="AO4262" s="10">
        <f t="shared" ref="AO4262:AO4264" si="4074">100000000/($AM4262-$AL4262)</f>
        <v>2191.6919533125783</v>
      </c>
      <c r="AP4262" s="12">
        <v>44700000</v>
      </c>
      <c r="AQ4262" s="3">
        <v>4.1000000000000002E-2</v>
      </c>
      <c r="AR4262" s="3"/>
      <c r="AS4262" s="13">
        <f t="shared" ref="AS4262:AS4264" si="4075">EXP(AR$4341*$AM4262+AR$4342)*$AP4262/(100000000/($AM4262-$AL4262))</f>
        <v>10.654504284913221</v>
      </c>
      <c r="AT4262" s="3"/>
      <c r="AU4262" s="13" cm="1">
        <f t="array" ref="AU4262">$C4262*EXP(poly_from_str(100000000/$E4262,AU$4343))</f>
        <v>16.19290969159227</v>
      </c>
      <c r="AV4262" s="13"/>
      <c r="AW4262" s="13"/>
      <c r="AX4262" s="13"/>
      <c r="AY4262" s="13"/>
    </row>
    <row r="4263" spans="1:51" x14ac:dyDescent="0.25">
      <c r="A4263" t="s">
        <v>4571</v>
      </c>
      <c r="B4263" s="2" t="str">
        <f t="shared" si="3995"/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4070"/>
        <v>e</v>
      </c>
      <c r="N4263" t="str">
        <f t="shared" si="4071"/>
        <v>5/2</v>
      </c>
      <c r="O4263">
        <v>67240.350000000006</v>
      </c>
      <c r="P4263" t="str">
        <f t="shared" si="4072"/>
        <v>o</v>
      </c>
      <c r="Q4263" t="str">
        <f t="shared" si="4073"/>
        <v>7/2</v>
      </c>
      <c r="R4263">
        <v>38</v>
      </c>
      <c r="AA4263" s="10">
        <f t="shared" si="4005"/>
        <v>2190.893</v>
      </c>
      <c r="AB4263" s="3">
        <f t="shared" si="4006"/>
        <v>45629.22</v>
      </c>
      <c r="AC4263" s="3" cm="1">
        <f t="array" ref="AC4263">100000000/LvacE(AA4263)</f>
        <v>45629.223110652165</v>
      </c>
      <c r="AD4263" s="10">
        <f t="shared" si="4007"/>
        <v>1.5413384658824546E-2</v>
      </c>
      <c r="AE4263" s="10" t="b">
        <f t="shared" si="4008"/>
        <v>1</v>
      </c>
      <c r="AJ4263" t="s">
        <v>4796</v>
      </c>
      <c r="AK4263" t="s">
        <v>4852</v>
      </c>
      <c r="AL4263">
        <v>21611.19</v>
      </c>
      <c r="AM4263">
        <v>67240.350000000006</v>
      </c>
      <c r="AN4263" s="10" cm="1">
        <f t="array" ref="AN4263">Lair(100000000/($AM4263-$AL4263))</f>
        <v>2190.8960395500403</v>
      </c>
      <c r="AO4263" s="10">
        <f t="shared" si="4074"/>
        <v>2191.580997765464</v>
      </c>
      <c r="AP4263" s="12">
        <v>66800000</v>
      </c>
      <c r="AQ4263" s="3">
        <v>0.18099999999999999</v>
      </c>
      <c r="AR4263" s="3">
        <f t="shared" ref="AR4263:AR4264" si="4076">LN(AU4263*100000000/($AM4263-$AL4263)/AP4263)</f>
        <v>-7.5387503887135967</v>
      </c>
      <c r="AS4263" s="13">
        <f t="shared" si="4075"/>
        <v>17.337646415292149</v>
      </c>
      <c r="AT4263" s="3">
        <f t="shared" ref="AT4263:AT4264" si="4077">LN(AS4263/$C4263)</f>
        <v>2.8528802306113272</v>
      </c>
      <c r="AU4263" s="13" cm="1">
        <f t="array" ref="AU4263">$C4263*EXP(poly_from_str(100000000/$E4263,AU$4343))</f>
        <v>16.217400498585747</v>
      </c>
      <c r="AV4263" s="13">
        <f t="shared" ref="AV4263:AV4264" si="4078">LN(AS4263/AU4263)</f>
        <v>6.6795459959899134E-2</v>
      </c>
      <c r="AW4263" s="13"/>
      <c r="AX4263" s="13"/>
      <c r="AY4263" s="13"/>
    </row>
    <row r="4264" spans="1:51" x14ac:dyDescent="0.25">
      <c r="A4264" t="s">
        <v>4572</v>
      </c>
      <c r="B4264" s="2" t="str">
        <f t="shared" si="3995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4070"/>
        <v>e</v>
      </c>
      <c r="N4264" t="str">
        <f t="shared" si="4071"/>
        <v>11/2</v>
      </c>
      <c r="O4264">
        <v>71736.45</v>
      </c>
      <c r="P4264" t="str">
        <f t="shared" si="4072"/>
        <v>o</v>
      </c>
      <c r="Q4264" t="str">
        <f t="shared" si="4073"/>
        <v>11/2</v>
      </c>
      <c r="R4264">
        <v>38</v>
      </c>
      <c r="AA4264" s="10">
        <f t="shared" si="4005"/>
        <v>2190.3159999999998</v>
      </c>
      <c r="AB4264" s="3">
        <f t="shared" si="4006"/>
        <v>45641.24</v>
      </c>
      <c r="AC4264" s="3" cm="1">
        <f t="array" ref="AC4264">100000000/LvacE(AA4264)</f>
        <v>45641.242066763167</v>
      </c>
      <c r="AD4264" s="10">
        <f t="shared" si="4007"/>
        <v>1.5418871538801518E-2</v>
      </c>
      <c r="AE4264" s="10" t="b">
        <f t="shared" si="4008"/>
        <v>1</v>
      </c>
      <c r="AJ4264" t="s">
        <v>4738</v>
      </c>
      <c r="AK4264" t="s">
        <v>4875</v>
      </c>
      <c r="AL4264">
        <v>26095.23</v>
      </c>
      <c r="AM4264">
        <v>71736.45</v>
      </c>
      <c r="AN4264" s="10" cm="1">
        <f t="array" ref="AN4264">Lair(100000000/($AM4264-$AL4264))</f>
        <v>2190.3170680781577</v>
      </c>
      <c r="AO4264" s="10">
        <f t="shared" si="4074"/>
        <v>2191.0019057334575</v>
      </c>
      <c r="AP4264" s="12">
        <v>884000000</v>
      </c>
      <c r="AQ4264" s="3">
        <v>0.69</v>
      </c>
      <c r="AR4264" s="3">
        <f t="shared" si="4076"/>
        <v>-8.0345154450044465</v>
      </c>
      <c r="AS4264" s="13">
        <f t="shared" si="4075"/>
        <v>163.77290544921578</v>
      </c>
      <c r="AT4264" s="3">
        <f t="shared" si="4077"/>
        <v>3.0190392036590437</v>
      </c>
      <c r="AU4264" s="13" cm="1">
        <f t="array" ref="AU4264">$C4264*EXP(poly_from_str(100000000/$E4264,AU$4343))</f>
        <v>130.75665053993228</v>
      </c>
      <c r="AV4264" s="13">
        <f t="shared" si="4078"/>
        <v>0.22514277913725328</v>
      </c>
      <c r="AW4264" s="13"/>
      <c r="AX4264" s="13"/>
      <c r="AY4264" s="13"/>
    </row>
    <row r="4265" spans="1:51" x14ac:dyDescent="0.25">
      <c r="A4265" t="s">
        <v>4573</v>
      </c>
      <c r="B4265" s="2" t="str">
        <f t="shared" si="3995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4005"/>
        <v>2189.9029999999998</v>
      </c>
      <c r="AB4265" s="3">
        <f t="shared" si="4006"/>
        <v>45649.85</v>
      </c>
      <c r="AC4265" s="3" cm="1">
        <f t="array" ref="AC4265">100000000/LvacE(AA4265)</f>
        <v>45649.848777970481</v>
      </c>
      <c r="AD4265" s="10">
        <f t="shared" si="4007"/>
        <v>1.5422801552847431E-2</v>
      </c>
      <c r="AE4265" s="10" t="b">
        <f t="shared" si="4008"/>
        <v>1</v>
      </c>
      <c r="AP4265"/>
      <c r="AQ4265"/>
      <c r="AU4265" s="13" cm="1">
        <f t="array" ref="AU4265">$C4265*EXP(poly_from_str(100000000/$E4265,AU$4343))</f>
        <v>82.182756614121857</v>
      </c>
    </row>
    <row r="4266" spans="1:51" x14ac:dyDescent="0.25">
      <c r="A4266" t="s">
        <v>4574</v>
      </c>
      <c r="B4266" s="2" t="str">
        <f t="shared" si="3995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4079">$G4266&amp;""</f>
        <v>e</v>
      </c>
      <c r="N4266" t="str">
        <f t="shared" ref="N4266:N4268" si="4080">$H4266&amp;""</f>
        <v>11/2</v>
      </c>
      <c r="O4266">
        <v>69138.28</v>
      </c>
      <c r="P4266" t="str">
        <f t="shared" ref="P4266:P4268" si="4081">$J4266&amp;""</f>
        <v>o</v>
      </c>
      <c r="Q4266" t="str">
        <f t="shared" ref="Q4266:Q4268" si="4082">$K4266&amp;""</f>
        <v>9/2</v>
      </c>
      <c r="R4266">
        <v>38</v>
      </c>
      <c r="AA4266" s="10">
        <f t="shared" si="4005"/>
        <v>2187.6869999999999</v>
      </c>
      <c r="AB4266" s="3">
        <f t="shared" si="4006"/>
        <v>45696.08</v>
      </c>
      <c r="AC4266" s="3" cm="1">
        <f t="array" ref="AC4266">100000000/LvacE(AA4266)</f>
        <v>45696.084580623181</v>
      </c>
      <c r="AD4266" s="10">
        <f t="shared" si="4007"/>
        <v>1.5443926526194831E-2</v>
      </c>
      <c r="AE4266" s="10" t="b">
        <f t="shared" si="4008"/>
        <v>1</v>
      </c>
      <c r="AJ4266" t="s">
        <v>4782</v>
      </c>
      <c r="AK4266" t="s">
        <v>4879</v>
      </c>
      <c r="AL4266">
        <v>23442.25</v>
      </c>
      <c r="AM4266">
        <v>69138.28</v>
      </c>
      <c r="AN4266" s="10" cm="1">
        <f t="array" ref="AN4266">Lair(100000000/($AM4266-$AL4266))</f>
        <v>2187.6896224010616</v>
      </c>
      <c r="AO4266" s="10">
        <f t="shared" ref="AO4266:AO4268" si="4083">100000000/($AM4266-$AL4266)</f>
        <v>2188.3739134449975</v>
      </c>
      <c r="AP4266" s="12">
        <v>336000000</v>
      </c>
      <c r="AQ4266" s="3">
        <v>0.13</v>
      </c>
      <c r="AR4266" s="3">
        <f t="shared" ref="AR4266:AR4267" si="4084">LN(AU4266*100000000/($AM4266-$AL4266)/AP4266)</f>
        <v>-7.5024104594518182</v>
      </c>
      <c r="AS4266" s="13">
        <f t="shared" ref="AS4266:AS4268" si="4085">EXP(AR$4341*$AM4266+AR$4342)*$AP4266/(100000000/($AM4266-$AL4266))</f>
        <v>75.740971596920204</v>
      </c>
      <c r="AT4266" s="3">
        <f t="shared" ref="AT4266:AT4267" si="4086">LN(AS4266/$C4266)</f>
        <v>2.7178813380127251</v>
      </c>
      <c r="AU4266" s="13" cm="1">
        <f t="array" ref="AU4266">$C4266*EXP(poly_from_str(100000000/$E4266,AU$4343))</f>
        <v>84.715384193974586</v>
      </c>
      <c r="AV4266" s="13">
        <f t="shared" ref="AV4266:AV4267" si="4087">LN(AS4266/AU4266)</f>
        <v>-0.11197796628811457</v>
      </c>
      <c r="AW4266" s="13"/>
      <c r="AX4266" s="13"/>
      <c r="AY4266" s="13"/>
    </row>
    <row r="4267" spans="1:51" x14ac:dyDescent="0.25">
      <c r="A4267" t="s">
        <v>4575</v>
      </c>
      <c r="B4267" s="2">
        <f t="shared" si="3995"/>
        <v>1</v>
      </c>
      <c r="C4267">
        <v>6</v>
      </c>
      <c r="D4267" t="s">
        <v>3264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4079"/>
        <v>e</v>
      </c>
      <c r="N4267" t="str">
        <f t="shared" si="4080"/>
        <v>9/2</v>
      </c>
      <c r="O4267">
        <v>67240.350000000006</v>
      </c>
      <c r="P4267" t="str">
        <f t="shared" si="4081"/>
        <v>o</v>
      </c>
      <c r="Q4267" t="str">
        <f t="shared" si="4082"/>
        <v>7/2</v>
      </c>
      <c r="R4267">
        <v>38</v>
      </c>
      <c r="AA4267" s="10">
        <f t="shared" si="4005"/>
        <v>2187.2489999999998</v>
      </c>
      <c r="AB4267" s="3">
        <f t="shared" si="4006"/>
        <v>45705.23</v>
      </c>
      <c r="AC4267" s="3" cm="1">
        <f t="array" ref="AC4267">100000000/LvacE(AA4267)</f>
        <v>45705.234331781758</v>
      </c>
      <c r="AD4267" s="10">
        <f t="shared" si="4007"/>
        <v>1.544810955034881E-2</v>
      </c>
      <c r="AE4267" s="10" t="b">
        <f t="shared" si="4008"/>
        <v>1</v>
      </c>
      <c r="AJ4267" t="s">
        <v>4798</v>
      </c>
      <c r="AK4267" t="s">
        <v>4852</v>
      </c>
      <c r="AL4267">
        <v>21535.17</v>
      </c>
      <c r="AM4267">
        <v>67240.350000000006</v>
      </c>
      <c r="AN4267" s="10" cm="1">
        <f t="array" ref="AN4267">Lair(100000000/($AM4267-$AL4267))</f>
        <v>2187.2516094629805</v>
      </c>
      <c r="AO4267" s="10">
        <f t="shared" si="4083"/>
        <v>2187.9358094640475</v>
      </c>
      <c r="AP4267" s="12">
        <v>240000000</v>
      </c>
      <c r="AQ4267" s="3">
        <v>0.16400000000000001</v>
      </c>
      <c r="AR4267" s="3">
        <f t="shared" si="4084"/>
        <v>-6.9777648503049967</v>
      </c>
      <c r="AS4267" s="13">
        <f t="shared" si="4085"/>
        <v>62.394724403173768</v>
      </c>
      <c r="AT4267" s="3">
        <f t="shared" si="4086"/>
        <v>2.3417212577522788</v>
      </c>
      <c r="AU4267" s="13" cm="1">
        <f t="array" ref="AU4267">$C4267*EXP(poly_from_str(100000000/$E4267,AU$4343))</f>
        <v>102.27556677009849</v>
      </c>
      <c r="AV4267" s="13">
        <f t="shared" si="4087"/>
        <v>-0.49419007844870039</v>
      </c>
      <c r="AW4267" s="13"/>
      <c r="AX4267" s="13"/>
      <c r="AY4267" s="13"/>
    </row>
    <row r="4268" spans="1:51" x14ac:dyDescent="0.25">
      <c r="A4268" t="s">
        <v>4575</v>
      </c>
      <c r="B4268" s="2">
        <f t="shared" si="3995"/>
        <v>2</v>
      </c>
      <c r="C4268">
        <v>6</v>
      </c>
      <c r="D4268" t="s">
        <v>3264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4079"/>
        <v>e</v>
      </c>
      <c r="N4268" t="str">
        <f t="shared" si="4080"/>
        <v>9/2</v>
      </c>
      <c r="O4268">
        <v>63768.66</v>
      </c>
      <c r="P4268" t="str">
        <f t="shared" si="4081"/>
        <v>o</v>
      </c>
      <c r="Q4268" t="str">
        <f t="shared" si="4082"/>
        <v>7/2</v>
      </c>
      <c r="R4268">
        <v>38</v>
      </c>
      <c r="AA4268" s="10">
        <f t="shared" si="4005"/>
        <v>2187.2489999999998</v>
      </c>
      <c r="AB4268" s="3">
        <f t="shared" si="4006"/>
        <v>45705.23</v>
      </c>
      <c r="AC4268" s="3" cm="1">
        <f t="array" ref="AC4268">100000000/LvacE(AA4268)</f>
        <v>45705.234331781758</v>
      </c>
      <c r="AD4268" s="10">
        <f t="shared" si="4007"/>
        <v>1.544810955034881E-2</v>
      </c>
      <c r="AE4268" s="10" t="b">
        <f t="shared" si="4008"/>
        <v>1</v>
      </c>
      <c r="AJ4268" t="s">
        <v>4744</v>
      </c>
      <c r="AK4268" t="s">
        <v>4850</v>
      </c>
      <c r="AL4268">
        <v>18063.36</v>
      </c>
      <c r="AM4268">
        <v>63768.66</v>
      </c>
      <c r="AN4268" s="10" cm="1">
        <f t="array" ref="AN4268">Lair(100000000/($AM4268-$AL4268))</f>
        <v>2187.2458661959436</v>
      </c>
      <c r="AO4268" s="10">
        <f t="shared" si="4083"/>
        <v>2187.930065003402</v>
      </c>
      <c r="AP4268" s="12">
        <v>23900000</v>
      </c>
      <c r="AQ4268" s="3">
        <v>2.9000000000000001E-2</v>
      </c>
      <c r="AR4268" s="3"/>
      <c r="AS4268" s="13">
        <f t="shared" si="4085"/>
        <v>8.0628087335031875</v>
      </c>
      <c r="AT4268" s="3"/>
      <c r="AU4268" s="13" cm="1">
        <f t="array" ref="AU4268">$C4268*EXP(poly_from_str(100000000/$E4268,AU$4343))</f>
        <v>102.27556677009849</v>
      </c>
      <c r="AV4268" s="13"/>
      <c r="AW4268" s="13"/>
      <c r="AX4268" s="13"/>
      <c r="AY4268" s="13"/>
    </row>
    <row r="4269" spans="1:51" x14ac:dyDescent="0.25">
      <c r="A4269" t="s">
        <v>4576</v>
      </c>
      <c r="B4269" s="2" t="str">
        <f t="shared" si="3995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4005"/>
        <v>2186.6019999999999</v>
      </c>
      <c r="AB4269" s="3">
        <f t="shared" si="4006"/>
        <v>45718.76</v>
      </c>
      <c r="AC4269" s="3" cm="1">
        <f t="array" ref="AC4269">100000000/LvacE(AA4269)</f>
        <v>45718.756765051789</v>
      </c>
      <c r="AD4269" s="10">
        <f t="shared" si="4007"/>
        <v>1.5454293182996216E-2</v>
      </c>
      <c r="AE4269" s="10" t="b">
        <f t="shared" si="4008"/>
        <v>1</v>
      </c>
      <c r="AP4269"/>
      <c r="AQ4269"/>
      <c r="AU4269" s="13" cm="1">
        <f t="array" ref="AU4269">$C4269*EXP(poly_from_str(100000000/$E4269,AU$4343))</f>
        <v>17.199623994518099</v>
      </c>
    </row>
    <row r="4270" spans="1:51" x14ac:dyDescent="0.25">
      <c r="A4270" t="s">
        <v>4577</v>
      </c>
      <c r="B4270" s="2" t="str">
        <f t="shared" si="3995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4005"/>
        <v>2184.9029999999998</v>
      </c>
      <c r="AB4270" s="3">
        <f t="shared" si="4006"/>
        <v>45754.3</v>
      </c>
      <c r="AC4270" s="3" cm="1">
        <f t="array" ref="AC4270">100000000/LvacE(AA4270)</f>
        <v>45754.3043335576</v>
      </c>
      <c r="AD4270" s="10">
        <f t="shared" si="4007"/>
        <v>1.5470557350499681E-2</v>
      </c>
      <c r="AE4270" s="10" t="b">
        <f t="shared" si="4008"/>
        <v>1</v>
      </c>
      <c r="AJ4270" t="s">
        <v>4791</v>
      </c>
      <c r="AK4270" t="s">
        <v>4862</v>
      </c>
      <c r="AL4270">
        <v>21294.89</v>
      </c>
      <c r="AM4270">
        <v>67049.179999999993</v>
      </c>
      <c r="AN4270" s="10" cm="1">
        <f t="array" ref="AN4270">Lair(100000000/($AM4270-$AL4270))</f>
        <v>2184.9036937473584</v>
      </c>
      <c r="AO4270" s="10">
        <f>100000000/($AM4270-$AL4270)</f>
        <v>2185.5874061208251</v>
      </c>
      <c r="AP4270" s="12">
        <v>124000000</v>
      </c>
      <c r="AQ4270" s="3">
        <v>0.22</v>
      </c>
      <c r="AR4270" s="3">
        <f>LN(AU4270*100000000/($AM4270-$AL4270)/AP4270)</f>
        <v>-6.6912378039670033</v>
      </c>
      <c r="AS4270" s="13">
        <f>EXP(AR$4341*$AM4270+AR$4342)*$AP4270/(100000000/($AM4270-$AL4270))</f>
        <v>32.738245340387103</v>
      </c>
      <c r="AT4270" s="3">
        <f>LN(AS4270/$C4270)</f>
        <v>2.1022496156296353</v>
      </c>
      <c r="AU4270" s="13" cm="1">
        <f t="array" ref="AU4270">$C4270*EXP(poly_from_str(100000000/$E4270,AU$4343))</f>
        <v>70.450787220063475</v>
      </c>
      <c r="AV4270" s="13">
        <f>LN(AS4270/AU4270)</f>
        <v>-0.76637043569970908</v>
      </c>
      <c r="AW4270" s="13"/>
      <c r="AX4270" s="13"/>
      <c r="AY4270" s="13"/>
    </row>
    <row r="4271" spans="1:51" x14ac:dyDescent="0.25">
      <c r="A4271" t="s">
        <v>4578</v>
      </c>
      <c r="B4271" s="2" t="str">
        <f t="shared" si="3995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4005"/>
        <v>2184.59</v>
      </c>
      <c r="AB4271" s="3">
        <f t="shared" si="4006"/>
        <v>45760.86</v>
      </c>
      <c r="AC4271" s="3" cm="1">
        <f t="array" ref="AC4271">100000000/LvacE(AA4271)</f>
        <v>45760.859150427852</v>
      </c>
      <c r="AD4271" s="10">
        <f t="shared" si="4007"/>
        <v>1.5473557772952326E-2</v>
      </c>
      <c r="AE4271" s="10" t="b">
        <f t="shared" si="4008"/>
        <v>1</v>
      </c>
      <c r="AP4271"/>
      <c r="AQ4271"/>
      <c r="AU4271" s="13" cm="1">
        <f t="array" ref="AU4271">$C4271*EXP(poly_from_str(100000000/$E4271,AU$4343))</f>
        <v>106.14271401321702</v>
      </c>
    </row>
    <row r="4272" spans="1:51" x14ac:dyDescent="0.25">
      <c r="A4272" t="s">
        <v>4579</v>
      </c>
      <c r="B4272" s="2" t="str">
        <f t="shared" si="3995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4005"/>
        <v>2181.4079999999999</v>
      </c>
      <c r="AB4272" s="3">
        <f t="shared" si="4006"/>
        <v>45827.6</v>
      </c>
      <c r="AC4272" s="3" cm="1">
        <f t="array" ref="AC4272">100000000/LvacE(AA4272)</f>
        <v>45827.603037132656</v>
      </c>
      <c r="AD4272" s="10">
        <f t="shared" si="4007"/>
        <v>1.5504133806498524E-2</v>
      </c>
      <c r="AE4272" s="10" t="b">
        <f t="shared" si="4008"/>
        <v>1</v>
      </c>
      <c r="AP4272"/>
      <c r="AQ4272"/>
      <c r="AU4272" s="13" cm="1">
        <f t="array" ref="AU4272">$C4272*EXP(poly_from_str(100000000/$E4272,AU$4343))</f>
        <v>111.05598654770266</v>
      </c>
    </row>
    <row r="4273" spans="1:51" x14ac:dyDescent="0.25">
      <c r="A4273" t="s">
        <v>4580</v>
      </c>
      <c r="B4273" s="2" t="str">
        <f t="shared" si="3995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4088">$G4273&amp;""</f>
        <v>e</v>
      </c>
      <c r="N4273" t="str">
        <f t="shared" ref="N4273:N4274" si="4089">$H4273&amp;""</f>
        <v>11/2</v>
      </c>
      <c r="O4273">
        <v>61357.04</v>
      </c>
      <c r="P4273" t="str">
        <f t="shared" ref="P4273:P4274" si="4090">$J4273&amp;""</f>
        <v>o</v>
      </c>
      <c r="Q4273" t="str">
        <f t="shared" ref="Q4273:Q4274" si="4091">$K4273&amp;""</f>
        <v>9/2</v>
      </c>
      <c r="R4273">
        <v>38</v>
      </c>
      <c r="AA4273" s="10">
        <f t="shared" si="4005"/>
        <v>2181.2170000000001</v>
      </c>
      <c r="AB4273" s="3">
        <f t="shared" si="4006"/>
        <v>45831.61</v>
      </c>
      <c r="AC4273" s="3" cm="1">
        <f t="array" ref="AC4273">100000000/LvacE(AA4273)</f>
        <v>45831.615542178493</v>
      </c>
      <c r="AD4273" s="10">
        <f t="shared" si="4007"/>
        <v>1.5505973395168498E-2</v>
      </c>
      <c r="AE4273" s="10" t="b">
        <f t="shared" si="4008"/>
        <v>1</v>
      </c>
      <c r="AJ4273" t="s">
        <v>4734</v>
      </c>
      <c r="AK4273" t="s">
        <v>4903</v>
      </c>
      <c r="AL4273">
        <v>15525.5</v>
      </c>
      <c r="AM4273">
        <v>61357.04</v>
      </c>
      <c r="AN4273" s="10" cm="1">
        <f t="array" ref="AN4273">Lair(100000000/($AM4273-$AL4273))</f>
        <v>2181.2206049460865</v>
      </c>
      <c r="AO4273" s="10">
        <f t="shared" ref="AO4273:AO4274" si="4092">100000000/($AM4273-$AL4273)</f>
        <v>2181.9035537535942</v>
      </c>
      <c r="AP4273" s="12">
        <v>606000000</v>
      </c>
      <c r="AQ4273" s="3">
        <v>0.34799999999999998</v>
      </c>
      <c r="AR4273" s="3">
        <f t="shared" ref="AR4273:AR4274" si="4093">LN(AU4273*100000000/($AM4273-$AL4273)/AP4273)</f>
        <v>-7.4161940093091481</v>
      </c>
      <c r="AS4273" s="13">
        <f t="shared" ref="AS4273:AS4274" si="4094">EXP(AR$4341*$AM4273+AR$4342)*$AP4273/(100000000/($AM4273-$AL4273))</f>
        <v>245.67413506665807</v>
      </c>
      <c r="AT4273" s="3">
        <f t="shared" ref="AT4273:AT4274" si="4095">LN(AS4273/$C4273)</f>
        <v>3.3067814262656263</v>
      </c>
      <c r="AU4273" s="13" cm="1">
        <f t="array" ref="AU4273">$C4273*EXP(poly_from_str(100000000/$E4273,AU$4343))</f>
        <v>167.04171475127907</v>
      </c>
      <c r="AV4273" s="13">
        <f t="shared" ref="AV4273:AV4274" si="4096">LN(AS4273/AU4273)</f>
        <v>0.38576243344733618</v>
      </c>
      <c r="AW4273" s="13"/>
      <c r="AX4273" s="13"/>
      <c r="AY4273" s="13"/>
    </row>
    <row r="4274" spans="1:51" x14ac:dyDescent="0.25">
      <c r="A4274" t="s">
        <v>4581</v>
      </c>
      <c r="B4274" s="2" t="str">
        <f t="shared" si="3995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4088"/>
        <v>e</v>
      </c>
      <c r="N4274" t="str">
        <f t="shared" si="4089"/>
        <v>5/2</v>
      </c>
      <c r="O4274">
        <v>66681.14</v>
      </c>
      <c r="P4274" t="str">
        <f t="shared" si="4090"/>
        <v>o</v>
      </c>
      <c r="Q4274" t="str">
        <f t="shared" si="4091"/>
        <v>5/2</v>
      </c>
      <c r="R4274">
        <v>39</v>
      </c>
      <c r="AA4274" s="10">
        <f t="shared" si="4005"/>
        <v>2181.1590000000001</v>
      </c>
      <c r="AB4274" s="3">
        <f t="shared" si="4006"/>
        <v>45832.83</v>
      </c>
      <c r="AC4274" s="3" cm="1">
        <f t="array" ref="AC4274">100000000/LvacE(AA4274)</f>
        <v>45832.834138273021</v>
      </c>
      <c r="AD4274" s="10">
        <f t="shared" si="4007"/>
        <v>1.5506532109367779E-2</v>
      </c>
      <c r="AE4274" s="10" t="b">
        <f t="shared" si="4008"/>
        <v>1</v>
      </c>
      <c r="AJ4274" t="s">
        <v>4800</v>
      </c>
      <c r="AK4274" t="s">
        <v>4851</v>
      </c>
      <c r="AL4274">
        <v>20848.39</v>
      </c>
      <c r="AM4274">
        <v>66681.14</v>
      </c>
      <c r="AN4274" s="10" cm="1">
        <f t="array" ref="AN4274">Lair(100000000/($AM4274-$AL4274))</f>
        <v>2181.1630138854703</v>
      </c>
      <c r="AO4274" s="10">
        <f t="shared" si="4092"/>
        <v>2181.8459507666462</v>
      </c>
      <c r="AP4274" s="12">
        <v>52700000</v>
      </c>
      <c r="AQ4274" s="3">
        <v>5.7000000000000002E-2</v>
      </c>
      <c r="AR4274" s="3">
        <f t="shared" si="4093"/>
        <v>-7.1703450547069085</v>
      </c>
      <c r="AS4274" s="13">
        <f t="shared" si="4094"/>
        <v>14.327939173594856</v>
      </c>
      <c r="AT4274" s="3">
        <f t="shared" si="4095"/>
        <v>2.662211419467075</v>
      </c>
      <c r="AU4274" s="13" cm="1">
        <f t="array" ref="AU4274">$C4274*EXP(poly_from_str(100000000/$E4274,AU$4343))</f>
        <v>18.575702228432622</v>
      </c>
      <c r="AV4274" s="13">
        <f t="shared" si="4096"/>
        <v>-0.25964297545217568</v>
      </c>
      <c r="AW4274" s="13"/>
      <c r="AX4274" s="13"/>
      <c r="AY4274" s="13"/>
    </row>
    <row r="4275" spans="1:51" x14ac:dyDescent="0.25">
      <c r="A4275" t="s">
        <v>4582</v>
      </c>
      <c r="B4275" s="2" t="str">
        <f t="shared" si="3995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4005"/>
        <v>2180.799</v>
      </c>
      <c r="AB4275" s="3">
        <f t="shared" si="4006"/>
        <v>45840.4</v>
      </c>
      <c r="AC4275" s="3" cm="1">
        <f t="array" ref="AC4275">100000000/LvacE(AA4275)</f>
        <v>45840.39928757654</v>
      </c>
      <c r="AD4275" s="10">
        <f t="shared" si="4007"/>
        <v>1.5510000987614295E-2</v>
      </c>
      <c r="AE4275" s="10" t="b">
        <f t="shared" si="4008"/>
        <v>1</v>
      </c>
      <c r="AP4275"/>
      <c r="AQ4275"/>
      <c r="AU4275" s="13" cm="1">
        <f t="array" ref="AU4275">$C4275*EXP(poly_from_str(100000000/$E4275,AU$4343))</f>
        <v>18.67235184957573</v>
      </c>
    </row>
    <row r="4276" spans="1:51" x14ac:dyDescent="0.25">
      <c r="A4276" t="s">
        <v>4583</v>
      </c>
      <c r="B4276" s="2" t="str">
        <f t="shared" si="3995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4005"/>
        <v>2179.8180000000002</v>
      </c>
      <c r="AB4276" s="3">
        <f t="shared" si="4006"/>
        <v>45861.03</v>
      </c>
      <c r="AC4276" s="3" cm="1">
        <f t="array" ref="AC4276">100000000/LvacE(AA4276)</f>
        <v>45861.026998506204</v>
      </c>
      <c r="AD4276" s="10">
        <f t="shared" si="4007"/>
        <v>1.5519462404316828E-2</v>
      </c>
      <c r="AE4276" s="10" t="b">
        <f t="shared" si="4008"/>
        <v>1</v>
      </c>
      <c r="AP4276"/>
      <c r="AQ4276"/>
      <c r="AU4276" s="13" cm="1">
        <f t="array" ref="AU4276">$C4276*EXP(poly_from_str(100000000/$E4276,AU$4343))</f>
        <v>18.939285845433332</v>
      </c>
    </row>
    <row r="4277" spans="1:51" x14ac:dyDescent="0.25">
      <c r="A4277" t="s">
        <v>4584</v>
      </c>
      <c r="B4277" s="2" t="str">
        <f t="shared" si="3995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4005"/>
        <v>2179.6840000000002</v>
      </c>
      <c r="AB4277" s="3">
        <f t="shared" si="4006"/>
        <v>45863.85</v>
      </c>
      <c r="AC4277" s="3" cm="1">
        <f t="array" ref="AC4277">100000000/LvacE(AA4277)</f>
        <v>45863.846088091203</v>
      </c>
      <c r="AD4277" s="10">
        <f t="shared" si="4007"/>
        <v>1.5520755781134144E-2</v>
      </c>
      <c r="AE4277" s="10" t="b">
        <f t="shared" si="4008"/>
        <v>1</v>
      </c>
      <c r="AP4277"/>
      <c r="AQ4277"/>
      <c r="AU4277" s="13" cm="1">
        <f t="array" ref="AU4277">$C4277*EXP(poly_from_str(100000000/$E4277,AU$4343))</f>
        <v>18.976181223384678</v>
      </c>
    </row>
    <row r="4278" spans="1:51" x14ac:dyDescent="0.25">
      <c r="A4278" t="s">
        <v>4585</v>
      </c>
      <c r="B4278" s="2" t="str">
        <f t="shared" si="3995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4097">$G4278&amp;""</f>
        <v>e</v>
      </c>
      <c r="N4278" t="str">
        <f t="shared" ref="N4278:N4279" si="4098">$H4278&amp;""</f>
        <v>11/2</v>
      </c>
      <c r="O4278">
        <v>64150.94</v>
      </c>
      <c r="P4278" t="str">
        <f t="shared" ref="P4278:P4279" si="4099">$J4278&amp;""</f>
        <v>o</v>
      </c>
      <c r="Q4278" t="str">
        <f t="shared" ref="Q4278:Q4279" si="4100">$K4278&amp;""</f>
        <v>11/2</v>
      </c>
      <c r="R4278">
        <v>39</v>
      </c>
      <c r="AA4278" s="10">
        <f t="shared" si="4005"/>
        <v>2177.5169999999998</v>
      </c>
      <c r="AB4278" s="3">
        <f t="shared" si="4006"/>
        <v>45909.48</v>
      </c>
      <c r="AC4278" s="3" cm="1">
        <f t="array" ref="AC4278">100000000/LvacE(AA4278)</f>
        <v>45909.48355794682</v>
      </c>
      <c r="AD4278" s="10">
        <f t="shared" si="4007"/>
        <v>1.5541704968996067E-2</v>
      </c>
      <c r="AE4278" s="10" t="b">
        <f t="shared" si="4008"/>
        <v>1</v>
      </c>
      <c r="AJ4278" t="s">
        <v>4724</v>
      </c>
      <c r="AK4278" t="s">
        <v>4931</v>
      </c>
      <c r="AL4278">
        <v>18241.54</v>
      </c>
      <c r="AM4278">
        <v>64150.94</v>
      </c>
      <c r="AN4278" s="10" cm="1">
        <f t="array" ref="AN4278">Lair(100000000/($AM4278-$AL4278))</f>
        <v>2177.5209731518976</v>
      </c>
      <c r="AO4278" s="10">
        <f t="shared" ref="AO4278:AO4279" si="4101">100000000/($AM4278-$AL4278)</f>
        <v>2178.2031566520145</v>
      </c>
      <c r="AP4278" s="12">
        <v>186000000</v>
      </c>
      <c r="AQ4278" s="3">
        <v>0.224</v>
      </c>
      <c r="AR4278" s="3">
        <f t="shared" ref="AR4278:AR4279" si="4102">LN(AU4278*100000000/($AM4278-$AL4278)/AP4278)</f>
        <v>-6.588369342938007</v>
      </c>
      <c r="AS4278" s="13">
        <f t="shared" ref="AS4278:AS4279" si="4103">EXP(AR$4341*$AM4278+AR$4342)*$AP4278/(100000000/($AM4278-$AL4278))</f>
        <v>61.245901783779949</v>
      </c>
      <c r="AT4278" s="3">
        <f t="shared" ref="AT4278:AT4279" si="4104">LN(AS4278/$C4278)</f>
        <v>2.3231374683056583</v>
      </c>
      <c r="AU4278" s="13" cm="1">
        <f t="array" ref="AU4278">$C4278*EXP(poly_from_str(100000000/$E4278,AU$4343))</f>
        <v>117.52279478001905</v>
      </c>
      <c r="AV4278" s="13">
        <f t="shared" ref="AV4278:AV4279" si="4105">LN(AS4278/AU4278)</f>
        <v>-0.65173537536311865</v>
      </c>
      <c r="AW4278" s="13"/>
      <c r="AX4278" s="13"/>
      <c r="AY4278" s="13"/>
    </row>
    <row r="4279" spans="1:51" x14ac:dyDescent="0.25">
      <c r="A4279" t="s">
        <v>4586</v>
      </c>
      <c r="B4279" s="2" t="str">
        <f t="shared" si="3995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4097"/>
        <v>e</v>
      </c>
      <c r="N4279" t="str">
        <f t="shared" si="4098"/>
        <v>9/2</v>
      </c>
      <c r="O4279">
        <v>75762.23</v>
      </c>
      <c r="P4279" t="str">
        <f t="shared" si="4099"/>
        <v>o</v>
      </c>
      <c r="Q4279" t="str">
        <f t="shared" si="4100"/>
        <v>9/2</v>
      </c>
      <c r="R4279">
        <v>39</v>
      </c>
      <c r="AA4279" s="10">
        <f t="shared" si="4005"/>
        <v>2176.6759999999999</v>
      </c>
      <c r="AB4279" s="3">
        <f t="shared" si="4006"/>
        <v>45927.22</v>
      </c>
      <c r="AC4279" s="3" cm="1">
        <f t="array" ref="AC4279">100000000/LvacE(AA4279)</f>
        <v>45927.21966270906</v>
      </c>
      <c r="AD4279" s="10">
        <f t="shared" si="4007"/>
        <v>1.554985208242041E-2</v>
      </c>
      <c r="AE4279" s="10" t="b">
        <f t="shared" si="4008"/>
        <v>1</v>
      </c>
      <c r="AJ4279" t="s">
        <v>4697</v>
      </c>
      <c r="AK4279" t="s">
        <v>4932</v>
      </c>
      <c r="AL4279">
        <v>29835.09</v>
      </c>
      <c r="AM4279">
        <v>75762.23</v>
      </c>
      <c r="AN4279" s="10" cm="1">
        <f t="array" ref="AN4279">Lair(100000000/($AM4279-$AL4279))</f>
        <v>2176.679785496035</v>
      </c>
      <c r="AO4279" s="10">
        <f t="shared" si="4101"/>
        <v>2177.3617952260906</v>
      </c>
      <c r="AP4279" s="12">
        <v>439000000</v>
      </c>
      <c r="AQ4279" s="3">
        <v>0.27</v>
      </c>
      <c r="AR4279" s="3">
        <f t="shared" si="4102"/>
        <v>-8.128235451370001</v>
      </c>
      <c r="AS4279" s="13">
        <f t="shared" si="4103"/>
        <v>60.500178952578622</v>
      </c>
      <c r="AT4279" s="3">
        <f t="shared" si="4104"/>
        <v>3.0040340342581731</v>
      </c>
      <c r="AU4279" s="13" cm="1">
        <f t="array" ref="AU4279">$C4279*EXP(poly_from_str(100000000/$E4279,AU$4343))</f>
        <v>59.495773857765812</v>
      </c>
      <c r="AV4279" s="13">
        <f t="shared" si="4105"/>
        <v>1.6741040497852636E-2</v>
      </c>
      <c r="AW4279" s="13"/>
      <c r="AX4279" s="13"/>
      <c r="AY4279" s="13"/>
    </row>
    <row r="4280" spans="1:51" x14ac:dyDescent="0.25">
      <c r="A4280" t="s">
        <v>4587</v>
      </c>
      <c r="B4280" s="2" t="str">
        <f t="shared" si="3995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4005"/>
        <v>2175.8049999999998</v>
      </c>
      <c r="AB4280" s="3">
        <f t="shared" si="4006"/>
        <v>45945.599999999999</v>
      </c>
      <c r="AC4280" s="3" cm="1">
        <f t="array" ref="AC4280">100000000/LvacE(AA4280)</f>
        <v>45945.602896276665</v>
      </c>
      <c r="AD4280" s="10">
        <f t="shared" si="4007"/>
        <v>1.5558299777846975E-2</v>
      </c>
      <c r="AE4280" s="10" t="b">
        <f t="shared" si="4008"/>
        <v>1</v>
      </c>
      <c r="AP4280"/>
      <c r="AQ4280"/>
      <c r="AU4280" s="13" cm="1">
        <f t="array" ref="AU4280">$C4280*EXP(poly_from_str(100000000/$E4280,AU$4343))</f>
        <v>20.089968262316489</v>
      </c>
    </row>
    <row r="4281" spans="1:51" x14ac:dyDescent="0.25">
      <c r="A4281" t="s">
        <v>4588</v>
      </c>
      <c r="B4281" s="2" t="str">
        <f t="shared" si="3995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4005"/>
        <v>2174.893</v>
      </c>
      <c r="AB4281" s="3">
        <f t="shared" si="4006"/>
        <v>45964.87</v>
      </c>
      <c r="AC4281" s="3" cm="1">
        <f t="array" ref="AC4281">100000000/LvacE(AA4281)</f>
        <v>45964.86724782017</v>
      </c>
      <c r="AD4281" s="10">
        <f t="shared" si="4007"/>
        <v>1.5567156004414967E-2</v>
      </c>
      <c r="AE4281" s="10" t="b">
        <f t="shared" si="4008"/>
        <v>1</v>
      </c>
      <c r="AP4281"/>
      <c r="AQ4281"/>
      <c r="AU4281" s="13" cm="1">
        <f t="array" ref="AU4281">$C4281*EXP(poly_from_str(100000000/$E4281,AU$4343))</f>
        <v>20.365435745898282</v>
      </c>
    </row>
    <row r="4282" spans="1:51" x14ac:dyDescent="0.25">
      <c r="A4282" t="s">
        <v>4589</v>
      </c>
      <c r="B4282" s="2" t="str">
        <f t="shared" si="3995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4005"/>
        <v>2174.8200000000002</v>
      </c>
      <c r="AB4282" s="3">
        <f t="shared" si="4006"/>
        <v>45966.41</v>
      </c>
      <c r="AC4282" s="3" cm="1">
        <f t="array" ref="AC4282">100000000/LvacE(AA4282)</f>
        <v>45966.409939086159</v>
      </c>
      <c r="AD4282" s="10">
        <f t="shared" si="4007"/>
        <v>1.5567865372556385E-2</v>
      </c>
      <c r="AE4282" s="10" t="b">
        <f t="shared" si="4008"/>
        <v>1</v>
      </c>
      <c r="AJ4282" t="s">
        <v>4820</v>
      </c>
      <c r="AK4282" t="s">
        <v>4840</v>
      </c>
      <c r="AL4282">
        <v>17627</v>
      </c>
      <c r="AM4282">
        <v>63593.35</v>
      </c>
      <c r="AN4282" s="10" cm="1">
        <f t="array" ref="AN4282">Lair(100000000/($AM4282-$AL4282))</f>
        <v>2174.8228458493404</v>
      </c>
      <c r="AO4282" s="10">
        <f>100000000/($AM4282-$AL4282)</f>
        <v>2175.5044722933189</v>
      </c>
      <c r="AP4282" s="12">
        <v>4340000</v>
      </c>
      <c r="AQ4282" s="3">
        <v>3.0000000000000001E-3</v>
      </c>
      <c r="AR4282" s="3"/>
      <c r="AS4282" s="13">
        <f>EXP(AR$4341*$AM4282+AR$4342)*$AP4282/(100000000/($AM4282-$AL4282))</f>
        <v>1.4919882892255312</v>
      </c>
      <c r="AT4282" s="3"/>
      <c r="AU4282" s="13" cm="1">
        <f t="array" ref="AU4282">$C4282*EXP(poly_from_str(100000000/$E4282,AU$4343))</f>
        <v>20.38767111123218</v>
      </c>
      <c r="AV4282" s="13"/>
      <c r="AW4282" s="13"/>
      <c r="AX4282" s="13"/>
      <c r="AY4282" s="13"/>
    </row>
    <row r="4283" spans="1:51" x14ac:dyDescent="0.25">
      <c r="A4283" t="s">
        <v>4590</v>
      </c>
      <c r="B4283" s="2" t="str">
        <f t="shared" si="3995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4005"/>
        <v>2173.5</v>
      </c>
      <c r="AB4283" s="3">
        <f t="shared" si="4006"/>
        <v>45994.32</v>
      </c>
      <c r="AC4283" s="3" cm="1">
        <f t="array" ref="AC4283">100000000/LvacE(AA4283)</f>
        <v>45994.323052140913</v>
      </c>
      <c r="AD4283" s="10">
        <f t="shared" si="4007"/>
        <v>1.5580704635873226E-2</v>
      </c>
      <c r="AE4283" s="10" t="b">
        <f t="shared" si="4008"/>
        <v>1</v>
      </c>
      <c r="AP4283"/>
      <c r="AQ4283"/>
      <c r="AU4283" s="13" cm="1">
        <f t="array" ref="AU4283">$C4283*EXP(poly_from_str(100000000/$E4283,AU$4343))</f>
        <v>103.98208374011833</v>
      </c>
    </row>
    <row r="4284" spans="1:51" x14ac:dyDescent="0.25">
      <c r="A4284" t="s">
        <v>4591</v>
      </c>
      <c r="B4284" s="2" t="str">
        <f t="shared" si="3995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4005"/>
        <v>2172.3420000000001</v>
      </c>
      <c r="AB4284" s="3">
        <f t="shared" si="4006"/>
        <v>46018.84</v>
      </c>
      <c r="AC4284" s="3" cm="1">
        <f t="array" ref="AC4284">100000000/LvacE(AA4284)</f>
        <v>46018.838390991259</v>
      </c>
      <c r="AD4284" s="10">
        <f t="shared" si="4007"/>
        <v>1.5591987447416487E-2</v>
      </c>
      <c r="AE4284" s="10" t="b">
        <f t="shared" si="4008"/>
        <v>1</v>
      </c>
      <c r="AP4284"/>
      <c r="AQ4284"/>
      <c r="AU4284" s="13" cm="1">
        <f t="array" ref="AU4284">$C4284*EXP(poly_from_str(100000000/$E4284,AU$4343))</f>
        <v>42.32942705899579</v>
      </c>
    </row>
    <row r="4285" spans="1:51" x14ac:dyDescent="0.25">
      <c r="A4285" t="s">
        <v>4592</v>
      </c>
      <c r="B4285" s="2" t="str">
        <f t="shared" si="3995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4005"/>
        <v>2172.1860000000001</v>
      </c>
      <c r="AB4285" s="3">
        <f t="shared" si="4006"/>
        <v>46022.14</v>
      </c>
      <c r="AC4285" s="3" cm="1">
        <f t="array" ref="AC4285">100000000/LvacE(AA4285)</f>
        <v>46022.142972809037</v>
      </c>
      <c r="AD4285" s="10">
        <f t="shared" si="4007"/>
        <v>1.5593508790869896E-2</v>
      </c>
      <c r="AE4285" s="10" t="b">
        <f t="shared" si="4008"/>
        <v>1</v>
      </c>
      <c r="AP4285"/>
      <c r="AQ4285"/>
      <c r="AU4285" s="13" cm="1">
        <f t="array" ref="AU4285">$C4285*EXP(poly_from_str(100000000/$E4285,AU$4343))</f>
        <v>21.214950763945268</v>
      </c>
    </row>
    <row r="4286" spans="1:51" x14ac:dyDescent="0.25">
      <c r="A4286" t="s">
        <v>4593</v>
      </c>
      <c r="B4286" s="2" t="str">
        <f t="shared" si="3995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4005"/>
        <v>2172.0940000000001</v>
      </c>
      <c r="AB4286" s="3">
        <f t="shared" si="4006"/>
        <v>46024.09</v>
      </c>
      <c r="AC4286" s="3" cm="1">
        <f t="array" ref="AC4286">100000000/LvacE(AA4286)</f>
        <v>46024.0920512097</v>
      </c>
      <c r="AD4286" s="10">
        <f t="shared" si="4007"/>
        <v>1.5594406147065851E-2</v>
      </c>
      <c r="AE4286" s="10" t="b">
        <f t="shared" si="4008"/>
        <v>1</v>
      </c>
      <c r="AP4286"/>
      <c r="AQ4286"/>
      <c r="AU4286" s="13" cm="1">
        <f t="array" ref="AU4286">$C4286*EXP(poly_from_str(100000000/$E4286,AU$4343))</f>
        <v>21.244711977176436</v>
      </c>
    </row>
    <row r="4287" spans="1:51" x14ac:dyDescent="0.25">
      <c r="A4287" t="s">
        <v>4594</v>
      </c>
      <c r="B4287" s="2" t="str">
        <f t="shared" si="3995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4106">$G4287&amp;""</f>
        <v>e</v>
      </c>
      <c r="N4287" t="str">
        <f t="shared" ref="N4287:N4289" si="4107">$H4287&amp;""</f>
        <v>5/2</v>
      </c>
      <c r="O4287">
        <v>71978.52</v>
      </c>
      <c r="P4287" t="str">
        <f t="shared" ref="P4287:P4289" si="4108">$J4287&amp;""</f>
        <v>o</v>
      </c>
      <c r="Q4287" t="str">
        <f t="shared" ref="Q4287:Q4289" si="4109">$K4287&amp;""</f>
        <v>7/2</v>
      </c>
      <c r="R4287">
        <v>39</v>
      </c>
      <c r="AA4287" s="10">
        <f t="shared" si="4005"/>
        <v>2171.1729999999998</v>
      </c>
      <c r="AB4287" s="3">
        <f t="shared" si="4006"/>
        <v>46043.61</v>
      </c>
      <c r="AC4287" s="3" cm="1">
        <f t="array" ref="AC4287">100000000/LvacE(AA4287)</f>
        <v>46043.613122266863</v>
      </c>
      <c r="AD4287" s="10">
        <f t="shared" si="4007"/>
        <v>1.5603395750192837E-2</v>
      </c>
      <c r="AE4287" s="10" t="b">
        <f t="shared" si="4008"/>
        <v>1</v>
      </c>
      <c r="AJ4287" t="s">
        <v>4713</v>
      </c>
      <c r="AK4287" t="s">
        <v>4716</v>
      </c>
      <c r="AL4287">
        <v>25934.98</v>
      </c>
      <c r="AM4287">
        <v>71978.52</v>
      </c>
      <c r="AN4287" s="10" cm="1">
        <f t="array" ref="AN4287">Lair(100000000/($AM4287-$AL4287))</f>
        <v>2171.1764582241226</v>
      </c>
      <c r="AO4287" s="10">
        <f t="shared" ref="AO4287:AO4289" si="4110">100000000/($AM4287-$AL4287)</f>
        <v>2171.8573332980041</v>
      </c>
      <c r="AP4287" s="12">
        <v>406000000</v>
      </c>
      <c r="AQ4287" s="3">
        <v>0.42599999999999999</v>
      </c>
      <c r="AR4287" s="3">
        <f>LN(AU4287*100000000/($AM4287-$AL4287)/AP4287)</f>
        <v>-7.6820527107630587</v>
      </c>
      <c r="AS4287" s="13">
        <f t="shared" ref="AS4287:AS4289" si="4111">EXP(AR$4341*$AM4287+AR$4342)*$AP4287/(100000000/($AM4287-$AL4287))</f>
        <v>74.513959831641088</v>
      </c>
      <c r="AT4287" s="3">
        <f t="shared" ref="AT4287:AT4289" si="4112">LN(AS4287/$C4287)</f>
        <v>2.9246921270026136</v>
      </c>
      <c r="AU4287" s="13" cm="1">
        <f t="array" ref="AU4287">$C4287*EXP(poly_from_str(100000000/$E4287,AU$4343))</f>
        <v>86.18300602840722</v>
      </c>
      <c r="AV4287" s="13">
        <f>LN(AS4287/AU4287)</f>
        <v>-0.14548652426920347</v>
      </c>
      <c r="AW4287" s="13"/>
      <c r="AX4287" s="13"/>
      <c r="AY4287" s="13"/>
    </row>
    <row r="4288" spans="1:51" x14ac:dyDescent="0.25">
      <c r="A4288" t="s">
        <v>4595</v>
      </c>
      <c r="B4288" s="2" t="str">
        <f t="shared" si="3995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4106"/>
        <v>e</v>
      </c>
      <c r="N4288" t="str">
        <f t="shared" si="4107"/>
        <v>9/2</v>
      </c>
      <c r="O4288">
        <v>68801.67</v>
      </c>
      <c r="P4288" t="str">
        <f t="shared" si="4108"/>
        <v>o</v>
      </c>
      <c r="Q4288" t="str">
        <f t="shared" si="4109"/>
        <v>7/2</v>
      </c>
      <c r="R4288">
        <v>39</v>
      </c>
      <c r="AA4288" s="10">
        <f t="shared" si="4005"/>
        <v>2170.6799999999998</v>
      </c>
      <c r="AB4288" s="3">
        <f t="shared" si="4006"/>
        <v>46054.07</v>
      </c>
      <c r="AC4288" s="3" cm="1">
        <f t="array" ref="AC4288">100000000/LvacE(AA4288)</f>
        <v>46054.069317237008</v>
      </c>
      <c r="AD4288" s="10">
        <f t="shared" si="4007"/>
        <v>1.5608212476559653E-2</v>
      </c>
      <c r="AE4288" s="10" t="b">
        <f t="shared" si="4008"/>
        <v>1</v>
      </c>
      <c r="AJ4288" t="s">
        <v>4797</v>
      </c>
      <c r="AK4288" t="s">
        <v>4857</v>
      </c>
      <c r="AL4288">
        <v>22747.69</v>
      </c>
      <c r="AM4288">
        <v>68801.67</v>
      </c>
      <c r="AN4288" s="10" cm="1">
        <f t="array" ref="AN4288">Lair(100000000/($AM4288-$AL4288))</f>
        <v>2170.684220087669</v>
      </c>
      <c r="AO4288" s="10">
        <f t="shared" si="4110"/>
        <v>2171.3649938615513</v>
      </c>
      <c r="AP4288" s="12">
        <v>7090000</v>
      </c>
      <c r="AQ4288" s="3">
        <v>8.9999999999999993E-3</v>
      </c>
      <c r="AR4288" s="3"/>
      <c r="AS4288" s="13">
        <f t="shared" si="4111"/>
        <v>1.6519521080683324</v>
      </c>
      <c r="AT4288" s="3"/>
      <c r="AU4288" s="13" cm="1">
        <f t="array" ref="AU4288">$C4288*EXP(poly_from_str(100000000/$E4288,AU$4343))</f>
        <v>65.128291669628439</v>
      </c>
      <c r="AV4288" s="13"/>
      <c r="AW4288" s="13"/>
      <c r="AX4288" s="13"/>
      <c r="AY4288" s="13"/>
    </row>
    <row r="4289" spans="1:51" x14ac:dyDescent="0.25">
      <c r="A4289" t="s">
        <v>4596</v>
      </c>
      <c r="B4289" s="2" t="str">
        <f t="shared" ref="B4289:B4334" si="4113">IF(OR(A4289=A4288,A4289=A4290),IF(B4288="",1,B4288+1),"")</f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4106"/>
        <v>e</v>
      </c>
      <c r="N4289" t="str">
        <f t="shared" si="4107"/>
        <v>9/2</v>
      </c>
      <c r="O4289">
        <v>64150.94</v>
      </c>
      <c r="P4289" t="str">
        <f t="shared" si="4108"/>
        <v>o</v>
      </c>
      <c r="Q4289" t="str">
        <f t="shared" si="4109"/>
        <v>11/2</v>
      </c>
      <c r="R4289">
        <v>39</v>
      </c>
      <c r="AA4289" s="10">
        <f t="shared" si="4005"/>
        <v>2169.098</v>
      </c>
      <c r="AB4289" s="3">
        <f t="shared" si="4006"/>
        <v>46087.65</v>
      </c>
      <c r="AC4289" s="3" cm="1">
        <f t="array" ref="AC4289">100000000/LvacE(AA4289)</f>
        <v>46087.654551770102</v>
      </c>
      <c r="AD4289" s="10">
        <f t="shared" si="4007"/>
        <v>1.5623691172959937E-2</v>
      </c>
      <c r="AE4289" s="10" t="b">
        <f t="shared" si="4008"/>
        <v>1</v>
      </c>
      <c r="AJ4289" t="s">
        <v>4744</v>
      </c>
      <c r="AK4289" t="s">
        <v>4931</v>
      </c>
      <c r="AL4289">
        <v>18063.36</v>
      </c>
      <c r="AM4289">
        <v>64150.94</v>
      </c>
      <c r="AN4289" s="10" cm="1">
        <f t="array" ref="AN4289">Lair(100000000/($AM4289-$AL4289))</f>
        <v>2169.1015190158846</v>
      </c>
      <c r="AO4289" s="10">
        <f t="shared" si="4110"/>
        <v>2169.7819672892347</v>
      </c>
      <c r="AP4289" s="12">
        <v>73100000</v>
      </c>
      <c r="AQ4289" s="3">
        <v>0.22</v>
      </c>
      <c r="AR4289" s="3">
        <f>LN(AU4289*100000000/($AM4289-$AL4289)/AP4289)</f>
        <v>-7.3227810011668186</v>
      </c>
      <c r="AS4289" s="13">
        <f t="shared" si="4111"/>
        <v>24.163717731320446</v>
      </c>
      <c r="AT4289" s="3">
        <f t="shared" si="4112"/>
        <v>3.1848522408359963</v>
      </c>
      <c r="AU4289" s="13" cm="1">
        <f t="array" ref="AU4289">$C4289*EXP(poly_from_str(100000000/$E4289,AU$4343))</f>
        <v>22.246305679947294</v>
      </c>
      <c r="AV4289" s="13">
        <f>LN(AS4289/AU4289)</f>
        <v>8.2676282865693118E-2</v>
      </c>
      <c r="AW4289" s="13"/>
      <c r="AX4289" s="13"/>
      <c r="AY4289" s="13"/>
    </row>
    <row r="4290" spans="1:51" x14ac:dyDescent="0.25">
      <c r="A4290" t="s">
        <v>4597</v>
      </c>
      <c r="B4290" s="2" t="str">
        <f t="shared" si="4113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4005"/>
        <v>2167.81</v>
      </c>
      <c r="AB4290" s="3">
        <f t="shared" si="4006"/>
        <v>46115.03</v>
      </c>
      <c r="AC4290" s="3" cm="1">
        <f t="array" ref="AC4290">100000000/LvacE(AA4290)</f>
        <v>46115.034474370041</v>
      </c>
      <c r="AD4290" s="10">
        <f t="shared" si="4007"/>
        <v>1.5636318329182455E-2</v>
      </c>
      <c r="AE4290" s="10" t="b">
        <f t="shared" si="4008"/>
        <v>1</v>
      </c>
      <c r="AP4290"/>
      <c r="AQ4290"/>
      <c r="AU4290" s="13" cm="1">
        <f t="array" ref="AU4290">$C4290*EXP(poly_from_str(100000000/$E4290,AU$4343))</f>
        <v>90.789123365356247</v>
      </c>
    </row>
    <row r="4291" spans="1:51" x14ac:dyDescent="0.25">
      <c r="A4291" t="s">
        <v>4598</v>
      </c>
      <c r="B4291" s="2" t="str">
        <f t="shared" si="4113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4114">ROUND($A4291,3)+0</f>
        <v>2166.44</v>
      </c>
      <c r="AB4291" s="3">
        <f t="shared" ref="AB4291:AB4334" si="4115">ROUND($E4291,2)+0</f>
        <v>46144.19</v>
      </c>
      <c r="AC4291" s="3" cm="1">
        <f t="array" ref="AC4291">100000000/LvacE(AA4291)</f>
        <v>46144.193250784818</v>
      </c>
      <c r="AD4291" s="10">
        <f t="shared" ref="AD4291:AD4334" si="4116">0.0005/$AA4291*AC4291+0.005</f>
        <v>1.5649774111165048E-2</v>
      </c>
      <c r="AE4291" s="10" t="b">
        <f t="shared" ref="AE4291:AE4334" si="4117">ABS(AB4291-AC4291)&lt;AD4291</f>
        <v>1</v>
      </c>
      <c r="AP4291"/>
      <c r="AQ4291"/>
      <c r="AU4291" s="13" cm="1">
        <f t="array" ref="AU4291">$C4291*EXP(poly_from_str(100000000/$E4291,AU$4343))</f>
        <v>46.382163966252264</v>
      </c>
    </row>
    <row r="4292" spans="1:51" x14ac:dyDescent="0.25">
      <c r="A4292" t="s">
        <v>4599</v>
      </c>
      <c r="B4292" s="2" t="str">
        <f t="shared" si="4113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4114"/>
        <v>2165.5619999999999</v>
      </c>
      <c r="AB4292" s="3">
        <f t="shared" si="4115"/>
        <v>46162.9</v>
      </c>
      <c r="AC4292" s="3" cm="1">
        <f t="array" ref="AC4292">100000000/LvacE(AA4292)</f>
        <v>46162.899801909145</v>
      </c>
      <c r="AD4292" s="10">
        <f t="shared" si="4116"/>
        <v>1.5658411027231995E-2</v>
      </c>
      <c r="AE4292" s="10" t="b">
        <f t="shared" si="4117"/>
        <v>1</v>
      </c>
      <c r="AP4292"/>
      <c r="AQ4292"/>
      <c r="AU4292" s="13" cm="1">
        <f t="array" ref="AU4292">$C4292*EXP(poly_from_str(100000000/$E4292,AU$4343))</f>
        <v>23.515466923691545</v>
      </c>
    </row>
    <row r="4293" spans="1:51" x14ac:dyDescent="0.25">
      <c r="A4293" t="s">
        <v>4600</v>
      </c>
      <c r="B4293" s="2" t="str">
        <f t="shared" si="4113"/>
        <v/>
      </c>
      <c r="C4293">
        <v>5</v>
      </c>
      <c r="E4293">
        <v>46172.45</v>
      </c>
      <c r="R4293">
        <v>39</v>
      </c>
      <c r="S4293" t="s">
        <v>22</v>
      </c>
      <c r="AA4293" s="10">
        <f t="shared" si="4114"/>
        <v>2165.114</v>
      </c>
      <c r="AB4293" s="3">
        <f t="shared" si="4115"/>
        <v>46172.45</v>
      </c>
      <c r="AC4293" s="3" cm="1">
        <f t="array" ref="AC4293">100000000/LvacE(AA4293)</f>
        <v>46172.450674555206</v>
      </c>
      <c r="AD4293" s="10">
        <f t="shared" si="4116"/>
        <v>1.5662822067234152E-2</v>
      </c>
      <c r="AE4293" s="10" t="b">
        <f t="shared" si="4117"/>
        <v>1</v>
      </c>
      <c r="AP4293"/>
      <c r="AQ4293"/>
      <c r="AU4293" s="13" cm="1">
        <f t="array" ref="AU4293">$C4293*EXP(poly_from_str(100000000/$E4293,AU$4343))</f>
        <v>118.41681606395599</v>
      </c>
    </row>
    <row r="4294" spans="1:51" x14ac:dyDescent="0.25">
      <c r="A4294" t="s">
        <v>4601</v>
      </c>
      <c r="B4294" s="2" t="str">
        <f t="shared" si="4113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4118">$G4294&amp;""</f>
        <v>e</v>
      </c>
      <c r="N4294" t="str">
        <f t="shared" ref="N4294:N4296" si="4119">$H4294&amp;""</f>
        <v>15/2</v>
      </c>
      <c r="O4294">
        <v>84992.04</v>
      </c>
      <c r="P4294" t="str">
        <f t="shared" ref="P4294:P4296" si="4120">$J4294&amp;""</f>
        <v>o</v>
      </c>
      <c r="Q4294" t="str">
        <f t="shared" ref="Q4294:Q4296" si="4121">$K4294&amp;""</f>
        <v>15/2</v>
      </c>
      <c r="R4294">
        <v>39</v>
      </c>
      <c r="AA4294" s="10">
        <f t="shared" si="4114"/>
        <v>2163.5300000000002</v>
      </c>
      <c r="AB4294" s="3">
        <f t="shared" si="4115"/>
        <v>46206.25</v>
      </c>
      <c r="AC4294" s="3" cm="1">
        <f t="array" ref="AC4294">100000000/LvacE(AA4294)</f>
        <v>46206.251539632336</v>
      </c>
      <c r="AD4294" s="10">
        <f t="shared" si="4116"/>
        <v>1.5678440220295613E-2</v>
      </c>
      <c r="AE4294" s="10" t="b">
        <f t="shared" si="4117"/>
        <v>1</v>
      </c>
      <c r="AJ4294" t="s">
        <v>4781</v>
      </c>
      <c r="AK4294" t="s">
        <v>4927</v>
      </c>
      <c r="AL4294">
        <v>38785.760000000002</v>
      </c>
      <c r="AM4294">
        <v>84992.04</v>
      </c>
      <c r="AN4294" s="10" cm="1">
        <f t="array" ref="AN4294">Lair(100000000/($AM4294-$AL4294))</f>
        <v>2163.5286773783278</v>
      </c>
      <c r="AO4294" s="10">
        <f t="shared" ref="AO4294:AO4296" si="4122">100000000/($AM4294-$AL4294)</f>
        <v>2164.2079821184484</v>
      </c>
      <c r="AP4294" s="12">
        <v>1600000000</v>
      </c>
      <c r="AQ4294" s="3">
        <v>0.88300000000000001</v>
      </c>
      <c r="AR4294" s="3">
        <f t="shared" ref="AR4294:AR4296" si="4123">LN(AU4294*100000000/($AM4294-$AL4294)/AP4294)</f>
        <v>-9.2247620403671604</v>
      </c>
      <c r="AS4294" s="13">
        <f t="shared" ref="AS4294:AS4296" si="4124">EXP(AR$4341*$AM4294+AR$4342)*$AP4294/(100000000/($AM4294-$AL4294))</f>
        <v>110.97422588244636</v>
      </c>
      <c r="AT4294" s="3">
        <f t="shared" ref="AT4294:AT4296" si="4125">LN(AS4294/$C4294)</f>
        <v>3.6106856864245631</v>
      </c>
      <c r="AU4294" s="13" cm="1">
        <f t="array" ref="AU4294">$C4294*EXP(poly_from_str(100000000/$E4294,AU$4343))</f>
        <v>72.871504690562915</v>
      </c>
      <c r="AV4294" s="13">
        <f t="shared" ref="AV4294:AV4296" si="4126">LN(AS4294/AU4294)</f>
        <v>0.4206002946520358</v>
      </c>
      <c r="AW4294" s="13"/>
      <c r="AX4294" s="13"/>
      <c r="AY4294" s="13"/>
    </row>
    <row r="4295" spans="1:51" x14ac:dyDescent="0.25">
      <c r="A4295" t="s">
        <v>4602</v>
      </c>
      <c r="B4295" s="2" t="str">
        <f t="shared" si="4113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4118"/>
        <v>e</v>
      </c>
      <c r="N4295" t="str">
        <f t="shared" si="4119"/>
        <v>11/2</v>
      </c>
      <c r="O4295">
        <v>65922.42</v>
      </c>
      <c r="P4295" t="str">
        <f t="shared" si="4120"/>
        <v>o</v>
      </c>
      <c r="Q4295" t="str">
        <f t="shared" si="4121"/>
        <v>11/2</v>
      </c>
      <c r="R4295">
        <v>39</v>
      </c>
      <c r="AA4295" s="10">
        <f t="shared" si="4114"/>
        <v>2162.8139999999999</v>
      </c>
      <c r="AB4295" s="3">
        <f t="shared" si="4115"/>
        <v>46221.55</v>
      </c>
      <c r="AC4295" s="3" cm="1">
        <f t="array" ref="AC4295">100000000/LvacE(AA4295)</f>
        <v>46221.546457193144</v>
      </c>
      <c r="AD4295" s="10">
        <f t="shared" si="4116"/>
        <v>1.5685511203735771E-2</v>
      </c>
      <c r="AE4295" s="10" t="b">
        <f t="shared" si="4117"/>
        <v>1</v>
      </c>
      <c r="AJ4295" t="s">
        <v>4962</v>
      </c>
      <c r="AK4295" t="s">
        <v>4833</v>
      </c>
      <c r="AL4295">
        <v>19700.900000000001</v>
      </c>
      <c r="AM4295">
        <v>65922.42</v>
      </c>
      <c r="AN4295" s="10" cm="1">
        <f t="array" ref="AN4295">Lair(100000000/($AM4295-$AL4295))</f>
        <v>2162.8152482944929</v>
      </c>
      <c r="AO4295" s="10">
        <f t="shared" si="4122"/>
        <v>2163.4944069342591</v>
      </c>
      <c r="AP4295" s="12">
        <v>1430000000</v>
      </c>
      <c r="AQ4295" s="3">
        <v>0.66700000000000004</v>
      </c>
      <c r="AR4295" s="3">
        <f t="shared" si="4123"/>
        <v>-8.1204072755109831</v>
      </c>
      <c r="AS4295" s="13">
        <f t="shared" si="4124"/>
        <v>415.05529580152324</v>
      </c>
      <c r="AT4295" s="3">
        <f t="shared" si="4125"/>
        <v>3.9489702125700528</v>
      </c>
      <c r="AU4295" s="13" cm="1">
        <f t="array" ref="AU4295">$C4295*EXP(poly_from_str(100000000/$E4295,AU$4343))</f>
        <v>196.5767678779635</v>
      </c>
      <c r="AV4295" s="13">
        <f t="shared" si="4126"/>
        <v>0.74735872301092587</v>
      </c>
      <c r="AW4295" s="13"/>
      <c r="AX4295" s="13"/>
      <c r="AY4295" s="13"/>
    </row>
    <row r="4296" spans="1:51" x14ac:dyDescent="0.25">
      <c r="A4296" t="s">
        <v>4603</v>
      </c>
      <c r="B4296" s="2" t="str">
        <f t="shared" si="4113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4118"/>
        <v>e</v>
      </c>
      <c r="N4296" t="str">
        <f t="shared" si="4119"/>
        <v>11/2</v>
      </c>
      <c r="O4296">
        <v>73606.17</v>
      </c>
      <c r="P4296" t="str">
        <f t="shared" si="4120"/>
        <v>o</v>
      </c>
      <c r="Q4296" t="str">
        <f t="shared" si="4121"/>
        <v>9/2</v>
      </c>
      <c r="R4296">
        <v>39</v>
      </c>
      <c r="AA4296" s="10">
        <f t="shared" si="4114"/>
        <v>2162.6109999999999</v>
      </c>
      <c r="AB4296" s="3">
        <f t="shared" si="4115"/>
        <v>46225.88</v>
      </c>
      <c r="AC4296" s="3" cm="1">
        <f t="array" ref="AC4296">100000000/LvacE(AA4296)</f>
        <v>46225.884707673009</v>
      </c>
      <c r="AD4296" s="10">
        <f t="shared" si="4116"/>
        <v>1.5687517243663567E-2</v>
      </c>
      <c r="AE4296" s="10" t="b">
        <f t="shared" si="4117"/>
        <v>1</v>
      </c>
      <c r="AJ4296" t="s">
        <v>4712</v>
      </c>
      <c r="AK4296" t="s">
        <v>4936</v>
      </c>
      <c r="AL4296">
        <v>27380.31</v>
      </c>
      <c r="AM4296">
        <v>73606.17</v>
      </c>
      <c r="AN4296" s="10" cm="1">
        <f t="array" ref="AN4296">Lair(100000000/($AM4296-$AL4296))</f>
        <v>2162.6121662137111</v>
      </c>
      <c r="AO4296" s="10">
        <f t="shared" si="4122"/>
        <v>2163.2912832773691</v>
      </c>
      <c r="AP4296" s="12">
        <v>409000000</v>
      </c>
      <c r="AQ4296" s="3">
        <v>0.33900000000000002</v>
      </c>
      <c r="AR4296" s="3">
        <f t="shared" si="4123"/>
        <v>-8.2518112951411524</v>
      </c>
      <c r="AS4296" s="13">
        <f t="shared" si="4124"/>
        <v>66.696370558850717</v>
      </c>
      <c r="AT4296" s="3">
        <f t="shared" si="4125"/>
        <v>3.5070033564710807</v>
      </c>
      <c r="AU4296" s="13" cm="1">
        <f t="array" ref="AU4296">$C4296*EXP(poly_from_str(100000000/$E4296,AU$4343))</f>
        <v>49.305140019628737</v>
      </c>
      <c r="AV4296" s="13">
        <f t="shared" si="4126"/>
        <v>0.30212220138404389</v>
      </c>
      <c r="AW4296" s="13"/>
      <c r="AX4296" s="13"/>
      <c r="AY4296" s="13"/>
    </row>
    <row r="4297" spans="1:51" x14ac:dyDescent="0.25">
      <c r="A4297" t="s">
        <v>4604</v>
      </c>
      <c r="B4297" s="2" t="str">
        <f t="shared" si="4113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4114"/>
        <v>2162.252</v>
      </c>
      <c r="AB4297" s="3">
        <f t="shared" si="4115"/>
        <v>46233.56</v>
      </c>
      <c r="AC4297" s="3" cm="1">
        <f t="array" ref="AC4297">100000000/LvacE(AA4297)</f>
        <v>46233.558779686493</v>
      </c>
      <c r="AD4297" s="10">
        <f t="shared" si="4116"/>
        <v>1.5691066253999648E-2</v>
      </c>
      <c r="AE4297" s="10" t="b">
        <f t="shared" si="4117"/>
        <v>1</v>
      </c>
      <c r="AP4297"/>
      <c r="AQ4297"/>
      <c r="AU4297" s="13" cm="1">
        <f t="array" ref="AU4297">$C4297*EXP(poly_from_str(100000000/$E4297,AU$4343))</f>
        <v>198.36928611337194</v>
      </c>
    </row>
    <row r="4298" spans="1:51" x14ac:dyDescent="0.25">
      <c r="A4298" t="s">
        <v>4605</v>
      </c>
      <c r="B4298" s="2" t="str">
        <f t="shared" si="4113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4127">$G4298&amp;""</f>
        <v>e</v>
      </c>
      <c r="N4298" t="str">
        <f t="shared" ref="N4298:N4306" si="4128">$H4298&amp;""</f>
        <v>13/2</v>
      </c>
      <c r="O4298">
        <v>75640</v>
      </c>
      <c r="P4298" t="str">
        <f t="shared" ref="P4298:P4306" si="4129">$J4298&amp;""</f>
        <v>o</v>
      </c>
      <c r="Q4298" t="str">
        <f t="shared" ref="Q4298:Q4306" si="4130">$K4298&amp;""</f>
        <v>11/2</v>
      </c>
      <c r="R4298">
        <v>39</v>
      </c>
      <c r="AA4298" s="10">
        <f t="shared" si="4114"/>
        <v>2155.5619999999999</v>
      </c>
      <c r="AB4298" s="3">
        <f t="shared" si="4115"/>
        <v>46377.03</v>
      </c>
      <c r="AC4298" s="3" cm="1">
        <f t="array" ref="AC4298">100000000/LvacE(AA4298)</f>
        <v>46377.033394645885</v>
      </c>
      <c r="AD4298" s="10">
        <f t="shared" si="4116"/>
        <v>1.5757527130893449E-2</v>
      </c>
      <c r="AE4298" s="10" t="b">
        <f t="shared" si="4117"/>
        <v>1</v>
      </c>
      <c r="AJ4298" t="s">
        <v>4699</v>
      </c>
      <c r="AK4298" t="s">
        <v>4938</v>
      </c>
      <c r="AL4298">
        <v>29263.08</v>
      </c>
      <c r="AM4298">
        <v>75640</v>
      </c>
      <c r="AN4298" s="10" cm="1">
        <f t="array" ref="AN4298">Lair(100000000/($AM4298-$AL4298))</f>
        <v>2155.5672815813618</v>
      </c>
      <c r="AO4298" s="10">
        <f t="shared" ref="AO4298:AO4306" si="4131">100000000/($AM4298-$AL4298)</f>
        <v>2156.2449597774066</v>
      </c>
      <c r="AP4298" s="12">
        <v>1280000000</v>
      </c>
      <c r="AQ4298" s="3">
        <v>0.45900000000000002</v>
      </c>
      <c r="AR4298" s="3">
        <f t="shared" ref="AR4298:AR4306" si="4132">LN(AU4298*100000000/($AM4298-$AL4298)/AP4298)</f>
        <v>-8.3634119683701424</v>
      </c>
      <c r="AS4298" s="13">
        <f t="shared" ref="AS4298:AS4306" si="4133">EXP(AR$4341*$AM4298+AR$4342)*$AP4298/(100000000/($AM4298-$AL4298))</f>
        <v>179.77048000913061</v>
      </c>
      <c r="AT4298" s="3">
        <f t="shared" ref="AT4298:AT4306" si="4134">LN(AS4298/$C4298)</f>
        <v>3.5822430137498835</v>
      </c>
      <c r="AU4298" s="13" cm="1">
        <f t="array" ref="AU4298">$C4298*EXP(poly_from_str(100000000/$E4298,AU$4343))</f>
        <v>138.46123617300773</v>
      </c>
      <c r="AV4298" s="13">
        <f t="shared" ref="AV4298:AV4306" si="4135">LN(AS4298/AU4298)</f>
        <v>0.26109052295859186</v>
      </c>
      <c r="AW4298" s="13"/>
      <c r="AX4298" s="13"/>
      <c r="AY4298" s="13"/>
    </row>
    <row r="4299" spans="1:51" x14ac:dyDescent="0.25">
      <c r="A4299" t="s">
        <v>4606</v>
      </c>
      <c r="B4299" s="2" t="str">
        <f t="shared" si="4113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4127"/>
        <v>e</v>
      </c>
      <c r="N4299" t="str">
        <f t="shared" si="4128"/>
        <v>9/2</v>
      </c>
      <c r="O4299">
        <v>69138.28</v>
      </c>
      <c r="P4299" t="str">
        <f t="shared" si="4129"/>
        <v>o</v>
      </c>
      <c r="Q4299" t="str">
        <f t="shared" si="4130"/>
        <v>9/2</v>
      </c>
      <c r="R4299">
        <v>39</v>
      </c>
      <c r="AA4299" s="10">
        <f t="shared" si="4114"/>
        <v>2154.9319999999998</v>
      </c>
      <c r="AB4299" s="3">
        <f t="shared" si="4115"/>
        <v>46390.59</v>
      </c>
      <c r="AC4299" s="3" cm="1">
        <f t="array" ref="AC4299">100000000/LvacE(AA4299)</f>
        <v>46390.590340464485</v>
      </c>
      <c r="AD4299" s="10">
        <f t="shared" si="4116"/>
        <v>1.5763817684378088E-2</v>
      </c>
      <c r="AE4299" s="10" t="b">
        <f t="shared" si="4117"/>
        <v>1</v>
      </c>
      <c r="AJ4299" t="s">
        <v>4797</v>
      </c>
      <c r="AK4299" t="s">
        <v>4879</v>
      </c>
      <c r="AL4299">
        <v>22747.69</v>
      </c>
      <c r="AM4299">
        <v>69138.28</v>
      </c>
      <c r="AN4299" s="10" cm="1">
        <f t="array" ref="AN4299">Lair(100000000/($AM4299-$AL4299))</f>
        <v>2154.9320263537302</v>
      </c>
      <c r="AO4299" s="10">
        <f t="shared" si="4131"/>
        <v>2155.6095751315083</v>
      </c>
      <c r="AP4299" s="12">
        <v>241000000</v>
      </c>
      <c r="AQ4299" s="3">
        <v>0.26</v>
      </c>
      <c r="AR4299" s="3">
        <f t="shared" si="4132"/>
        <v>-7.1940795660296146</v>
      </c>
      <c r="AS4299" s="13">
        <f t="shared" si="4133"/>
        <v>55.151847113974782</v>
      </c>
      <c r="AT4299" s="3">
        <f t="shared" si="4134"/>
        <v>2.9114779490176792</v>
      </c>
      <c r="AU4299" s="13" cm="1">
        <f t="array" ref="AU4299">$C4299*EXP(poly_from_str(100000000/$E4299,AU$4343))</f>
        <v>83.964920405343435</v>
      </c>
      <c r="AV4299" s="13">
        <f t="shared" si="4135"/>
        <v>-0.42030885971031839</v>
      </c>
      <c r="AW4299" s="13"/>
      <c r="AX4299" s="13"/>
      <c r="AY4299" s="13"/>
    </row>
    <row r="4300" spans="1:51" x14ac:dyDescent="0.25">
      <c r="A4300" t="s">
        <v>4607</v>
      </c>
      <c r="B4300" s="2" t="str">
        <f t="shared" si="4113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4127"/>
        <v>e</v>
      </c>
      <c r="N4300" t="str">
        <f t="shared" si="4128"/>
        <v>11/2</v>
      </c>
      <c r="O4300">
        <v>66148.399999999994</v>
      </c>
      <c r="P4300" t="str">
        <f t="shared" si="4129"/>
        <v>o</v>
      </c>
      <c r="Q4300" t="str">
        <f t="shared" si="4130"/>
        <v>13/2</v>
      </c>
      <c r="R4300">
        <v>39</v>
      </c>
      <c r="AA4300" s="10">
        <f t="shared" si="4114"/>
        <v>2152.2910000000002</v>
      </c>
      <c r="AB4300" s="3">
        <f t="shared" si="4115"/>
        <v>46447.51</v>
      </c>
      <c r="AC4300" s="3" cm="1">
        <f t="array" ref="AC4300">100000000/LvacE(AA4300)</f>
        <v>46447.508267062498</v>
      </c>
      <c r="AD4300" s="10">
        <f t="shared" si="4116"/>
        <v>1.5790248220863837E-2</v>
      </c>
      <c r="AE4300" s="10" t="b">
        <f t="shared" si="4117"/>
        <v>1</v>
      </c>
      <c r="AJ4300" t="s">
        <v>4962</v>
      </c>
      <c r="AK4300" t="s">
        <v>4694</v>
      </c>
      <c r="AL4300">
        <v>19700.900000000001</v>
      </c>
      <c r="AM4300">
        <v>66148.399999999994</v>
      </c>
      <c r="AN4300" s="10" cm="1">
        <f t="array" ref="AN4300">Lair(100000000/($AM4300-$AL4300))</f>
        <v>2152.29139378832</v>
      </c>
      <c r="AO4300" s="10">
        <f t="shared" si="4131"/>
        <v>2152.9684051886543</v>
      </c>
      <c r="AP4300" s="12">
        <v>338000000</v>
      </c>
      <c r="AQ4300" s="3">
        <v>0.56200000000000006</v>
      </c>
      <c r="AR4300" s="3">
        <f t="shared" si="4132"/>
        <v>-7.2008671429065911</v>
      </c>
      <c r="AS4300" s="13">
        <f t="shared" si="4133"/>
        <v>96.925826591523233</v>
      </c>
      <c r="AT4300" s="3">
        <f t="shared" si="4134"/>
        <v>3.1876516505567678</v>
      </c>
      <c r="AU4300" s="13" cm="1">
        <f t="array" ref="AU4300">$C4300*EXP(poly_from_str(100000000/$E4300,AU$4343))</f>
        <v>117.10681746359619</v>
      </c>
      <c r="AV4300" s="13">
        <f t="shared" si="4135"/>
        <v>-0.18914047639200357</v>
      </c>
      <c r="AW4300" s="13"/>
      <c r="AX4300" s="13"/>
      <c r="AY4300" s="13"/>
    </row>
    <row r="4301" spans="1:51" x14ac:dyDescent="0.25">
      <c r="A4301" t="s">
        <v>4608</v>
      </c>
      <c r="B4301" s="2" t="str">
        <f t="shared" si="4113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4127"/>
        <v>e</v>
      </c>
      <c r="N4301" t="str">
        <f t="shared" si="4128"/>
        <v>11/2</v>
      </c>
      <c r="O4301">
        <v>61357.04</v>
      </c>
      <c r="P4301" t="str">
        <f t="shared" si="4129"/>
        <v>o</v>
      </c>
      <c r="Q4301" t="str">
        <f t="shared" si="4130"/>
        <v>9/2</v>
      </c>
      <c r="R4301">
        <v>39</v>
      </c>
      <c r="AA4301" s="10">
        <f t="shared" si="4114"/>
        <v>2149.9969999999998</v>
      </c>
      <c r="AB4301" s="3">
        <f t="shared" si="4115"/>
        <v>46497.06</v>
      </c>
      <c r="AC4301" s="3" cm="1">
        <f t="array" ref="AC4301">100000000/LvacE(AA4301)</f>
        <v>46497.061220242489</v>
      </c>
      <c r="AD4301" s="10">
        <f t="shared" si="4116"/>
        <v>1.5813285139524031E-2</v>
      </c>
      <c r="AE4301" s="10" t="b">
        <f t="shared" si="4117"/>
        <v>1</v>
      </c>
      <c r="AJ4301" t="s">
        <v>4709</v>
      </c>
      <c r="AK4301" t="s">
        <v>4903</v>
      </c>
      <c r="AL4301">
        <v>14859.96</v>
      </c>
      <c r="AM4301">
        <v>61357.04</v>
      </c>
      <c r="AN4301" s="10" cm="1">
        <f t="array" ref="AN4301">Lair(100000000/($AM4301-$AL4301))</f>
        <v>2149.9961423171617</v>
      </c>
      <c r="AO4301" s="10">
        <f t="shared" si="4131"/>
        <v>2150.672687403166</v>
      </c>
      <c r="AP4301" s="12">
        <v>291000000</v>
      </c>
      <c r="AQ4301" s="3">
        <v>0.16400000000000001</v>
      </c>
      <c r="AR4301" s="3">
        <f t="shared" si="4132"/>
        <v>-7.01255100240886</v>
      </c>
      <c r="AS4301" s="13">
        <f t="shared" si="4133"/>
        <v>119.68535998884812</v>
      </c>
      <c r="AT4301" s="3">
        <f t="shared" si="4134"/>
        <v>3.3985719381064894</v>
      </c>
      <c r="AU4301" s="13" cm="1">
        <f t="array" ref="AU4301">$C4301*EXP(poly_from_str(100000000/$E4301,AU$4343))</f>
        <v>121.84465000175214</v>
      </c>
      <c r="AV4301" s="13">
        <f t="shared" si="4135"/>
        <v>-1.7880573452952242E-2</v>
      </c>
      <c r="AW4301" s="13"/>
      <c r="AX4301" s="13"/>
      <c r="AY4301" s="13"/>
    </row>
    <row r="4302" spans="1:51" x14ac:dyDescent="0.25">
      <c r="A4302" t="s">
        <v>4609</v>
      </c>
      <c r="B4302" s="2" t="str">
        <f t="shared" si="4113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4127"/>
        <v>e</v>
      </c>
      <c r="N4302" t="str">
        <f t="shared" si="4128"/>
        <v>11/2</v>
      </c>
      <c r="O4302">
        <v>69978.080000000002</v>
      </c>
      <c r="P4302" t="str">
        <f t="shared" si="4129"/>
        <v>o</v>
      </c>
      <c r="Q4302" t="str">
        <f t="shared" si="4130"/>
        <v>11/2</v>
      </c>
      <c r="R4302">
        <v>39</v>
      </c>
      <c r="AA4302" s="10">
        <f t="shared" si="4114"/>
        <v>2148.203</v>
      </c>
      <c r="AB4302" s="3">
        <f t="shared" si="4115"/>
        <v>46535.89</v>
      </c>
      <c r="AC4302" s="3" cm="1">
        <f t="array" ref="AC4302">100000000/LvacE(AA4302)</f>
        <v>46535.887342956783</v>
      </c>
      <c r="AD4302" s="10">
        <f t="shared" si="4116"/>
        <v>1.5831352377535267E-2</v>
      </c>
      <c r="AE4302" s="10" t="b">
        <f t="shared" si="4117"/>
        <v>1</v>
      </c>
      <c r="AJ4302" t="s">
        <v>4782</v>
      </c>
      <c r="AK4302" t="s">
        <v>4941</v>
      </c>
      <c r="AL4302">
        <v>23442.25</v>
      </c>
      <c r="AM4302">
        <v>69978.080000000002</v>
      </c>
      <c r="AN4302" s="10" cm="1">
        <f t="array" ref="AN4302">Lair(100000000/($AM4302-$AL4302))</f>
        <v>2148.2056582503942</v>
      </c>
      <c r="AO4302" s="10">
        <f t="shared" si="4131"/>
        <v>2148.8818400789241</v>
      </c>
      <c r="AP4302" s="12">
        <v>225000000</v>
      </c>
      <c r="AQ4302" s="3">
        <v>0.16400000000000001</v>
      </c>
      <c r="AR4302" s="3">
        <f t="shared" si="4132"/>
        <v>-8.1110612688477488</v>
      </c>
      <c r="AS4302" s="13">
        <f t="shared" si="4133"/>
        <v>48.496680583511967</v>
      </c>
      <c r="AT4302" s="3">
        <f t="shared" si="4134"/>
        <v>3.8814953540241333</v>
      </c>
      <c r="AU4302" s="13" cm="1">
        <f t="array" ref="AU4302">$C4302*EXP(poly_from_str(100000000/$E4302,AU$4343))</f>
        <v>31.432638000970169</v>
      </c>
      <c r="AV4302" s="13">
        <f t="shared" si="4135"/>
        <v>0.43364857415741065</v>
      </c>
      <c r="AW4302" s="13"/>
      <c r="AX4302" s="13"/>
      <c r="AY4302" s="13"/>
    </row>
    <row r="4303" spans="1:51" x14ac:dyDescent="0.25">
      <c r="A4303" t="s">
        <v>4610</v>
      </c>
      <c r="B4303" s="2" t="str">
        <f t="shared" si="4113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4127"/>
        <v>e</v>
      </c>
      <c r="N4303" t="str">
        <f t="shared" si="4128"/>
        <v>9/2</v>
      </c>
      <c r="O4303">
        <v>66852.87</v>
      </c>
      <c r="P4303" t="str">
        <f t="shared" si="4129"/>
        <v>o</v>
      </c>
      <c r="Q4303" t="str">
        <f t="shared" si="4130"/>
        <v>7/2</v>
      </c>
      <c r="R4303">
        <v>39</v>
      </c>
      <c r="AA4303" s="10">
        <f t="shared" si="4114"/>
        <v>2148.1419999999998</v>
      </c>
      <c r="AB4303" s="3">
        <f t="shared" si="4115"/>
        <v>46537.21</v>
      </c>
      <c r="AC4303" s="3" cm="1">
        <f t="array" ref="AC4303">100000000/LvacE(AA4303)</f>
        <v>46537.20865741928</v>
      </c>
      <c r="AD4303" s="10">
        <f t="shared" si="4116"/>
        <v>1.5831967499685608E-2</v>
      </c>
      <c r="AE4303" s="10" t="b">
        <f t="shared" si="4117"/>
        <v>1</v>
      </c>
      <c r="AJ4303" t="s">
        <v>4964</v>
      </c>
      <c r="AK4303" t="s">
        <v>4830</v>
      </c>
      <c r="AL4303">
        <v>20315.650000000001</v>
      </c>
      <c r="AM4303">
        <v>66852.87</v>
      </c>
      <c r="AN4303" s="10" cm="1">
        <f t="array" ref="AN4303">Lair(100000000/($AM4303-$AL4303))</f>
        <v>2148.1414872434625</v>
      </c>
      <c r="AO4303" s="10">
        <f t="shared" si="4131"/>
        <v>2148.8176560611059</v>
      </c>
      <c r="AP4303" s="12">
        <v>513000000</v>
      </c>
      <c r="AQ4303" s="3">
        <v>0.63700000000000001</v>
      </c>
      <c r="AR4303" s="3">
        <f t="shared" si="4132"/>
        <v>-6.6316094020471876</v>
      </c>
      <c r="AS4303" s="13">
        <f t="shared" si="4133"/>
        <v>139.80345599080002</v>
      </c>
      <c r="AT4303" s="3">
        <f t="shared" si="4134"/>
        <v>2.6376524574643407</v>
      </c>
      <c r="AU4303" s="13" cm="1">
        <f t="array" ref="AU4303">$C4303*EXP(poly_from_str(100000000/$E4303,AU$4343))</f>
        <v>314.66354555625958</v>
      </c>
      <c r="AV4303" s="13">
        <f t="shared" si="4135"/>
        <v>-0.81126640818673956</v>
      </c>
      <c r="AW4303" s="13"/>
      <c r="AX4303" s="13"/>
      <c r="AY4303" s="13"/>
    </row>
    <row r="4304" spans="1:51" x14ac:dyDescent="0.25">
      <c r="A4304" t="s">
        <v>4611</v>
      </c>
      <c r="B4304" s="2" t="str">
        <f t="shared" si="4113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4127"/>
        <v>e</v>
      </c>
      <c r="N4304" t="str">
        <f t="shared" si="4128"/>
        <v>9/2</v>
      </c>
      <c r="O4304">
        <v>71592.34</v>
      </c>
      <c r="P4304" t="str">
        <f t="shared" si="4129"/>
        <v>o</v>
      </c>
      <c r="Q4304" t="str">
        <f t="shared" si="4130"/>
        <v>9/2</v>
      </c>
      <c r="R4304">
        <v>39</v>
      </c>
      <c r="AA4304" s="10">
        <f t="shared" si="4114"/>
        <v>2147.1640000000002</v>
      </c>
      <c r="AB4304" s="3">
        <f t="shared" si="4115"/>
        <v>46558.400000000001</v>
      </c>
      <c r="AC4304" s="3" cm="1">
        <f t="array" ref="AC4304">100000000/LvacE(AA4304)</f>
        <v>46558.403258899329</v>
      </c>
      <c r="AD4304" s="10">
        <f t="shared" si="4116"/>
        <v>1.5841836780725489E-2</v>
      </c>
      <c r="AE4304" s="10" t="b">
        <f t="shared" si="4117"/>
        <v>1</v>
      </c>
      <c r="AJ4304" t="s">
        <v>4746</v>
      </c>
      <c r="AK4304" t="s">
        <v>4881</v>
      </c>
      <c r="AL4304">
        <v>25033.91</v>
      </c>
      <c r="AM4304">
        <v>71592.34</v>
      </c>
      <c r="AN4304" s="10" cm="1">
        <f t="array" ref="AN4304">Lair(100000000/($AM4304-$AL4304))</f>
        <v>2147.1627775468487</v>
      </c>
      <c r="AO4304" s="10">
        <f t="shared" si="4131"/>
        <v>2147.8387479990201</v>
      </c>
      <c r="AP4304" s="12">
        <v>163000000</v>
      </c>
      <c r="AQ4304" s="3">
        <v>0.12</v>
      </c>
      <c r="AR4304" s="3">
        <f t="shared" si="4132"/>
        <v>-7.7708705292213001</v>
      </c>
      <c r="AS4304" s="13">
        <f t="shared" si="4133"/>
        <v>31.139767479048533</v>
      </c>
      <c r="AT4304" s="3">
        <f t="shared" si="4134"/>
        <v>3.4384856994238491</v>
      </c>
      <c r="AU4304" s="13" cm="1">
        <f t="array" ref="AU4304">$C4304*EXP(poly_from_str(100000000/$E4304,AU$4343))</f>
        <v>32.013985285676952</v>
      </c>
      <c r="AV4304" s="13">
        <f t="shared" si="4135"/>
        <v>-2.7687148079040338E-2</v>
      </c>
      <c r="AW4304" s="13"/>
      <c r="AX4304" s="13"/>
      <c r="AY4304" s="13"/>
    </row>
    <row r="4305" spans="1:51" x14ac:dyDescent="0.25">
      <c r="A4305" t="s">
        <v>4612</v>
      </c>
      <c r="B4305" s="2" t="str">
        <f t="shared" si="4113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4127"/>
        <v>e</v>
      </c>
      <c r="N4305" t="str">
        <f t="shared" si="4128"/>
        <v>13/2</v>
      </c>
      <c r="O4305">
        <v>65922.42</v>
      </c>
      <c r="P4305" t="str">
        <f t="shared" si="4129"/>
        <v>o</v>
      </c>
      <c r="Q4305" t="str">
        <f t="shared" si="4130"/>
        <v>11/2</v>
      </c>
      <c r="R4305">
        <v>39</v>
      </c>
      <c r="AA4305" s="10">
        <f t="shared" si="4114"/>
        <v>2146.982</v>
      </c>
      <c r="AB4305" s="3">
        <f t="shared" si="4115"/>
        <v>46562.35</v>
      </c>
      <c r="AC4305" s="3" cm="1">
        <f t="array" ref="AC4305">100000000/LvacE(AA4305)</f>
        <v>46562.349579000525</v>
      </c>
      <c r="AD4305" s="10">
        <f t="shared" si="4116"/>
        <v>1.5843674883860352E-2</v>
      </c>
      <c r="AE4305" s="10" t="b">
        <f t="shared" si="4117"/>
        <v>1</v>
      </c>
      <c r="AJ4305" t="s">
        <v>4748</v>
      </c>
      <c r="AK4305" t="s">
        <v>4833</v>
      </c>
      <c r="AL4305">
        <v>19360.099999999999</v>
      </c>
      <c r="AM4305">
        <v>65922.42</v>
      </c>
      <c r="AN4305" s="10" cm="1">
        <f t="array" ref="AN4305">Lair(100000000/($AM4305-$AL4305))</f>
        <v>2146.9833749669647</v>
      </c>
      <c r="AO4305" s="10">
        <f t="shared" si="4131"/>
        <v>2147.6593090722286</v>
      </c>
      <c r="AP4305" s="12">
        <v>487000000</v>
      </c>
      <c r="AQ4305" s="3">
        <v>0.19900000000000001</v>
      </c>
      <c r="AR4305" s="3">
        <f t="shared" si="4132"/>
        <v>-7.2528046823531653</v>
      </c>
      <c r="AS4305" s="13">
        <f t="shared" si="4133"/>
        <v>142.39320696422195</v>
      </c>
      <c r="AT4305" s="3">
        <f t="shared" si="4134"/>
        <v>3.3491543815029718</v>
      </c>
      <c r="AU4305" s="13" cm="1">
        <f t="array" ref="AU4305">$C4305*EXP(poly_from_str(100000000/$E4305,AU$4343))</f>
        <v>160.5870501510795</v>
      </c>
      <c r="AV4305" s="13">
        <f t="shared" si="4135"/>
        <v>-0.12024387014689172</v>
      </c>
      <c r="AW4305" s="13"/>
      <c r="AX4305" s="13"/>
      <c r="AY4305" s="13"/>
    </row>
    <row r="4306" spans="1:51" x14ac:dyDescent="0.25">
      <c r="A4306" t="s">
        <v>4613</v>
      </c>
      <c r="B4306" s="2" t="str">
        <f t="shared" si="4113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4127"/>
        <v>e</v>
      </c>
      <c r="N4306" t="str">
        <f t="shared" si="4128"/>
        <v>3/2</v>
      </c>
      <c r="O4306">
        <v>78889.14</v>
      </c>
      <c r="P4306" t="str">
        <f t="shared" si="4129"/>
        <v>o</v>
      </c>
      <c r="Q4306" t="str">
        <f t="shared" si="4130"/>
        <v>3/2</v>
      </c>
      <c r="R4306">
        <v>39</v>
      </c>
      <c r="AA4306" s="10">
        <f t="shared" si="4114"/>
        <v>2145.2339999999999</v>
      </c>
      <c r="AB4306" s="3">
        <f t="shared" si="4115"/>
        <v>46600.28</v>
      </c>
      <c r="AC4306" s="3" cm="1">
        <f t="array" ref="AC4306">100000000/LvacE(AA4306)</f>
        <v>46600.285688716816</v>
      </c>
      <c r="AD4306" s="10">
        <f t="shared" si="4116"/>
        <v>1.5861352581750247E-2</v>
      </c>
      <c r="AE4306" s="10" t="b">
        <f t="shared" si="4117"/>
        <v>1</v>
      </c>
      <c r="AJ4306" t="s">
        <v>4719</v>
      </c>
      <c r="AK4306" t="s">
        <v>4877</v>
      </c>
      <c r="AL4306">
        <v>32288.92</v>
      </c>
      <c r="AM4306">
        <v>78889.14</v>
      </c>
      <c r="AN4306" s="10" cm="1">
        <f t="array" ref="AN4306">Lair(100000000/($AM4306-$AL4306))</f>
        <v>2145.2370353299857</v>
      </c>
      <c r="AO4306" s="10">
        <f t="shared" si="4131"/>
        <v>2145.9126158631871</v>
      </c>
      <c r="AP4306" s="12">
        <v>253000000</v>
      </c>
      <c r="AQ4306" s="3">
        <v>0.33</v>
      </c>
      <c r="AR4306" s="3">
        <f t="shared" si="4132"/>
        <v>-8.1770636874644946</v>
      </c>
      <c r="AS4306" s="13">
        <f t="shared" si="4133"/>
        <v>27.978069441411257</v>
      </c>
      <c r="AT4306" s="3">
        <f t="shared" si="4134"/>
        <v>3.3314209690517038</v>
      </c>
      <c r="AU4306" s="13" cm="1">
        <f t="array" ref="AU4306">$C4306*EXP(poly_from_str(100000000/$E4306,AU$4343))</f>
        <v>33.132549123436377</v>
      </c>
      <c r="AV4306" s="13">
        <f t="shared" si="4135"/>
        <v>-0.16909518735586671</v>
      </c>
      <c r="AW4306" s="13"/>
      <c r="AX4306" s="13"/>
      <c r="AY4306" s="13"/>
    </row>
    <row r="4307" spans="1:51" x14ac:dyDescent="0.25">
      <c r="A4307" t="s">
        <v>4614</v>
      </c>
      <c r="B4307" s="2" t="str">
        <f t="shared" si="4113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4114"/>
        <v>2143.0940000000001</v>
      </c>
      <c r="AB4307" s="3">
        <f t="shared" si="4115"/>
        <v>46646.81</v>
      </c>
      <c r="AC4307" s="3" cm="1">
        <f t="array" ref="AC4307">100000000/LvacE(AA4307)</f>
        <v>46646.813445300359</v>
      </c>
      <c r="AD4307" s="10">
        <f t="shared" si="4116"/>
        <v>1.5883053530386524E-2</v>
      </c>
      <c r="AE4307" s="10" t="b">
        <f t="shared" si="4117"/>
        <v>1</v>
      </c>
      <c r="AP4307"/>
      <c r="AQ4307"/>
      <c r="AU4307" s="13" cm="1">
        <f t="array" ref="AU4307">$C4307*EXP(poly_from_str(100000000/$E4307,AU$4343))</f>
        <v>34.434215661464656</v>
      </c>
    </row>
    <row r="4308" spans="1:51" x14ac:dyDescent="0.25">
      <c r="A4308" t="s">
        <v>4615</v>
      </c>
      <c r="B4308" s="2" t="str">
        <f t="shared" si="4113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4136">$G4308&amp;""</f>
        <v>e</v>
      </c>
      <c r="N4308" t="str">
        <f t="shared" ref="N4308:N4314" si="4137">$H4308&amp;""</f>
        <v>17/2</v>
      </c>
      <c r="O4308">
        <v>66301.350000000006</v>
      </c>
      <c r="P4308" t="str">
        <f t="shared" ref="P4308:P4314" si="4138">$J4308&amp;""</f>
        <v>o</v>
      </c>
      <c r="Q4308" t="str">
        <f t="shared" ref="Q4308:Q4314" si="4139">$K4308&amp;""</f>
        <v>15/2</v>
      </c>
      <c r="R4308">
        <v>39</v>
      </c>
      <c r="AA4308" s="10">
        <f t="shared" si="4114"/>
        <v>2142.87</v>
      </c>
      <c r="AB4308" s="3">
        <f t="shared" si="4115"/>
        <v>46651.69</v>
      </c>
      <c r="AC4308" s="3" cm="1">
        <f t="array" ref="AC4308">100000000/LvacE(AA4308)</f>
        <v>46651.689011724113</v>
      </c>
      <c r="AD4308" s="10">
        <f t="shared" si="4116"/>
        <v>1.5885328790762883E-2</v>
      </c>
      <c r="AE4308" s="10" t="b">
        <f t="shared" si="4117"/>
        <v>1</v>
      </c>
      <c r="AJ4308" t="s">
        <v>4721</v>
      </c>
      <c r="AK4308" t="s">
        <v>4824</v>
      </c>
      <c r="AL4308">
        <v>19649.669999999998</v>
      </c>
      <c r="AM4308">
        <v>66301.350000000006</v>
      </c>
      <c r="AN4308" s="10" cm="1">
        <f t="array" ref="AN4308">Lair(100000000/($AM4308-$AL4308))</f>
        <v>2142.8704251276708</v>
      </c>
      <c r="AO4308" s="10">
        <f t="shared" ref="AO4308:AO4314" si="4140">100000000/($AM4308-$AL4308)</f>
        <v>2143.545527192161</v>
      </c>
      <c r="AP4308" s="12">
        <v>4320000000</v>
      </c>
      <c r="AQ4308" s="3">
        <v>0.67400000000000004</v>
      </c>
      <c r="AR4308" s="3">
        <f t="shared" ref="AR4308:AR4314" si="4141">LN(AU4308*100000000/($AM4308-$AL4308)/AP4308)</f>
        <v>-8.7759648978984952</v>
      </c>
      <c r="AS4308" s="13">
        <f t="shared" ref="AS4308:AS4314" si="4142">EXP(AR$4341*$AM4308+AR$4342)*$AP4308/(100000000/($AM4308-$AL4308))</f>
        <v>1230.0605717953488</v>
      </c>
      <c r="AT4308" s="3">
        <f t="shared" ref="AT4308:AT4314" si="4143">LN(AS4308/$C4308)</f>
        <v>4.9175941151798028</v>
      </c>
      <c r="AU4308" s="13" cm="1">
        <f t="array" ref="AU4308">$C4308*EXP(poly_from_str(100000000/$E4308,AU$4343))</f>
        <v>311.17013355769859</v>
      </c>
      <c r="AV4308" s="13">
        <f t="shared" ref="AV4308:AV4314" si="4144">LN(AS4308/AU4308)</f>
        <v>1.3744788766756741</v>
      </c>
      <c r="AW4308" s="13"/>
      <c r="AX4308" s="13"/>
      <c r="AY4308" s="13"/>
    </row>
    <row r="4309" spans="1:51" x14ac:dyDescent="0.25">
      <c r="A4309" t="s">
        <v>4616</v>
      </c>
      <c r="B4309" s="2" t="str">
        <f t="shared" si="4113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4136"/>
        <v>e</v>
      </c>
      <c r="N4309" t="str">
        <f t="shared" si="4137"/>
        <v>11/2</v>
      </c>
      <c r="O4309">
        <v>65967.149999999994</v>
      </c>
      <c r="P4309" t="str">
        <f t="shared" si="4138"/>
        <v>o</v>
      </c>
      <c r="Q4309" t="str">
        <f t="shared" si="4139"/>
        <v>13/2</v>
      </c>
      <c r="R4309">
        <v>39</v>
      </c>
      <c r="AA4309" s="10">
        <f t="shared" si="4114"/>
        <v>2142.5700000000002</v>
      </c>
      <c r="AB4309" s="3">
        <f t="shared" si="4115"/>
        <v>46658.22</v>
      </c>
      <c r="AC4309" s="3" cm="1">
        <f t="array" ref="AC4309">100000000/LvacE(AA4309)</f>
        <v>46658.220384722095</v>
      </c>
      <c r="AD4309" s="10">
        <f t="shared" si="4116"/>
        <v>1.5888377132304218E-2</v>
      </c>
      <c r="AE4309" s="10" t="b">
        <f t="shared" si="4117"/>
        <v>1</v>
      </c>
      <c r="AJ4309" t="s">
        <v>4813</v>
      </c>
      <c r="AK4309" t="s">
        <v>4935</v>
      </c>
      <c r="AL4309">
        <v>19308.93</v>
      </c>
      <c r="AM4309">
        <v>65967.149999999994</v>
      </c>
      <c r="AN4309" s="10" cm="1">
        <f t="array" ref="AN4309">Lair(100000000/($AM4309-$AL4309))</f>
        <v>2142.5700288260987</v>
      </c>
      <c r="AO4309" s="10">
        <f t="shared" si="4140"/>
        <v>2143.2450702148521</v>
      </c>
      <c r="AP4309" s="12">
        <v>115000000</v>
      </c>
      <c r="AQ4309" s="3">
        <v>0.371</v>
      </c>
      <c r="AR4309" s="3">
        <f t="shared" si="4141"/>
        <v>-7.3418054390003853</v>
      </c>
      <c r="AS4309" s="13">
        <f t="shared" si="4142"/>
        <v>33.581017260961907</v>
      </c>
      <c r="AT4309" s="3">
        <f t="shared" si="4143"/>
        <v>3.5139609448463553</v>
      </c>
      <c r="AU4309" s="13" cm="1">
        <f t="array" ref="AU4309">$C4309*EXP(poly_from_str(100000000/$E4309,AU$4343))</f>
        <v>34.76325367152954</v>
      </c>
      <c r="AV4309" s="13">
        <f t="shared" si="4144"/>
        <v>-3.459995506927286E-2</v>
      </c>
      <c r="AW4309" s="13"/>
      <c r="AX4309" s="13"/>
      <c r="AY4309" s="13"/>
    </row>
    <row r="4310" spans="1:51" x14ac:dyDescent="0.25">
      <c r="A4310" t="s">
        <v>4617</v>
      </c>
      <c r="B4310" s="2" t="str">
        <f t="shared" si="4113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4136"/>
        <v>e</v>
      </c>
      <c r="N4310" t="str">
        <f t="shared" si="4137"/>
        <v>5/2</v>
      </c>
      <c r="O4310">
        <v>61717.98</v>
      </c>
      <c r="P4310" t="str">
        <f t="shared" si="4138"/>
        <v>o</v>
      </c>
      <c r="Q4310" t="str">
        <f t="shared" si="4139"/>
        <v>5/2</v>
      </c>
      <c r="R4310">
        <v>39</v>
      </c>
      <c r="AA4310" s="10">
        <f t="shared" si="4114"/>
        <v>2141.933</v>
      </c>
      <c r="AB4310" s="3">
        <f t="shared" si="4115"/>
        <v>46672.09</v>
      </c>
      <c r="AC4310" s="3" cm="1">
        <f t="array" ref="AC4310">100000000/LvacE(AA4310)</f>
        <v>46672.09473186086</v>
      </c>
      <c r="AD4310" s="10">
        <f t="shared" si="4116"/>
        <v>1.5894854024813301E-2</v>
      </c>
      <c r="AE4310" s="10" t="b">
        <f t="shared" si="4117"/>
        <v>1</v>
      </c>
      <c r="AJ4310" t="s">
        <v>4976</v>
      </c>
      <c r="AK4310" t="s">
        <v>4880</v>
      </c>
      <c r="AL4310">
        <v>15045.8</v>
      </c>
      <c r="AM4310">
        <v>61717.98</v>
      </c>
      <c r="AN4310" s="10" cm="1">
        <f t="array" ref="AN4310">Lair(100000000/($AM4310-$AL4310))</f>
        <v>2141.9290975249446</v>
      </c>
      <c r="AO4310" s="10">
        <f t="shared" si="4140"/>
        <v>2142.6040094977348</v>
      </c>
      <c r="AP4310" s="12">
        <v>674000000</v>
      </c>
      <c r="AQ4310" s="3">
        <v>0.68300000000000005</v>
      </c>
      <c r="AR4310" s="3">
        <f t="shared" si="4141"/>
        <v>-7.1528995573436669</v>
      </c>
      <c r="AS4310" s="13">
        <f t="shared" si="4142"/>
        <v>270.81732615247921</v>
      </c>
      <c r="AT4310" s="3">
        <f t="shared" si="4143"/>
        <v>3.6555343712967927</v>
      </c>
      <c r="AU4310" s="13" cm="1">
        <f t="array" ref="AU4310">$C4310*EXP(poly_from_str(100000000/$E4310,AU$4343))</f>
        <v>246.18023158177181</v>
      </c>
      <c r="AV4310" s="13">
        <f t="shared" si="4144"/>
        <v>9.5380603969400263E-2</v>
      </c>
      <c r="AW4310" s="13"/>
      <c r="AX4310" s="13"/>
      <c r="AY4310" s="13"/>
    </row>
    <row r="4311" spans="1:51" x14ac:dyDescent="0.25">
      <c r="A4311" t="s">
        <v>4618</v>
      </c>
      <c r="B4311" s="2" t="str">
        <f t="shared" si="4113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4136"/>
        <v>e</v>
      </c>
      <c r="N4311" t="str">
        <f t="shared" si="4137"/>
        <v>15/2</v>
      </c>
      <c r="O4311">
        <v>64215.45</v>
      </c>
      <c r="P4311" t="str">
        <f t="shared" si="4138"/>
        <v>o</v>
      </c>
      <c r="Q4311" t="str">
        <f t="shared" si="4139"/>
        <v>13/2</v>
      </c>
      <c r="R4311">
        <v>39</v>
      </c>
      <c r="AA4311" s="10">
        <f t="shared" si="4114"/>
        <v>2141.5390000000002</v>
      </c>
      <c r="AB4311" s="3">
        <f t="shared" si="4115"/>
        <v>46680.68</v>
      </c>
      <c r="AC4311" s="3" cm="1">
        <f t="array" ref="AC4311">100000000/LvacE(AA4311)</f>
        <v>46680.680483512995</v>
      </c>
      <c r="AD4311" s="10">
        <f t="shared" si="4116"/>
        <v>1.5898863033433665E-2</v>
      </c>
      <c r="AE4311" s="10" t="b">
        <f t="shared" si="4117"/>
        <v>1</v>
      </c>
      <c r="AJ4311" t="s">
        <v>4701</v>
      </c>
      <c r="AK4311" t="s">
        <v>4823</v>
      </c>
      <c r="AL4311">
        <v>17534.759999999998</v>
      </c>
      <c r="AM4311">
        <v>64215.45</v>
      </c>
      <c r="AN4311" s="10" cm="1">
        <f t="array" ref="AN4311">Lair(100000000/($AM4311-$AL4311))</f>
        <v>2141.5385745804597</v>
      </c>
      <c r="AO4311" s="10">
        <f t="shared" si="4140"/>
        <v>2142.2134077281203</v>
      </c>
      <c r="AP4311" s="12">
        <v>2800000000</v>
      </c>
      <c r="AQ4311" s="3">
        <v>0.69399999999999995</v>
      </c>
      <c r="AR4311" s="3">
        <f t="shared" si="4141"/>
        <v>-8.3187145454090317</v>
      </c>
      <c r="AS4311" s="13">
        <f t="shared" si="4142"/>
        <v>932.94326816772912</v>
      </c>
      <c r="AT4311" s="3">
        <f t="shared" si="4143"/>
        <v>4.641119815840006</v>
      </c>
      <c r="AU4311" s="13" cm="1">
        <f t="array" ref="AU4311">$C4311*EXP(poly_from_str(100000000/$E4311,AU$4343))</f>
        <v>318.80378916211504</v>
      </c>
      <c r="AV4311" s="13">
        <f t="shared" si="4144"/>
        <v>1.073768560627804</v>
      </c>
      <c r="AW4311" s="13"/>
      <c r="AX4311" s="13"/>
      <c r="AY4311" s="13"/>
    </row>
    <row r="4312" spans="1:51" x14ac:dyDescent="0.25">
      <c r="A4312" t="s">
        <v>4619</v>
      </c>
      <c r="B4312" s="2" t="str">
        <f t="shared" si="4113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4136"/>
        <v>e</v>
      </c>
      <c r="N4312" t="str">
        <f t="shared" si="4137"/>
        <v>3/2</v>
      </c>
      <c r="O4312">
        <v>68978.55</v>
      </c>
      <c r="P4312" t="str">
        <f t="shared" si="4138"/>
        <v>o</v>
      </c>
      <c r="Q4312" t="str">
        <f t="shared" si="4139"/>
        <v>5/2</v>
      </c>
      <c r="R4312">
        <v>39</v>
      </c>
      <c r="AA4312" s="10">
        <f t="shared" si="4114"/>
        <v>2140.6109999999999</v>
      </c>
      <c r="AB4312" s="3">
        <f t="shared" si="4115"/>
        <v>46700.91</v>
      </c>
      <c r="AC4312" s="3" cm="1">
        <f t="array" ref="AC4312">100000000/LvacE(AA4312)</f>
        <v>46700.915247071403</v>
      </c>
      <c r="AD4312" s="10">
        <f t="shared" si="4116"/>
        <v>1.5908314319386243E-2</v>
      </c>
      <c r="AE4312" s="10" t="b">
        <f t="shared" si="4117"/>
        <v>1</v>
      </c>
      <c r="AJ4312" t="s">
        <v>4766</v>
      </c>
      <c r="AK4312" t="s">
        <v>4918</v>
      </c>
      <c r="AL4312">
        <v>22277.66</v>
      </c>
      <c r="AM4312">
        <v>68978.55</v>
      </c>
      <c r="AN4312" s="10" cm="1">
        <f t="array" ref="AN4312">Lair(100000000/($AM4312-$AL4312))</f>
        <v>2140.6121686321426</v>
      </c>
      <c r="AO4312" s="10">
        <f t="shared" si="4140"/>
        <v>2141.2868148765474</v>
      </c>
      <c r="AP4312" s="12">
        <v>183000000</v>
      </c>
      <c r="AQ4312" s="3">
        <v>0.20599999999999999</v>
      </c>
      <c r="AR4312" s="3">
        <f t="shared" si="4141"/>
        <v>-7.7714789558472734</v>
      </c>
      <c r="AS4312" s="13">
        <f t="shared" si="4142"/>
        <v>42.667318878984339</v>
      </c>
      <c r="AT4312" s="3">
        <f t="shared" si="4143"/>
        <v>3.7534332613608696</v>
      </c>
      <c r="AU4312" s="13" cm="1">
        <f t="array" ref="AU4312">$C4312*EXP(poly_from_str(100000000/$E4312,AU$4343))</f>
        <v>36.030129259200457</v>
      </c>
      <c r="AV4312" s="13">
        <f t="shared" si="4144"/>
        <v>0.16907774906357684</v>
      </c>
      <c r="AW4312" s="13"/>
      <c r="AX4312" s="13"/>
      <c r="AY4312" s="13"/>
    </row>
    <row r="4313" spans="1:51" x14ac:dyDescent="0.25">
      <c r="A4313" t="s">
        <v>4620</v>
      </c>
      <c r="B4313" s="2" t="str">
        <f t="shared" si="4113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4136"/>
        <v>e</v>
      </c>
      <c r="N4313" t="str">
        <f t="shared" si="4137"/>
        <v>13/2</v>
      </c>
      <c r="O4313">
        <v>63816.91</v>
      </c>
      <c r="P4313" t="str">
        <f t="shared" si="4138"/>
        <v>o</v>
      </c>
      <c r="Q4313" t="str">
        <f t="shared" si="4139"/>
        <v>11/2</v>
      </c>
      <c r="R4313">
        <v>39</v>
      </c>
      <c r="AA4313" s="10">
        <f t="shared" si="4114"/>
        <v>2140.4839999999999</v>
      </c>
      <c r="AB4313" s="3">
        <f t="shared" si="4115"/>
        <v>46703.69</v>
      </c>
      <c r="AC4313" s="3" cm="1">
        <f t="array" ref="AC4313">100000000/LvacE(AA4313)</f>
        <v>46703.685808754395</v>
      </c>
      <c r="AD4313" s="10">
        <f t="shared" si="4116"/>
        <v>1.5909608716709493E-2</v>
      </c>
      <c r="AE4313" s="10" t="b">
        <f t="shared" si="4117"/>
        <v>1</v>
      </c>
      <c r="AJ4313" t="s">
        <v>4729</v>
      </c>
      <c r="AK4313" t="s">
        <v>4928</v>
      </c>
      <c r="AL4313">
        <v>17113.189999999999</v>
      </c>
      <c r="AM4313">
        <v>63816.91</v>
      </c>
      <c r="AN4313" s="10" cm="1">
        <f t="array" ref="AN4313">Lair(100000000/($AM4313-$AL4313))</f>
        <v>2140.4824440660432</v>
      </c>
      <c r="AO4313" s="10">
        <f t="shared" si="4140"/>
        <v>2141.157064148209</v>
      </c>
      <c r="AP4313" s="12">
        <v>146000000</v>
      </c>
      <c r="AQ4313" s="3">
        <v>0.14599999999999999</v>
      </c>
      <c r="AR4313" s="3">
        <f t="shared" si="4141"/>
        <v>-7.5433174069588818</v>
      </c>
      <c r="AS4313" s="13">
        <f t="shared" si="4142"/>
        <v>50.148002569654302</v>
      </c>
      <c r="AT4313" s="3">
        <f t="shared" si="4143"/>
        <v>3.9149786844951886</v>
      </c>
      <c r="AU4313" s="13" cm="1">
        <f t="array" ref="AU4313">$C4313*EXP(poly_from_str(100000000/$E4313,AU$4343))</f>
        <v>36.114632897608857</v>
      </c>
      <c r="AV4313" s="13">
        <f t="shared" si="4144"/>
        <v>0.32828055786173821</v>
      </c>
      <c r="AW4313" s="13"/>
      <c r="AX4313" s="13"/>
      <c r="AY4313" s="13"/>
    </row>
    <row r="4314" spans="1:51" x14ac:dyDescent="0.25">
      <c r="A4314" t="s">
        <v>4621</v>
      </c>
      <c r="B4314" s="2" t="str">
        <f t="shared" si="4113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4136"/>
        <v>e</v>
      </c>
      <c r="N4314" t="str">
        <f t="shared" si="4137"/>
        <v>11/2</v>
      </c>
      <c r="O4314">
        <v>62240.83</v>
      </c>
      <c r="P4314" t="str">
        <f t="shared" si="4138"/>
        <v>o</v>
      </c>
      <c r="Q4314" t="str">
        <f t="shared" si="4139"/>
        <v>11/2</v>
      </c>
      <c r="R4314">
        <v>39</v>
      </c>
      <c r="AA4314" s="10">
        <f t="shared" si="4114"/>
        <v>2139.9499999999998</v>
      </c>
      <c r="AB4314" s="3">
        <f t="shared" si="4115"/>
        <v>46715.34</v>
      </c>
      <c r="AC4314" s="3" cm="1">
        <f t="array" ref="AC4314">100000000/LvacE(AA4314)</f>
        <v>46715.338854476315</v>
      </c>
      <c r="AD4314" s="10">
        <f t="shared" si="4116"/>
        <v>1.5915053822396861E-2</v>
      </c>
      <c r="AE4314" s="10" t="b">
        <f t="shared" si="4117"/>
        <v>1</v>
      </c>
      <c r="AJ4314" t="s">
        <v>4734</v>
      </c>
      <c r="AK4314" t="s">
        <v>4892</v>
      </c>
      <c r="AL4314">
        <v>15525.5</v>
      </c>
      <c r="AM4314">
        <v>62240.83</v>
      </c>
      <c r="AN4314" s="10" cm="1">
        <f t="array" ref="AN4314">Lair(100000000/($AM4314-$AL4314))</f>
        <v>2139.9504169500337</v>
      </c>
      <c r="AO4314" s="10">
        <f t="shared" si="4140"/>
        <v>2140.6249297607446</v>
      </c>
      <c r="AP4314" s="12">
        <v>241000000</v>
      </c>
      <c r="AQ4314" s="3">
        <v>0.14599999999999999</v>
      </c>
      <c r="AR4314" s="3">
        <f t="shared" si="4141"/>
        <v>-6.9363114197017461</v>
      </c>
      <c r="AS4314" s="13">
        <f t="shared" si="4142"/>
        <v>93.19529625372904</v>
      </c>
      <c r="AT4314" s="3">
        <f t="shared" si="4143"/>
        <v>3.436084962369224</v>
      </c>
      <c r="AU4314" s="13" cm="1">
        <f t="array" ref="AU4314">$C4314*EXP(poly_from_str(100000000/$E4314,AU$4343))</f>
        <v>109.41445194259711</v>
      </c>
      <c r="AV4314" s="13">
        <f t="shared" si="4144"/>
        <v>-0.16044573207775895</v>
      </c>
      <c r="AW4314" s="13"/>
      <c r="AX4314" s="13"/>
      <c r="AY4314" s="13"/>
    </row>
    <row r="4315" spans="1:51" x14ac:dyDescent="0.25">
      <c r="A4315" t="s">
        <v>4622</v>
      </c>
      <c r="B4315" s="2" t="str">
        <f t="shared" si="4113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4114"/>
        <v>2139.915</v>
      </c>
      <c r="AB4315" s="3">
        <f t="shared" si="4115"/>
        <v>46716.1</v>
      </c>
      <c r="AC4315" s="3" cm="1">
        <f t="array" ref="AC4315">100000000/LvacE(AA4315)</f>
        <v>46716.102833913872</v>
      </c>
      <c r="AD4315" s="10">
        <f t="shared" si="4116"/>
        <v>1.5915410853682008E-2</v>
      </c>
      <c r="AE4315" s="10" t="b">
        <f t="shared" si="4117"/>
        <v>1</v>
      </c>
      <c r="AP4315"/>
      <c r="AQ4315"/>
      <c r="AU4315" s="13" cm="1">
        <f t="array" ref="AU4315">$C4315*EXP(poly_from_str(100000000/$E4315,AU$4343))</f>
        <v>36.494917412102531</v>
      </c>
    </row>
    <row r="4316" spans="1:51" x14ac:dyDescent="0.25">
      <c r="A4316" t="s">
        <v>4623</v>
      </c>
      <c r="B4316" s="2" t="str">
        <f t="shared" si="4113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4145">$G4316&amp;""</f>
        <v>e</v>
      </c>
      <c r="N4316" t="str">
        <f t="shared" ref="N4316:N4327" si="4146">$H4316&amp;""</f>
        <v>13/2</v>
      </c>
      <c r="O4316">
        <v>62240.83</v>
      </c>
      <c r="P4316" t="str">
        <f t="shared" ref="P4316:P4327" si="4147">$J4316&amp;""</f>
        <v>o</v>
      </c>
      <c r="Q4316" t="str">
        <f t="shared" ref="Q4316:Q4327" si="4148">$K4316&amp;""</f>
        <v>11/2</v>
      </c>
      <c r="R4316">
        <v>39</v>
      </c>
      <c r="AA4316" s="10">
        <f t="shared" si="4114"/>
        <v>2136.6880000000001</v>
      </c>
      <c r="AB4316" s="3">
        <f t="shared" si="4115"/>
        <v>46786.65</v>
      </c>
      <c r="AC4316" s="3" cm="1">
        <f t="array" ref="AC4316">100000000/LvacE(AA4316)</f>
        <v>46786.649245532601</v>
      </c>
      <c r="AD4316" s="10">
        <f t="shared" si="4116"/>
        <v>1.5948404550765623E-2</v>
      </c>
      <c r="AE4316" s="10" t="b">
        <f t="shared" si="4117"/>
        <v>1</v>
      </c>
      <c r="AJ4316" t="s">
        <v>4803</v>
      </c>
      <c r="AK4316" t="s">
        <v>4892</v>
      </c>
      <c r="AL4316">
        <v>15454.16</v>
      </c>
      <c r="AM4316">
        <v>62240.83</v>
      </c>
      <c r="AN4316" s="10" cm="1">
        <f t="array" ref="AN4316">Lair(100000000/($AM4316-$AL4316))</f>
        <v>2136.6870635320365</v>
      </c>
      <c r="AO4316" s="10">
        <f t="shared" ref="AO4316:AO4327" si="4149">100000000/($AM4316-$AL4316)</f>
        <v>2137.3609192532831</v>
      </c>
      <c r="AP4316" s="12">
        <v>887000000</v>
      </c>
      <c r="AQ4316" s="3">
        <v>0.627</v>
      </c>
      <c r="AR4316" s="3">
        <f t="shared" ref="AR4316:AR4327" si="4150">LN(AU4316*100000000/($AM4316-$AL4316)/AP4316)</f>
        <v>-7.332856348393836</v>
      </c>
      <c r="AS4316" s="13">
        <f t="shared" ref="AS4316:AS4327" si="4151">EXP(AR$4341*$AM4316+AR$4342)*$AP4316/(100000000/($AM4316-$AL4316))</f>
        <v>343.52890507648874</v>
      </c>
      <c r="AT4316" s="3">
        <f t="shared" ref="AT4316:AT4327" si="4152">LN(AS4316/$C4316)</f>
        <v>3.8933611077610784</v>
      </c>
      <c r="AU4316" s="13" cm="1">
        <f t="array" ref="AU4316">$C4316*EXP(poly_from_str(100000000/$E4316,AU$4343))</f>
        <v>271.28557822106586</v>
      </c>
      <c r="AV4316" s="13">
        <f t="shared" ref="AV4316:AV4320" si="4153">LN(AS4316/AU4316)</f>
        <v>0.23609919661433104</v>
      </c>
      <c r="AW4316" s="13"/>
      <c r="AX4316" s="13"/>
      <c r="AY4316" s="13"/>
    </row>
    <row r="4317" spans="1:51" x14ac:dyDescent="0.25">
      <c r="A4317" t="s">
        <v>4624</v>
      </c>
      <c r="B4317" s="2" t="str">
        <f t="shared" si="4113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4145"/>
        <v>e</v>
      </c>
      <c r="N4317" t="str">
        <f t="shared" si="4146"/>
        <v>11/2</v>
      </c>
      <c r="O4317">
        <v>68544.19</v>
      </c>
      <c r="P4317" t="str">
        <f t="shared" si="4147"/>
        <v>o</v>
      </c>
      <c r="Q4317" t="str">
        <f t="shared" si="4148"/>
        <v>9/2</v>
      </c>
      <c r="R4317">
        <v>39</v>
      </c>
      <c r="AA4317" s="10">
        <f t="shared" si="4114"/>
        <v>2136.6080000000002</v>
      </c>
      <c r="AB4317" s="3">
        <f t="shared" si="4115"/>
        <v>46788.4</v>
      </c>
      <c r="AC4317" s="3" cm="1">
        <f t="array" ref="AC4317">100000000/LvacE(AA4317)</f>
        <v>46788.400855635948</v>
      </c>
      <c r="AD4317" s="10">
        <f t="shared" si="4116"/>
        <v>1.5949224391099338E-2</v>
      </c>
      <c r="AE4317" s="10" t="b">
        <f t="shared" si="4117"/>
        <v>1</v>
      </c>
      <c r="AJ4317" t="s">
        <v>4965</v>
      </c>
      <c r="AK4317" t="s">
        <v>4901</v>
      </c>
      <c r="AL4317">
        <v>21755.84</v>
      </c>
      <c r="AM4317">
        <v>68544.19</v>
      </c>
      <c r="AN4317" s="10" cm="1">
        <f t="array" ref="AN4317">Lair(100000000/($AM4317-$AL4317))</f>
        <v>2136.6103340824302</v>
      </c>
      <c r="AO4317" s="10">
        <f t="shared" si="4149"/>
        <v>2137.2841743724662</v>
      </c>
      <c r="AP4317" s="12">
        <v>1870000000</v>
      </c>
      <c r="AQ4317" s="3">
        <v>0.65800000000000003</v>
      </c>
      <c r="AR4317" s="3">
        <f t="shared" si="4150"/>
        <v>-8.0772387898080016</v>
      </c>
      <c r="AS4317" s="13">
        <f t="shared" si="4151"/>
        <v>451.28954808533024</v>
      </c>
      <c r="AT4317" s="3">
        <f t="shared" si="4152"/>
        <v>4.1661989979378404</v>
      </c>
      <c r="AU4317" s="13" cm="1">
        <f t="array" ref="AU4317">$C4317*EXP(poly_from_str(100000000/$E4317,AU$4343))</f>
        <v>271.69340779935112</v>
      </c>
      <c r="AV4317" s="13">
        <f t="shared" si="4153"/>
        <v>0.50743489364742789</v>
      </c>
      <c r="AW4317" s="13"/>
      <c r="AX4317" s="13"/>
      <c r="AY4317" s="13"/>
    </row>
    <row r="4318" spans="1:51" x14ac:dyDescent="0.25">
      <c r="A4318" t="s">
        <v>4625</v>
      </c>
      <c r="B4318" s="2" t="str">
        <f t="shared" si="4113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4145"/>
        <v>e</v>
      </c>
      <c r="N4318" t="str">
        <f t="shared" si="4146"/>
        <v>9/2</v>
      </c>
      <c r="O4318">
        <v>61357.04</v>
      </c>
      <c r="P4318" t="str">
        <f t="shared" si="4147"/>
        <v>o</v>
      </c>
      <c r="Q4318" t="str">
        <f t="shared" si="4148"/>
        <v>9/2</v>
      </c>
      <c r="R4318">
        <v>39</v>
      </c>
      <c r="AA4318" s="10">
        <f t="shared" si="4114"/>
        <v>2136.1570000000002</v>
      </c>
      <c r="AB4318" s="3">
        <f t="shared" si="4115"/>
        <v>46798.28</v>
      </c>
      <c r="AC4318" s="3" cm="1">
        <f t="array" ref="AC4318">100000000/LvacE(AA4318)</f>
        <v>46798.278011556053</v>
      </c>
      <c r="AD4318" s="10">
        <f t="shared" si="4116"/>
        <v>1.5953847964254513E-2</v>
      </c>
      <c r="AE4318" s="10" t="b">
        <f t="shared" si="4117"/>
        <v>1</v>
      </c>
      <c r="AJ4318" t="s">
        <v>4753</v>
      </c>
      <c r="AK4318" t="s">
        <v>4903</v>
      </c>
      <c r="AL4318">
        <v>14558.82</v>
      </c>
      <c r="AM4318">
        <v>61357.04</v>
      </c>
      <c r="AN4318" s="10" cm="1">
        <f t="array" ref="AN4318">Lair(100000000/($AM4318-$AL4318))</f>
        <v>2136.1596598044748</v>
      </c>
      <c r="AO4318" s="10">
        <f t="shared" si="4149"/>
        <v>2136.8334094758306</v>
      </c>
      <c r="AP4318" s="12">
        <v>921000000</v>
      </c>
      <c r="AQ4318" s="3">
        <v>0.45600000000000002</v>
      </c>
      <c r="AR4318" s="3">
        <f t="shared" si="4150"/>
        <v>-7.5148751541426968</v>
      </c>
      <c r="AS4318" s="13">
        <f t="shared" si="4151"/>
        <v>381.25129376574682</v>
      </c>
      <c r="AT4318" s="3">
        <f t="shared" si="4152"/>
        <v>4.1516992521717349</v>
      </c>
      <c r="AU4318" s="13" cm="1">
        <f t="array" ref="AU4318">$C4318*EXP(poly_from_str(100000000/$E4318,AU$4343))</f>
        <v>234.86600102726374</v>
      </c>
      <c r="AV4318" s="13">
        <f t="shared" si="4153"/>
        <v>0.48444357828088491</v>
      </c>
      <c r="AW4318" s="13"/>
      <c r="AX4318" s="13"/>
      <c r="AY4318" s="13"/>
    </row>
    <row r="4319" spans="1:51" x14ac:dyDescent="0.25">
      <c r="A4319" t="s">
        <v>4626</v>
      </c>
      <c r="B4319" s="2" t="str">
        <f t="shared" si="4113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4145"/>
        <v>e</v>
      </c>
      <c r="N4319" t="str">
        <f t="shared" si="4146"/>
        <v>13/2</v>
      </c>
      <c r="O4319">
        <v>69978.080000000002</v>
      </c>
      <c r="P4319" t="str">
        <f t="shared" si="4147"/>
        <v>o</v>
      </c>
      <c r="Q4319" t="str">
        <f t="shared" si="4148"/>
        <v>11/2</v>
      </c>
      <c r="R4319">
        <v>39</v>
      </c>
      <c r="AA4319" s="10">
        <f t="shared" si="4114"/>
        <v>2135.942</v>
      </c>
      <c r="AB4319" s="3">
        <f t="shared" si="4115"/>
        <v>46802.99</v>
      </c>
      <c r="AC4319" s="3" cm="1">
        <f t="array" ref="AC4319">100000000/LvacE(AA4319)</f>
        <v>46802.988101338357</v>
      </c>
      <c r="AD4319" s="10">
        <f t="shared" si="4116"/>
        <v>1.5956053137523948E-2</v>
      </c>
      <c r="AE4319" s="10" t="b">
        <f t="shared" si="4117"/>
        <v>1</v>
      </c>
      <c r="AJ4319" t="s">
        <v>4969</v>
      </c>
      <c r="AK4319" t="s">
        <v>4941</v>
      </c>
      <c r="AL4319">
        <v>23175.09</v>
      </c>
      <c r="AM4319">
        <v>69978.080000000002</v>
      </c>
      <c r="AN4319" s="10" cm="1">
        <f t="array" ref="AN4319">Lair(100000000/($AM4319-$AL4319))</f>
        <v>2135.9419248522809</v>
      </c>
      <c r="AO4319" s="10">
        <f t="shared" si="4149"/>
        <v>2136.6156307535052</v>
      </c>
      <c r="AP4319" s="12">
        <v>963000000</v>
      </c>
      <c r="AQ4319" s="3">
        <v>0.54</v>
      </c>
      <c r="AR4319" s="3">
        <f t="shared" si="4150"/>
        <v>-8.6541282835527475</v>
      </c>
      <c r="AS4319" s="13">
        <f t="shared" si="4151"/>
        <v>208.75741830156556</v>
      </c>
      <c r="AT4319" s="3">
        <f t="shared" si="4152"/>
        <v>4.6480257193135701</v>
      </c>
      <c r="AU4319" s="13" cm="1">
        <f t="array" ref="AU4319">$C4319*EXP(poly_from_str(100000000/$E4319,AU$4343))</f>
        <v>78.606729357920671</v>
      </c>
      <c r="AV4319" s="13">
        <f t="shared" si="4153"/>
        <v>0.97671558886240917</v>
      </c>
      <c r="AW4319" s="13"/>
      <c r="AX4319" s="13"/>
      <c r="AY4319" s="13"/>
    </row>
    <row r="4320" spans="1:51" x14ac:dyDescent="0.25">
      <c r="A4320" t="s">
        <v>4627</v>
      </c>
      <c r="B4320" s="2">
        <f t="shared" si="4113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4145"/>
        <v>e</v>
      </c>
      <c r="N4320" t="str">
        <f t="shared" si="4146"/>
        <v>7/2</v>
      </c>
      <c r="O4320">
        <v>65909.440000000002</v>
      </c>
      <c r="P4320" t="str">
        <f t="shared" si="4147"/>
        <v>o</v>
      </c>
      <c r="Q4320" t="str">
        <f t="shared" si="4148"/>
        <v>5/2</v>
      </c>
      <c r="R4320">
        <v>39</v>
      </c>
      <c r="AA4320" s="10">
        <f t="shared" si="4114"/>
        <v>2130.6460000000002</v>
      </c>
      <c r="AB4320" s="3">
        <f t="shared" si="4115"/>
        <v>46919.31</v>
      </c>
      <c r="AC4320" s="3" cm="1">
        <f t="array" ref="AC4320">100000000/LvacE(AA4320)</f>
        <v>46919.30967434591</v>
      </c>
      <c r="AD4320" s="10">
        <f t="shared" si="4116"/>
        <v>1.6010583098822119E-2</v>
      </c>
      <c r="AE4320" s="10" t="b">
        <f t="shared" si="4117"/>
        <v>1</v>
      </c>
      <c r="AJ4320" t="s">
        <v>4968</v>
      </c>
      <c r="AK4320" t="s">
        <v>4907</v>
      </c>
      <c r="AL4320">
        <v>18990.080000000002</v>
      </c>
      <c r="AM4320">
        <v>65909.440000000002</v>
      </c>
      <c r="AN4320" s="10" cm="1">
        <f t="array" ref="AN4320">Lair(100000000/($AM4320-$AL4320))</f>
        <v>2130.6437262129775</v>
      </c>
      <c r="AO4320" s="10">
        <f t="shared" si="4149"/>
        <v>2131.3163691917366</v>
      </c>
      <c r="AP4320" s="12">
        <v>467000000</v>
      </c>
      <c r="AQ4320" s="3">
        <v>0.64700000000000002</v>
      </c>
      <c r="AR4320" s="3">
        <f t="shared" si="4150"/>
        <v>-8.5246018456424864</v>
      </c>
      <c r="AS4320" s="13">
        <f t="shared" si="4151"/>
        <v>137.72656252666292</v>
      </c>
      <c r="AT4320" s="3">
        <f t="shared" si="4152"/>
        <v>4.9252702885597195</v>
      </c>
      <c r="AU4320" s="13" cm="1">
        <f t="array" ref="AU4320">$C4320*EXP(poly_from_str(100000000/$E4320,AU$4343))</f>
        <v>43.499214848588061</v>
      </c>
      <c r="AV4320" s="13">
        <f t="shared" si="4153"/>
        <v>1.1525274000857202</v>
      </c>
      <c r="AW4320" s="13"/>
      <c r="AX4320" s="13"/>
      <c r="AY4320" s="13"/>
    </row>
    <row r="4321" spans="1:51" x14ac:dyDescent="0.25">
      <c r="A4321" t="s">
        <v>4627</v>
      </c>
      <c r="B4321" s="2">
        <f t="shared" si="4113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4145"/>
        <v>e</v>
      </c>
      <c r="N4321" t="str">
        <f t="shared" si="4146"/>
        <v>9/2</v>
      </c>
      <c r="O4321">
        <v>75640</v>
      </c>
      <c r="P4321" t="str">
        <f t="shared" si="4147"/>
        <v>o</v>
      </c>
      <c r="Q4321" t="str">
        <f t="shared" si="4148"/>
        <v>11/2</v>
      </c>
      <c r="R4321">
        <v>39</v>
      </c>
      <c r="AA4321" s="10">
        <f t="shared" si="4114"/>
        <v>2130.6460000000002</v>
      </c>
      <c r="AB4321" s="3">
        <f t="shared" si="4115"/>
        <v>46919.31</v>
      </c>
      <c r="AC4321" s="3" cm="1">
        <f t="array" ref="AC4321">100000000/LvacE(AA4321)</f>
        <v>46919.30967434591</v>
      </c>
      <c r="AD4321" s="10">
        <f t="shared" si="4116"/>
        <v>1.6010583098822119E-2</v>
      </c>
      <c r="AE4321" s="10" t="b">
        <f t="shared" si="4117"/>
        <v>1</v>
      </c>
      <c r="AJ4321" t="s">
        <v>4708</v>
      </c>
      <c r="AK4321" t="s">
        <v>4938</v>
      </c>
      <c r="AL4321">
        <v>28720.71</v>
      </c>
      <c r="AM4321">
        <v>75640</v>
      </c>
      <c r="AN4321" s="10" cm="1">
        <f t="array" ref="AN4321">Lair(100000000/($AM4321-$AL4321))</f>
        <v>2130.6469053377982</v>
      </c>
      <c r="AO4321" s="10">
        <f t="shared" si="4149"/>
        <v>2131.3195489531063</v>
      </c>
      <c r="AP4321" s="12">
        <v>31000000</v>
      </c>
      <c r="AQ4321" s="3">
        <v>7.0000000000000007E-2</v>
      </c>
      <c r="AR4321" s="14"/>
      <c r="AS4321" s="13">
        <f t="shared" si="4151"/>
        <v>4.4047334360128589</v>
      </c>
      <c r="AT4321" s="14"/>
      <c r="AU4321" s="13" cm="1">
        <f t="array" ref="AU4321">$C4321*EXP(poly_from_str(100000000/$E4321,AU$4343))</f>
        <v>43.499214848588061</v>
      </c>
      <c r="AV4321" s="13"/>
      <c r="AW4321" s="13"/>
      <c r="AX4321" s="13"/>
      <c r="AY4321" s="13"/>
    </row>
    <row r="4322" spans="1:51" x14ac:dyDescent="0.25">
      <c r="A4322" t="s">
        <v>4628</v>
      </c>
      <c r="B4322" s="2" t="str">
        <f t="shared" si="4113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4145"/>
        <v>e</v>
      </c>
      <c r="N4322" t="str">
        <f t="shared" si="4146"/>
        <v>9/2</v>
      </c>
      <c r="O4322">
        <v>67240.350000000006</v>
      </c>
      <c r="P4322" t="str">
        <f t="shared" si="4147"/>
        <v>o</v>
      </c>
      <c r="Q4322" t="str">
        <f t="shared" si="4148"/>
        <v>7/2</v>
      </c>
      <c r="R4322">
        <v>39</v>
      </c>
      <c r="AA4322" s="10">
        <f t="shared" si="4114"/>
        <v>2130.3980000000001</v>
      </c>
      <c r="AB4322" s="3">
        <f t="shared" si="4115"/>
        <v>46924.77</v>
      </c>
      <c r="AC4322" s="3" cm="1">
        <f t="array" ref="AC4322">100000000/LvacE(AA4322)</f>
        <v>46924.770928301696</v>
      </c>
      <c r="AD4322" s="10">
        <f t="shared" si="4116"/>
        <v>1.6013146587703728E-2</v>
      </c>
      <c r="AE4322" s="10" t="b">
        <f t="shared" si="4117"/>
        <v>1</v>
      </c>
      <c r="AJ4322" t="s">
        <v>4964</v>
      </c>
      <c r="AK4322" t="s">
        <v>4852</v>
      </c>
      <c r="AL4322">
        <v>20315.650000000001</v>
      </c>
      <c r="AM4322">
        <v>67240.350000000006</v>
      </c>
      <c r="AN4322" s="10" cm="1">
        <f t="array" ref="AN4322">Lair(100000000/($AM4322-$AL4322))</f>
        <v>2130.4012323613956</v>
      </c>
      <c r="AO4322" s="10">
        <f t="shared" si="4149"/>
        <v>2131.0738267905813</v>
      </c>
      <c r="AP4322" s="12">
        <v>762000000</v>
      </c>
      <c r="AQ4322" s="3">
        <v>0.47599999999999998</v>
      </c>
      <c r="AR4322" s="3">
        <f t="shared" si="4150"/>
        <v>-7.9108978890461144</v>
      </c>
      <c r="AS4322" s="13">
        <f t="shared" si="4151"/>
        <v>203.38910325569455</v>
      </c>
      <c r="AT4322" s="3">
        <f t="shared" si="4152"/>
        <v>4.2165086205304139</v>
      </c>
      <c r="AU4322" s="13" cm="1">
        <f t="array" ref="AU4322">$C4322*EXP(poly_from_str(100000000/$E4322,AU$4343))</f>
        <v>131.12852497449654</v>
      </c>
      <c r="AV4322" s="13">
        <f t="shared" ref="AV4322:AV4327" si="4154">LN(AS4322/AU4322)</f>
        <v>0.43894296029241686</v>
      </c>
      <c r="AW4322" s="13"/>
      <c r="AX4322" s="13"/>
      <c r="AY4322" s="13"/>
    </row>
    <row r="4323" spans="1:51" x14ac:dyDescent="0.25">
      <c r="A4323" t="s">
        <v>4629</v>
      </c>
      <c r="B4323" s="2" t="str">
        <f t="shared" si="4113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4145"/>
        <v>e</v>
      </c>
      <c r="N4323" t="str">
        <f t="shared" si="4146"/>
        <v>11/2</v>
      </c>
      <c r="O4323">
        <v>62558.67</v>
      </c>
      <c r="P4323" t="str">
        <f t="shared" si="4147"/>
        <v>o</v>
      </c>
      <c r="Q4323" t="str">
        <f t="shared" si="4148"/>
        <v>11/2</v>
      </c>
      <c r="R4323">
        <v>39</v>
      </c>
      <c r="AA4323" s="10">
        <f t="shared" si="4114"/>
        <v>2125.4850000000001</v>
      </c>
      <c r="AB4323" s="3">
        <f t="shared" si="4115"/>
        <v>47033.22</v>
      </c>
      <c r="AC4323" s="3" cm="1">
        <f t="array" ref="AC4323">100000000/LvacE(AA4323)</f>
        <v>47033.223641025608</v>
      </c>
      <c r="AD4323" s="10">
        <f t="shared" si="4116"/>
        <v>1.6064115635025796E-2</v>
      </c>
      <c r="AE4323" s="10" t="b">
        <f t="shared" si="4117"/>
        <v>1</v>
      </c>
      <c r="AJ4323" t="s">
        <v>4734</v>
      </c>
      <c r="AK4323" t="s">
        <v>4821</v>
      </c>
      <c r="AL4323">
        <v>15525.5</v>
      </c>
      <c r="AM4323">
        <v>62558.67</v>
      </c>
      <c r="AN4323" s="10" cm="1">
        <f t="array" ref="AN4323">Lair(100000000/($AM4323-$AL4323))</f>
        <v>2125.4874364870689</v>
      </c>
      <c r="AO4323" s="10">
        <f t="shared" si="4149"/>
        <v>2126.1590490285898</v>
      </c>
      <c r="AP4323" s="12">
        <v>750000000</v>
      </c>
      <c r="AQ4323" s="3">
        <v>0.53200000000000003</v>
      </c>
      <c r="AR4323" s="3">
        <f t="shared" si="4150"/>
        <v>-7.5127124909369032</v>
      </c>
      <c r="AS4323" s="13">
        <f t="shared" si="4151"/>
        <v>285.11750200939628</v>
      </c>
      <c r="AT4323" s="3">
        <f t="shared" si="4152"/>
        <v>4.266607021933785</v>
      </c>
      <c r="AU4323" s="13" cm="1">
        <f t="array" ref="AU4323">$C4323*EXP(poly_from_str(100000000/$E4323,AU$4343))</f>
        <v>192.63532736874842</v>
      </c>
      <c r="AV4323" s="13">
        <f t="shared" si="4154"/>
        <v>0.39210247699593581</v>
      </c>
      <c r="AW4323" s="13"/>
      <c r="AX4323" s="13"/>
      <c r="AY4323" s="13"/>
    </row>
    <row r="4324" spans="1:51" x14ac:dyDescent="0.25">
      <c r="A4324" t="s">
        <v>4630</v>
      </c>
      <c r="B4324" s="2" t="str">
        <f t="shared" si="4113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4145"/>
        <v>e</v>
      </c>
      <c r="N4324" t="str">
        <f t="shared" si="4146"/>
        <v>9/2</v>
      </c>
      <c r="O4324">
        <v>61605.66</v>
      </c>
      <c r="P4324" t="str">
        <f t="shared" si="4147"/>
        <v>o</v>
      </c>
      <c r="Q4324" t="str">
        <f t="shared" si="4148"/>
        <v>7/2</v>
      </c>
      <c r="R4324">
        <v>39</v>
      </c>
      <c r="AA4324" s="10">
        <f t="shared" si="4114"/>
        <v>2124.8679999999999</v>
      </c>
      <c r="AB4324" s="3">
        <f t="shared" si="4115"/>
        <v>47046.879999999997</v>
      </c>
      <c r="AC4324" s="3" cm="1">
        <f t="array" ref="AC4324">100000000/LvacE(AA4324)</f>
        <v>47046.879131254078</v>
      </c>
      <c r="AD4324" s="10">
        <f t="shared" si="4116"/>
        <v>1.6070541589231446E-2</v>
      </c>
      <c r="AE4324" s="10" t="b">
        <f t="shared" si="4117"/>
        <v>1</v>
      </c>
      <c r="AJ4324" t="s">
        <v>4753</v>
      </c>
      <c r="AK4324" t="s">
        <v>4822</v>
      </c>
      <c r="AL4324">
        <v>14558.82</v>
      </c>
      <c r="AM4324">
        <v>61605.66</v>
      </c>
      <c r="AN4324" s="10" cm="1">
        <f t="array" ref="AN4324">Lair(100000000/($AM4324-$AL4324))</f>
        <v>2124.8697797061823</v>
      </c>
      <c r="AO4324" s="10">
        <f t="shared" si="4149"/>
        <v>2125.5412690841722</v>
      </c>
      <c r="AP4324" s="12">
        <v>610000000</v>
      </c>
      <c r="AQ4324" s="3">
        <v>0.40799999999999997</v>
      </c>
      <c r="AR4324" s="3">
        <f t="shared" si="4150"/>
        <v>-7.2940238812554359</v>
      </c>
      <c r="AS4324" s="13">
        <f t="shared" si="4151"/>
        <v>249.16069507121821</v>
      </c>
      <c r="AT4324" s="3">
        <f t="shared" si="4152"/>
        <v>4.1318036889202876</v>
      </c>
      <c r="AU4324" s="13" cm="1">
        <f t="array" ref="AU4324">$C4324*EXP(poly_from_str(100000000/$E4324,AU$4343))</f>
        <v>195.03204337987358</v>
      </c>
      <c r="AV4324" s="13">
        <f t="shared" si="4154"/>
        <v>0.24493417995131628</v>
      </c>
      <c r="AW4324" s="13"/>
      <c r="AX4324" s="13"/>
      <c r="AY4324" s="13"/>
    </row>
    <row r="4325" spans="1:51" x14ac:dyDescent="0.25">
      <c r="A4325" t="s">
        <v>4631</v>
      </c>
      <c r="B4325" s="2" t="str">
        <f t="shared" si="4113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4145"/>
        <v>e</v>
      </c>
      <c r="N4325" t="str">
        <f t="shared" si="4146"/>
        <v>13/2</v>
      </c>
      <c r="O4325">
        <v>64215.45</v>
      </c>
      <c r="P4325" t="str">
        <f t="shared" si="4147"/>
        <v>o</v>
      </c>
      <c r="Q4325" t="str">
        <f t="shared" si="4148"/>
        <v>13/2</v>
      </c>
      <c r="R4325">
        <v>39</v>
      </c>
      <c r="AA4325" s="10">
        <f t="shared" si="4114"/>
        <v>2122.3679999999999</v>
      </c>
      <c r="AB4325" s="3">
        <f t="shared" si="4115"/>
        <v>47102.29</v>
      </c>
      <c r="AC4325" s="3" cm="1">
        <f t="array" ref="AC4325">100000000/LvacE(AA4325)</f>
        <v>47102.290556099702</v>
      </c>
      <c r="AD4325" s="10">
        <f t="shared" si="4116"/>
        <v>1.6096636058426178E-2</v>
      </c>
      <c r="AE4325" s="10" t="b">
        <f t="shared" si="4117"/>
        <v>1</v>
      </c>
      <c r="AJ4325" t="s">
        <v>4729</v>
      </c>
      <c r="AK4325" t="s">
        <v>4823</v>
      </c>
      <c r="AL4325">
        <v>17113.189999999999</v>
      </c>
      <c r="AM4325">
        <v>64215.45</v>
      </c>
      <c r="AN4325" s="10" cm="1">
        <f t="array" ref="AN4325">Lair(100000000/($AM4325-$AL4325))</f>
        <v>2122.369389268099</v>
      </c>
      <c r="AO4325" s="10">
        <f t="shared" si="4149"/>
        <v>2123.0403806526483</v>
      </c>
      <c r="AP4325" s="12">
        <v>1170000000</v>
      </c>
      <c r="AQ4325" s="3">
        <v>0.55000000000000004</v>
      </c>
      <c r="AR4325" s="3">
        <f t="shared" si="4150"/>
        <v>-7.895988624804696</v>
      </c>
      <c r="AS4325" s="13">
        <f t="shared" si="4151"/>
        <v>393.35759885411113</v>
      </c>
      <c r="AT4325" s="3">
        <f t="shared" si="4152"/>
        <v>4.5884247577708139</v>
      </c>
      <c r="AU4325" s="13" cm="1">
        <f t="array" ref="AU4325">$C4325*EXP(poly_from_str(100000000/$E4325,AU$4343))</f>
        <v>205.13667798727121</v>
      </c>
      <c r="AV4325" s="13">
        <f t="shared" si="4154"/>
        <v>0.65104264002346701</v>
      </c>
      <c r="AW4325" s="13"/>
      <c r="AX4325" s="13"/>
      <c r="AY4325" s="13"/>
    </row>
    <row r="4326" spans="1:51" x14ac:dyDescent="0.25">
      <c r="A4326" t="s">
        <v>4632</v>
      </c>
      <c r="B4326" s="2" t="str">
        <f t="shared" si="4113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4145"/>
        <v>e</v>
      </c>
      <c r="N4326" t="str">
        <f t="shared" si="4146"/>
        <v>13/2</v>
      </c>
      <c r="O4326">
        <v>62558.67</v>
      </c>
      <c r="P4326" t="str">
        <f t="shared" si="4147"/>
        <v>o</v>
      </c>
      <c r="Q4326" t="str">
        <f t="shared" si="4148"/>
        <v>11/2</v>
      </c>
      <c r="R4326">
        <v>39</v>
      </c>
      <c r="AA4326" s="10">
        <f t="shared" si="4114"/>
        <v>2122.2689999999998</v>
      </c>
      <c r="AB4326" s="3">
        <f t="shared" si="4115"/>
        <v>47104.49</v>
      </c>
      <c r="AC4326" s="3" cm="1">
        <f t="array" ref="AC4326">100000000/LvacE(AA4326)</f>
        <v>47104.487534972111</v>
      </c>
      <c r="AD4326" s="10">
        <f t="shared" si="4116"/>
        <v>1.6097671297788385E-2</v>
      </c>
      <c r="AE4326" s="10" t="b">
        <f t="shared" si="4117"/>
        <v>1</v>
      </c>
      <c r="AJ4326" t="s">
        <v>4803</v>
      </c>
      <c r="AK4326" t="s">
        <v>4821</v>
      </c>
      <c r="AL4326">
        <v>15454.16</v>
      </c>
      <c r="AM4326">
        <v>62558.67</v>
      </c>
      <c r="AN4326" s="10" cm="1">
        <f t="array" ref="AN4326">Lair(100000000/($AM4326-$AL4326))</f>
        <v>2122.2680000250411</v>
      </c>
      <c r="AO4326" s="10">
        <f t="shared" si="4149"/>
        <v>2122.9389712365123</v>
      </c>
      <c r="AP4326" s="12">
        <v>450000000</v>
      </c>
      <c r="AQ4326" s="3">
        <v>0.312</v>
      </c>
      <c r="AR4326" s="3">
        <f t="shared" si="4150"/>
        <v>-7.6316547871637246</v>
      </c>
      <c r="AS4326" s="13">
        <f t="shared" si="4151"/>
        <v>171.32998126101165</v>
      </c>
      <c r="AT4326" s="3">
        <f t="shared" si="4152"/>
        <v>4.4504442314112751</v>
      </c>
      <c r="AU4326" s="13" cm="1">
        <f t="array" ref="AU4326">$C4326*EXP(poly_from_str(100000000/$E4326,AU$4343))</f>
        <v>102.77546310154703</v>
      </c>
      <c r="AV4326" s="13">
        <f t="shared" si="4154"/>
        <v>0.51104477322275665</v>
      </c>
      <c r="AW4326" s="13"/>
      <c r="AX4326" s="13"/>
      <c r="AY4326" s="13"/>
    </row>
    <row r="4327" spans="1:51" x14ac:dyDescent="0.25">
      <c r="A4327" t="s">
        <v>4633</v>
      </c>
      <c r="B4327" s="2" t="str">
        <f t="shared" si="4113"/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4145"/>
        <v>e</v>
      </c>
      <c r="N4327" t="str">
        <f t="shared" si="4146"/>
        <v>9/2</v>
      </c>
      <c r="O4327">
        <v>65295.9</v>
      </c>
      <c r="P4327" t="str">
        <f t="shared" si="4147"/>
        <v>o</v>
      </c>
      <c r="Q4327" t="str">
        <f t="shared" si="4148"/>
        <v>7/2</v>
      </c>
      <c r="R4327">
        <v>39</v>
      </c>
      <c r="AA4327" s="10">
        <f t="shared" si="4114"/>
        <v>2116.5189999999998</v>
      </c>
      <c r="AB4327" s="3">
        <f t="shared" si="4115"/>
        <v>47232.44</v>
      </c>
      <c r="AC4327" s="3" cm="1">
        <f t="array" ref="AC4327">100000000/LvacE(AA4327)</f>
        <v>47232.442372358142</v>
      </c>
      <c r="AD4327" s="10">
        <f t="shared" si="4116"/>
        <v>1.6158048279358263E-2</v>
      </c>
      <c r="AE4327" s="10" t="b">
        <f t="shared" si="4117"/>
        <v>1</v>
      </c>
      <c r="AJ4327" t="s">
        <v>4744</v>
      </c>
      <c r="AK4327" t="s">
        <v>4825</v>
      </c>
      <c r="AL4327">
        <v>18063.36</v>
      </c>
      <c r="AM4327">
        <v>65295.9</v>
      </c>
      <c r="AN4327" s="10" cm="1">
        <f t="array" ref="AN4327">Lair(100000000/($AM4327-$AL4327))</f>
        <v>2116.5146373742414</v>
      </c>
      <c r="AO4327" s="10">
        <f t="shared" si="4149"/>
        <v>2117.1844664716314</v>
      </c>
      <c r="AP4327" s="12">
        <v>330000000</v>
      </c>
      <c r="AQ4327" s="3">
        <v>0.33100000000000002</v>
      </c>
      <c r="AR4327" s="3">
        <f t="shared" si="4150"/>
        <v>-7.8984842965618327</v>
      </c>
      <c r="AS4327" s="13">
        <f t="shared" si="4151"/>
        <v>102.58898340961794</v>
      </c>
      <c r="AT4327" s="3">
        <f t="shared" si="4152"/>
        <v>4.6307305527963862</v>
      </c>
      <c r="AU4327" s="13" cm="1">
        <f t="array" ref="AU4327">$C4327*EXP(poly_from_str(100000000/$E4327,AU$4343))</f>
        <v>57.874479146200727</v>
      </c>
      <c r="AV4327" s="13">
        <f t="shared" si="4154"/>
        <v>0.57245404006416545</v>
      </c>
      <c r="AW4327" s="13"/>
      <c r="AX4327" s="13"/>
      <c r="AY4327" s="13"/>
    </row>
    <row r="4328" spans="1:51" x14ac:dyDescent="0.25">
      <c r="A4328" t="s">
        <v>4634</v>
      </c>
      <c r="B4328" s="2" t="str">
        <f t="shared" si="4113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4114"/>
        <v>2115.63</v>
      </c>
      <c r="AB4328" s="3">
        <f t="shared" si="4115"/>
        <v>47252.29</v>
      </c>
      <c r="AC4328" s="3" cm="1">
        <f t="array" ref="AC4328">100000000/LvacE(AA4328)</f>
        <v>47252.287365461445</v>
      </c>
      <c r="AD4328" s="10">
        <f t="shared" si="4116"/>
        <v>1.6167427046662564E-2</v>
      </c>
      <c r="AE4328" s="10" t="b">
        <f t="shared" si="4117"/>
        <v>1</v>
      </c>
      <c r="AP4328"/>
      <c r="AQ4328"/>
      <c r="AU4328" s="13" cm="1">
        <f t="array" ref="AU4328">$C4328*EXP(poly_from_str(100000000/$E4328,AU$4343))</f>
        <v>58.967846323948564</v>
      </c>
    </row>
    <row r="4329" spans="1:51" x14ac:dyDescent="0.25">
      <c r="A4329" t="s">
        <v>4635</v>
      </c>
      <c r="B4329" s="2" t="str">
        <f t="shared" si="4113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4114"/>
        <v>2114.9540000000002</v>
      </c>
      <c r="AB4329" s="3">
        <f t="shared" si="4115"/>
        <v>47267.39</v>
      </c>
      <c r="AC4329" s="3" cm="1">
        <f t="array" ref="AC4329">100000000/LvacE(AA4329)</f>
        <v>47267.388759539455</v>
      </c>
      <c r="AD4329" s="10">
        <f t="shared" si="4116"/>
        <v>1.6174566624035193E-2</v>
      </c>
      <c r="AE4329" s="10" t="b">
        <f t="shared" si="4117"/>
        <v>1</v>
      </c>
      <c r="AP4329"/>
      <c r="AQ4329"/>
      <c r="AU4329" s="13" cm="1">
        <f t="array" ref="AU4329">$C4329*EXP(poly_from_str(100000000/$E4329,AU$4343))</f>
        <v>59.816332766994947</v>
      </c>
    </row>
    <row r="4330" spans="1:51" x14ac:dyDescent="0.25">
      <c r="A4330" t="s">
        <v>4636</v>
      </c>
      <c r="B4330" s="2" t="str">
        <f t="shared" si="4113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4114"/>
        <v>2112.7910000000002</v>
      </c>
      <c r="AB4330" s="3">
        <f t="shared" si="4115"/>
        <v>47315.77</v>
      </c>
      <c r="AC4330" s="3" cm="1">
        <f t="array" ref="AC4330">100000000/LvacE(AA4330)</f>
        <v>47315.773662600652</v>
      </c>
      <c r="AD4330" s="10">
        <f t="shared" si="4116"/>
        <v>1.6197457217159827E-2</v>
      </c>
      <c r="AE4330" s="10" t="b">
        <f t="shared" si="4117"/>
        <v>1</v>
      </c>
      <c r="AP4330"/>
      <c r="AQ4330"/>
      <c r="AU4330" s="13" cm="1">
        <f t="array" ref="AU4330">$C4330*EXP(poly_from_str(100000000/$E4330,AU$4343))</f>
        <v>62.63590147317565</v>
      </c>
    </row>
    <row r="4331" spans="1:51" x14ac:dyDescent="0.25">
      <c r="A4331" t="s">
        <v>4637</v>
      </c>
      <c r="B4331" s="2" t="str">
        <f t="shared" si="4113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4155">$G4331&amp;""</f>
        <v>e</v>
      </c>
      <c r="N4331" t="str">
        <f t="shared" ref="N4331:N4332" si="4156">$H4331&amp;""</f>
        <v>11/2</v>
      </c>
      <c r="O4331">
        <v>67049.179999999993</v>
      </c>
      <c r="P4331" t="str">
        <f t="shared" ref="P4331:P4332" si="4157">$J4331&amp;""</f>
        <v>o</v>
      </c>
      <c r="Q4331" t="str">
        <f t="shared" ref="Q4331:Q4332" si="4158">$K4331&amp;""</f>
        <v>9/2</v>
      </c>
      <c r="R4331">
        <v>39</v>
      </c>
      <c r="AA4331" s="10">
        <f t="shared" si="4114"/>
        <v>2111.34</v>
      </c>
      <c r="AB4331" s="3">
        <f t="shared" si="4115"/>
        <v>47348.29</v>
      </c>
      <c r="AC4331" s="3" cm="1">
        <f t="array" ref="AC4331">100000000/LvacE(AA4331)</f>
        <v>47348.287131272955</v>
      </c>
      <c r="AD4331" s="10">
        <f t="shared" si="4116"/>
        <v>1.6212852295526291E-2</v>
      </c>
      <c r="AE4331" s="10" t="b">
        <f t="shared" si="4117"/>
        <v>1</v>
      </c>
      <c r="AJ4331" t="s">
        <v>4962</v>
      </c>
      <c r="AK4331" t="s">
        <v>4862</v>
      </c>
      <c r="AL4331">
        <v>19700.900000000001</v>
      </c>
      <c r="AM4331">
        <v>67049.179999999993</v>
      </c>
      <c r="AN4331" s="10" cm="1">
        <f t="array" ref="AN4331">Lair(100000000/($AM4331-$AL4331))</f>
        <v>2111.340331011228</v>
      </c>
      <c r="AO4331" s="10">
        <f t="shared" ref="AO4331:AO4332" si="4159">100000000/($AM4331-$AL4331)</f>
        <v>2112.0091373963323</v>
      </c>
      <c r="AP4331" s="12">
        <v>298000000</v>
      </c>
      <c r="AQ4331" s="3">
        <v>0.41299999999999998</v>
      </c>
      <c r="AR4331" s="3">
        <f t="shared" ref="AR4331:AR4332" si="4160">LN(AU4331*100000000/($AM4331-$AL4331)/AP4331)</f>
        <v>-7.6886644277141096</v>
      </c>
      <c r="AS4331" s="13">
        <f t="shared" ref="AS4331" si="4161">EXP(AR$4341*$AM4331+AR$4342)*$AP4331/(100000000/($AM4331-$AL4331))</f>
        <v>81.418362700371986</v>
      </c>
      <c r="AT4331" s="3">
        <f t="shared" ref="AT4331:AT4332" si="4162">LN(AS4331/$C4331)</f>
        <v>4.3996008335674546</v>
      </c>
      <c r="AU4331" s="13" cm="1">
        <f t="array" ref="AU4331">$C4331*EXP(poly_from_str(100000000/$E4331,AU$4343))</f>
        <v>64.621336686518561</v>
      </c>
      <c r="AV4331" s="13">
        <f>LN(AS4331/AU4331)</f>
        <v>0.23105618804739719</v>
      </c>
      <c r="AW4331" s="13"/>
      <c r="AX4331" s="13"/>
      <c r="AY4331" s="13"/>
    </row>
    <row r="4332" spans="1:51" x14ac:dyDescent="0.25">
      <c r="A4332" t="s">
        <v>4638</v>
      </c>
      <c r="B4332" s="2" t="str">
        <f t="shared" si="4113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4155"/>
        <v>e</v>
      </c>
      <c r="N4332" t="str">
        <f t="shared" si="4156"/>
        <v>15/2</v>
      </c>
      <c r="O4332">
        <v>66301.350000000006</v>
      </c>
      <c r="P4332" t="str">
        <f t="shared" si="4157"/>
        <v>o</v>
      </c>
      <c r="Q4332" t="str">
        <f t="shared" si="4158"/>
        <v>15/2</v>
      </c>
      <c r="R4332">
        <v>39</v>
      </c>
      <c r="AA4332" s="10">
        <f t="shared" si="4114"/>
        <v>2109.931</v>
      </c>
      <c r="AB4332" s="3">
        <f t="shared" si="4115"/>
        <v>47379.9</v>
      </c>
      <c r="AC4332" s="3" cm="1">
        <f t="array" ref="AC4332">100000000/LvacE(AA4332)</f>
        <v>47379.902263286429</v>
      </c>
      <c r="AD4332" s="10">
        <f t="shared" si="4116"/>
        <v>1.6227832157375392E-2</v>
      </c>
      <c r="AE4332" s="10" t="b">
        <f t="shared" si="4117"/>
        <v>1</v>
      </c>
      <c r="AJ4332" t="s">
        <v>4741</v>
      </c>
      <c r="AK4332" t="s">
        <v>4824</v>
      </c>
      <c r="AL4332">
        <v>18921.240000000002</v>
      </c>
      <c r="AM4332">
        <v>66301.350000000006</v>
      </c>
      <c r="AN4332" s="10" cm="1">
        <f t="array" ref="AN4332">Lair(100000000/($AM4332-$AL4332))</f>
        <v>2109.9217610305632</v>
      </c>
      <c r="AO4332" s="10">
        <f t="shared" si="4159"/>
        <v>2110.5902877810963</v>
      </c>
      <c r="AP4332" s="12">
        <v>2240000000</v>
      </c>
      <c r="AQ4332" s="3">
        <v>0.84399999999999997</v>
      </c>
      <c r="AR4332" s="3">
        <f t="shared" si="4160"/>
        <v>-7.8841925384553981</v>
      </c>
      <c r="AS4332" s="13">
        <f>EXP(AR$4341*$AM4332+AR$4342)*$AP4332/(100000000/($AM4332-$AL4332))</f>
        <v>647.76808385239781</v>
      </c>
      <c r="AT4332" s="3">
        <f t="shared" si="4162"/>
        <v>4.681773267774906</v>
      </c>
      <c r="AU4332" s="13" cm="1">
        <f t="array" ref="AU4332">$C4332*EXP(poly_from_str(100000000/$E4332,AU$4343))</f>
        <v>399.74475053998196</v>
      </c>
      <c r="AV4332" s="13">
        <f>LN(AS4332/AU4332)</f>
        <v>0.48270651723257707</v>
      </c>
      <c r="AW4332" s="13"/>
      <c r="AX4332" s="13"/>
      <c r="AY4332" s="13"/>
    </row>
    <row r="4333" spans="1:51" x14ac:dyDescent="0.25">
      <c r="A4333" t="s">
        <v>4639</v>
      </c>
      <c r="B4333" s="2" t="str">
        <f t="shared" si="4113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4114"/>
        <v>2109.6799999999998</v>
      </c>
      <c r="AB4333" s="3">
        <f t="shared" si="4115"/>
        <v>47385.54</v>
      </c>
      <c r="AC4333" s="3" cm="1">
        <f t="array" ref="AC4333">100000000/LvacE(AA4333)</f>
        <v>47385.538629702802</v>
      </c>
      <c r="AD4333" s="10">
        <f t="shared" si="4116"/>
        <v>1.6230503827524272E-2</v>
      </c>
      <c r="AE4333" s="10" t="b">
        <f t="shared" si="4117"/>
        <v>1</v>
      </c>
      <c r="AP4333"/>
      <c r="AQ4333"/>
    </row>
    <row r="4334" spans="1:51" x14ac:dyDescent="0.25">
      <c r="A4334" t="s">
        <v>4640</v>
      </c>
      <c r="B4334" s="2" t="str">
        <f t="shared" si="4113"/>
        <v/>
      </c>
      <c r="C4334">
        <v>1</v>
      </c>
      <c r="E4334">
        <v>47440.17</v>
      </c>
      <c r="R4334">
        <v>39</v>
      </c>
      <c r="S4334" t="s">
        <v>22</v>
      </c>
      <c r="AA4334" s="10">
        <f t="shared" si="4114"/>
        <v>2107.25</v>
      </c>
      <c r="AB4334" s="3">
        <f t="shared" si="4115"/>
        <v>47440.17</v>
      </c>
      <c r="AC4334" s="3" cm="1">
        <f t="array" ref="AC4334">100000000/LvacE(AA4334)</f>
        <v>47440.175246595601</v>
      </c>
      <c r="AD4334" s="10">
        <f t="shared" si="4116"/>
        <v>1.6256418376223894E-2</v>
      </c>
      <c r="AE4334" s="10" t="b">
        <f t="shared" si="4117"/>
        <v>1</v>
      </c>
      <c r="AP4334"/>
      <c r="AQ4334"/>
    </row>
    <row r="4335" spans="1:51" x14ac:dyDescent="0.25">
      <c r="AP4335"/>
      <c r="AQ4335"/>
    </row>
    <row r="4336" spans="1:51" x14ac:dyDescent="0.25">
      <c r="L4336">
        <f>COUNT(L$2:L$4334)</f>
        <v>2013</v>
      </c>
      <c r="T4336">
        <f>SUM(T$2:T$4334)</f>
        <v>25</v>
      </c>
      <c r="U4336">
        <v>10</v>
      </c>
      <c r="AP4336"/>
      <c r="AQ4336"/>
    </row>
    <row r="4337" spans="1:51" x14ac:dyDescent="0.25">
      <c r="AP4337"/>
      <c r="AQ4337"/>
    </row>
    <row r="4338" spans="1:51" x14ac:dyDescent="0.25">
      <c r="A4338">
        <v>1498</v>
      </c>
      <c r="B4338">
        <v>9.9700000000000006</v>
      </c>
      <c r="C4338">
        <f>A4338/B4338</f>
        <v>150.25075225677031</v>
      </c>
      <c r="AP4338"/>
      <c r="AQ4338"/>
    </row>
    <row r="4339" spans="1:51" x14ac:dyDescent="0.25">
      <c r="A4339">
        <v>5992</v>
      </c>
      <c r="B4339">
        <v>9.9700000000000006</v>
      </c>
      <c r="C4339">
        <f>A4339/B4339</f>
        <v>601.00300902708125</v>
      </c>
      <c r="AP4339"/>
      <c r="AQ4339"/>
    </row>
    <row r="4341" spans="1:51" x14ac:dyDescent="0.25">
      <c r="AP4341" s="12" t="s">
        <v>4684</v>
      </c>
      <c r="AR4341" s="12">
        <f>SLOPE(AR$2:AR$4339,$AM$2:$AM$4339)</f>
        <v>-7.5046759883787336E-5</v>
      </c>
      <c r="AT4341" s="18" t="str" cm="1">
        <f t="array" ref="AT4341">poly_coef_str($AO$2:$AO$946,$AT$2:$AT$946,6)</f>
        <v>-1483.55339620954; 1.21140549208468;-4.0579856433066E-04; 7.14242780565667E-08;-6.98566180528284E-12; 3.60813297375E-16;-7.70454680758077E-21;</v>
      </c>
      <c r="AU4341" s="12" t="s">
        <v>4691</v>
      </c>
      <c r="AV4341" s="3" cm="1">
        <f t="array" ref="AV4341">rms(AV$2:AV$4332)</f>
        <v>0.75796742567817998</v>
      </c>
      <c r="AW4341" s="12"/>
      <c r="AX4341" s="12"/>
      <c r="AY4341" s="12"/>
    </row>
    <row r="4342" spans="1:51" x14ac:dyDescent="0.25">
      <c r="AP4342" s="12" t="s">
        <v>4685</v>
      </c>
      <c r="AR4342" s="12">
        <f>INTERCEPT(AR$2:AR$4339,$AM$2:$AM$4339)</f>
        <v>-2.425784527801877</v>
      </c>
      <c r="AT4342" s="18" t="str" cm="1">
        <f t="array" ref="AT4342">poly_coef_str($AO$951:$LS$2755,$AT$951:$AT$2755,3)</f>
        <v>-183.606376399322; .158215542356787;-4.43357525604401E-05; 4.02230433537458E-09;</v>
      </c>
      <c r="AU4342" s="12" t="s">
        <v>4692</v>
      </c>
      <c r="AV4342" s="12"/>
      <c r="AW4342" s="12"/>
      <c r="AX4342" s="12"/>
      <c r="AY4342" s="12"/>
    </row>
    <row r="4343" spans="1:51" x14ac:dyDescent="0.25">
      <c r="AT4343" s="18" t="str" cm="1">
        <f t="array" ref="AT4343">poly_coef_str($AO$2756:$AO$4332,$AT$2756:$AT$4332,3)</f>
        <v xml:space="preserve"> 812.31425769684;-.984057168599237; 3.98561645426463E-04;-5.3883492430975E-08;</v>
      </c>
      <c r="AU4343" t="s">
        <v>4693</v>
      </c>
    </row>
    <row r="4344" spans="1:51" x14ac:dyDescent="0.25">
      <c r="AR4344" s="3" cm="1">
        <f t="array" ref="AR4344">-1/AR4341/evcm()</f>
        <v>1.6520926236548303</v>
      </c>
      <c r="AS4344" t="s">
        <v>4690</v>
      </c>
    </row>
  </sheetData>
  <autoFilter ref="A1:BC4339" xr:uid="{00000000-0001-0000-0000-000000000000}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2026-03-01T18:10:26Z</dcterms:modified>
</cp:coreProperties>
</file>