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lp_01. " sheetId="1" state="visible" r:id="rId2"/>
  </sheets>
  <definedNames>
    <definedName function="false" hidden="false" name="arrow_part_data" vbProcedure="false">'dlp_01. '!$H$5:$L$55</definedName>
    <definedName function="false" hidden="false" name="BoardQty" vbProcedure="false">'dlp_01. '!$G$1</definedName>
    <definedName function="false" hidden="false" name="digikey_part_data" vbProcedure="false">'dlp_01. '!$M$5:$Q$55</definedName>
    <definedName function="false" hidden="false" name="farnell_part_data" vbProcedure="false">'dlp_01. '!$R$5:$V$55</definedName>
    <definedName function="false" hidden="false" name="global_part_data" vbProcedure="false">'dlp_01. '!$A$5:$G$55</definedName>
    <definedName function="false" hidden="false" name="lcsc_part_data" vbProcedure="false">'dlp_01. '!$W$5:$AA$55</definedName>
    <definedName function="false" hidden="false" name="mouser_part_data" vbProcedure="false">'dlp_01. '!$AB$5:$AF$55</definedName>
    <definedName function="false" hidden="false" name="newark_part_data" vbProcedure="false">'dlp_01. '!$AG$5:$AK$55</definedName>
    <definedName function="false" hidden="false" name="PURCHASE_DESCRIPTION" vbProcedure="false">'dlp_01. '!$G$58</definedName>
    <definedName function="false" hidden="false" name="rs_part_data" vbProcedure="false">'dlp_01. '!$AL$5:$AP$55</definedName>
    <definedName function="false" hidden="false" name="tme_part_data" vbProcedure="false">'dlp_01. '!$AQ$5:$AU$55</definedName>
    <definedName function="false" hidden="false" name="TotalCost" vbProcedure="false">'dlp_01. '!$G$3</definedName>
    <definedName function="false" hidden="false" name="USD_GBP" vbProcedure="false">'dlp_01. '!$C$58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needed.
Gray -&gt; No manf# provided.
Red -&gt; No parts available.
Orange -&gt; Not enough parts available.
Yellow -&gt; Parts available, but haven't purchased enough.</t>
        </r>
      </text>
    </comment>
    <comment ref="F3" authorId="0">
      <text>
        <r>
          <rPr>
            <sz val="8"/>
            <color rgb="FF000000"/>
            <rFont val="Tahoma"/>
            <family val="2"/>
            <charset val="1"/>
          </rPr>
          <t xml:space="preserve">Use the minimum extend price across distributors not taking account available quantities.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F57" authorId="0">
      <text>
        <r>
          <rPr>
            <sz val="8"/>
            <color rgb="FF000000"/>
            <rFont val="Tahoma"/>
            <family val="2"/>
            <charset val="1"/>
          </rPr>
          <t xml:space="preserve">This is the total of your cart across all distributors.</t>
        </r>
      </text>
    </comment>
    <comment ref="F58" authorId="0">
      <text>
        <r>
          <rPr>
            <sz val="8"/>
            <color rgb="FF000000"/>
            <rFont val="Tahoma"/>
            <family val="2"/>
            <charset val="1"/>
          </rPr>
          <t xml:space="preserve">This description will be added to all purchased parts label and may be used to distinguish the component of different projects.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I57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 across distributors.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L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M10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M14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M1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M23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M25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M36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M54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N57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 across distributors.</t>
        </r>
      </text>
    </comment>
    <comment ref="O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$0.05      $0.49
   100   $0.02      $2.17
   500   $0.02      $7.76
  1000   $0.01     $12.19
  2500   $0.01     $27.70
  5000   $0.01     $51.00
 15000   $0.01    $105.00
 30000   $0.01    $199.50</t>
        </r>
      </text>
    </comment>
    <comment ref="O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$0.29      $0.29
    10   $0.20      $1.96
   100   $0.10      $9.94
   500   $0.07     $34.02
  1000   $0.06     $60.18
  4000   $0.05    $182.04
  8000   $0.04    $345.84</t>
        </r>
      </text>
    </comment>
    <comment ref="O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$0.66      $0.66
    10   $0.47      $4.67
   100   $0.31     $30.74
   500   $0.23    $113.85
  1000   $0.19    $193.55
  2000   $0.16    $316.80
  4000   $0.15    $594.00</t>
        </r>
      </text>
    </comment>
    <comment ref="O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$0.33      $0.33
    10   $0.23      $2.28
   100   $0.13     $12.90
   500   $0.09     $45.54
  1000   $0.08     $79.70
  2500   $0.08    $189.75
  5000   $0.07    $351.05
 10000   $0.05    $525.00
 20000   $0.05    $996.00</t>
        </r>
      </text>
    </comment>
    <comment ref="O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$0.28      $0.28
    10   $0.19      $1.90
   100   $0.11     $10.75
   500   $0.08     $37.95
  1000   $0.07     $66.41
  4000   $0.05    $203.52
  8000   $0.05    $385.04</t>
        </r>
      </text>
    </comment>
    <comment ref="O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$0.51      $0.51
    10   $0.36      $3.58
   100   $0.24     $23.60
   500   $0.17     $87.42
  1000   $0.15    $148.61
  2000   $0.14    $273.64
  4000   $0.13    $516.88</t>
        </r>
      </text>
    </comment>
    <comment ref="O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$0.51      $0.51
    10   $0.35      $3.54
   100   $0.21     $21.25
   500   $0.16     $79.70
  1000   $0.13    $134.60
  2500   $0.13    $318.78
  8000   $0.10    $788.48
 16000   $0.10  $1,527.68</t>
        </r>
      </text>
    </comment>
    <comment ref="O1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$0.25      $0.25
    10   $0.17      $1.71
   100   $0.09      $8.65
   500   $0.06     $29.60
  1000   $0.05     $52.37
  4000   $0.04    $158.40
  8000   $0.04    $300.96</t>
        </r>
      </text>
    </comment>
    <comment ref="O1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8000   $0.04    $317.68</t>
        </r>
      </text>
    </comment>
    <comment ref="O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$0.04      $0.35
   100   $0.02      $1.55
   500   $0.01      $5.54
  1000   $0.01      $8.71
  2500   $0.01     $19.80
  5000   $0.01     $36.45
 10000   $0.01     $52.50
 20000   $0.00    $100.00</t>
        </r>
      </text>
    </comment>
    <comment ref="O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$0.73      $0.73
    10   $0.52      $5.19
   100   $0.34     $34.16
   500   $0.25    $126.50
  1000   $0.22    $215.05
  2000   $0.16    $320.00
  4000   $0.15    $600.00</t>
        </r>
      </text>
    </comment>
    <comment ref="O2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$0.88      $0.88
    10   $0.65      $6.46
   100   $0.44     $44.30
   500   $0.35    $175.34
  1000   $0.30    $295.31
  2500   $0.28    $692.12
  5000   $0.26  $1,292.00
 10000   $0.20  $1,977.70
 20000   $0.19  $3,896.80</t>
        </r>
      </text>
    </comment>
    <comment ref="O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$0.39      $0.39
    10   $0.32      $3.21
    25   $0.27      $6.73
   100   $0.13     $13.16
   250   $0.13     $32.37
   500   $0.11     $54.87
  1000   $0.08     $76.25
  3000   $0.07    $212.58
  6000   $0.06    $367.80
 15000   $0.05    $762.45
 30000   $0.05  $1,497.90
 75000   $0.04  $3,363.75
150000   $0.04  $6,279.00</t>
        </r>
      </text>
    </comment>
    <comment ref="O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$0.14      $0.14
    50   $0.13      $6.65
   100   $0.11     $11.40
   500   $0.10     $49.50
  4000   $0.10    $396.00</t>
        </r>
      </text>
    </comment>
    <comment ref="O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$0.37      $0.37
    10   $0.28      $2.75
    25   $0.25      $6.20
   100   $0.13     $13.08
   250   $0.13     $32.36
   500   $0.12     $57.95
  1000   $0.09     $90.20
  3000   $0.08    $247.59
  6000   $0.08    $473.58
 15000   $0.07  $1,048.65
 30000   $0.07  $2,070.00
 75000   $0.06  $4,397.25
150000   $0.06  $8,457.00</t>
        </r>
      </text>
    </comment>
    <comment ref="O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$0.12      $0.12
    10   $0.10      $0.96
    25   $0.09      $2.17
    50   $0.06      $3.18
   100   $0.05      $5.49
   250   $0.04     $10.83
   500   $0.04     $18.29
  1000   $0.03     $30.80
  5000   $0.03    $137.15
 10000   $0.02    $245.00
 20000   $0.02    $455.00
 30000   $0.02    $674.70
 50000   $0.02  $1,094.00</t>
        </r>
      </text>
    </comment>
    <comment ref="O2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$8.17      $8.17</t>
        </r>
      </text>
    </comment>
    <comment ref="O2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$0.81      $0.81
    10   $0.50      $5.05
    25   $0.43     $10.81
    50   $0.39     $19.44
   100   $0.38     $38.07
   250   $0.32     $81.00
   500   $0.31    $153.90
  1000   $0.28    $275.40
  5000   $0.22  $1,077.30</t>
        </r>
      </text>
    </comment>
    <comment ref="O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$0.54      $0.54
    10   $0.50      $5.02
   100   $0.38     $38.46
   500   $0.33    $167.20
  1000   $0.28    $275.88
  5000   $0.24  $1,212.20
 10000   $0.23  $2,257.20</t>
        </r>
      </text>
    </comment>
    <comment ref="O2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$2.39      $2.39
    10   $2.21     $22.08
   100   $1.55    $154.56
   500   $1.25    $625.60
  1000   $1.14  $1,140.80
  2000   $0.99  $1,984.00
  4000   $0.96  $3,840.00
  6000   $0.93  $5,568.00
 10000   $0.90  $8,960.00
 50000   $0.85 $42,560.00</t>
        </r>
      </text>
    </comment>
    <comment ref="O3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$0.36      $0.36
    10   $0.29      $2.90
    25   $0.26      $6.62
   100   $0.17     $16.63
   250   $0.16     $41.12
   500   $0.15     $77.00
  1000   $0.10    $104.72
  2500   $0.10    $251.02
  5000   $0.09    $462.00</t>
        </r>
      </text>
    </comment>
    <comment ref="O3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$0.04      $0.38
   100   $0.02      $1.56
  1000   $0.01      $7.00
  2500   $0.01     $15.17
  5000   $0.00     $22.80
 10000   $0.00     $39.60</t>
        </r>
      </text>
    </comment>
    <comment ref="O3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$0.03      $0.28
   100   $0.01      $1.14
  1000   $0.01      $5.11
  2500   $0.00     $11.10
  5000   $0.00     $16.65
 10000   $0.00     $28.90</t>
        </r>
      </text>
    </comment>
    <comment ref="O3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$0.03      $0.34
   100   $0.01      $1.39
  1000   $0.01      $6.23
  2500   $0.01     $13.50
  5000   $0.00     $20.35
 10000   $0.00     $35.30</t>
        </r>
      </text>
    </comment>
    <comment ref="O3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$0.03      $0.34
   100   $0.01      $1.39
  1000   $0.01      $6.23
  2500   $0.01     $13.50
  5000   $0.00     $20.35
 10000   $0.00     $35.30</t>
        </r>
      </text>
    </comment>
    <comment ref="O3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$0.03      $0.34
   100   $0.01      $1.39
  1000   $0.01      $6.23
  2500   $0.01     $13.50
  5000   $0.00     $20.35
 10000   $0.00     $35.30</t>
        </r>
      </text>
    </comment>
    <comment ref="O3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$0.03      $0.34
   100   $0.01      $1.39
  1000   $0.01      $6.23
  2500   $0.01     $13.50
  5000   $0.00     $20.35
 10000   $0.00     $35.30</t>
        </r>
      </text>
    </comment>
    <comment ref="O3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$0.03      $0.34
   100   $0.01      $1.39
  1000   $0.01      $6.23
  2500   $0.01     $13.50
  5000   $0.00     $20.35
 10000   $0.00     $35.30</t>
        </r>
      </text>
    </comment>
    <comment ref="O4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$0.03      $0.34
   100   $0.01      $1.39
  1000   $0.01      $6.23
  2500   $0.01     $13.50
  5000   $0.00     $20.35
 10000   $0.00     $35.30</t>
        </r>
      </text>
    </comment>
    <comment ref="O4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$0.03      $0.34
   100   $0.01      $1.39
  1000   $0.01      $6.23
  2500   $0.01     $13.50
  5000   $0.00     $20.35
 10000   $0.00     $35.30</t>
        </r>
      </text>
    </comment>
    <comment ref="O4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$0.03      $0.34
   100   $0.01      $1.39
  1000   $0.01      $6.23
  2500   $0.01     $13.50
  5000   $0.00     $20.35
 10000   $0.00     $35.30</t>
        </r>
      </text>
    </comment>
    <comment ref="O4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$0.03      $0.34
   100   $0.01      $1.39
  1000   $0.01      $6.23
  2500   $0.01     $13.50
  5000   $0.00     $20.35
 10000   $0.00     $35.30</t>
        </r>
      </text>
    </comment>
    <comment ref="O4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$0.29      $0.29
    10   $0.24      $2.42
    25   $0.18      $4.40
    50   $0.13      $6.38
   100   $0.09      $9.46
   250   $0.07     $18.15
   500   $0.06     $28.60
  1000   $0.04     $39.60
  4000   $0.03    $132.00
  8000   $0.03    $240.00</t>
        </r>
      </text>
    </comment>
    <comment ref="O4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$0.04      $0.42
   100   $0.02      $1.70
  1000   $0.01      $7.63
  2500   $0.01     $16.55
  5000   $0.00     $24.90
 10000   $0.00     $43.20</t>
        </r>
      </text>
    </comment>
    <comment ref="O4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$0.07      $0.69
   100   $0.03      $2.83
  1000   $0.01     $12.69
  2500   $0.01     $27.55
  5000   $0.01     $41.35
 10000   $0.01     $71.80</t>
        </r>
      </text>
    </comment>
    <comment ref="O4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$0.03      $0.34
   100   $0.01      $1.39
  1000   $0.01      $6.23
  2500   $0.01     $13.50
  5000   $0.00     $20.35
 10000   $0.00     $35.30</t>
        </r>
      </text>
    </comment>
    <comment ref="O4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$0.03      $0.34
   100   $0.01      $1.39
  1000   $0.01      $6.23
  2500   $0.01     $13.50
  5000   $0.00     $20.35
 10000   $0.00     $35.30</t>
        </r>
      </text>
    </comment>
    <comment ref="O4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$0.04      $0.35
   100   $0.01      $1.40
  1000   $0.01      $6.31
  2500   $0.01     $13.70
  5000   $0.00     $20.45
 10000   $0.00     $35.50</t>
        </r>
      </text>
    </comment>
    <comment ref="O5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$31.29     $31.29
    10  $28.85    $288.54
    25  $27.56    $688.93
   100  $23.50  $2,350.45
   250  $22.37  $5,592.45</t>
        </r>
      </text>
    </comment>
    <comment ref="O5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$2.09      $2.09
    10   $2.00     $19.98
    50   $1.95     $97.60
   100   $1.67    $167.31
   500   $1.63    $813.31
  1000   $1.25  $1,246.38
  3000   $1.18  $3,549.00
  5000   $1.14  $5,703.75</t>
        </r>
      </text>
    </comment>
    <comment ref="O5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$0.92      $0.92
    10   $0.84      $8.37
    25   $0.83     $20.65
    50   $0.82     $41.06
   100   $0.73     $73.43
   250   $0.73    $181.98
   500   $0.72    $358.66
  1000   $0.69    $691.45
  5000   $0.63  $3,149.70</t>
        </r>
      </text>
    </comment>
    <comment ref="O5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$12.75     $12.75
    10  $11.72    $117.19
    25  $11.23    $280.83
   100   $9.41    $941.16
   250   $8.80  $2,201.10
   500   $8.20  $4,098.60
  1000   $7.77  $7,772.16</t>
        </r>
      </text>
    </comment>
    <comment ref="O5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100  $84.07  $8,407.23</t>
        </r>
      </text>
    </comment>
    <comment ref="O5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$4.38      $4.38
   500   $4.26  $2,128.00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Q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R9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R20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R22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R23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R31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R55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S57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 across distributors.</t>
        </r>
      </text>
    </comment>
    <comment ref="T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£0.07      £0.70
   100   £0.04      £4.00
   150   £0.04      £6.00
   500   £0.03     £14.00
  2500   £0.02     £50.00
  7500   £0.01     £95.25
 15000   £0.01    £216.00
 75000   £0.01  £1,005.00</t>
        </r>
      </text>
    </comment>
    <comment ref="T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£0.18      £1.77
   100   £0.09      £8.59
   150   £0.09     £12.88
   500   £0.05     £27.05
  1000   £0.05     £45.60
  2000   £0.04     £86.00
  4000   £0.03    £136.00
 20000   £0.03    £648.00</t>
        </r>
      </text>
    </comment>
    <comment ref="T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£0.26      £2.57
   100   £0.14     £14.30
   150   £0.14     £21.45
   500   £0.10     £48.10
  1000   £0.08     £77.00
  2000   £0.06    £128.40
  4000   £0.06    £220.00
 20000   £0.05  £1,078.00</t>
        </r>
      </text>
    </comment>
    <comment ref="T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5   £0.41      £2.06
    10   £0.41      £4.13
    50   £0.25     £12.40
   250   £0.19     £47.25
   500   £0.14     £70.00
  1000   £0.12    £119.00</t>
        </r>
      </text>
    </comment>
    <comment ref="T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£0.04      £0.37
   100   £0.02      £1.92
   150   £0.02      £2.88
   500   £0.01      £6.00
  2500   £0.01     £20.00
  5000   £0.01     £34.50
 10000   £0.01     £59.00
 50000   £0.00    £205.00</t>
        </r>
      </text>
    </comment>
    <comment ref="T2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1   £0.44      £0.44
    25   £0.33      £8.20
   100   £0.22     £22.50
   250   £0.20     £50.25
   500   £0.19     £93.50
  1000   £0.18    £182.00</t>
        </r>
      </text>
    </comment>
    <comment ref="T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5   £0.24      £1.21
    25   £0.23      £5.85
   100   £0.10      £9.53
   150   £0.10     £14.30
   250   £0.09     £22.40
   500   £0.07     £34.25
  1000   £0.05     £47.40
  5000   £0.04    £185.50</t>
        </r>
      </text>
    </comment>
    <comment ref="T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5   £0.14      £0.68
    25   £0.13      £3.15
   100   £0.10     £10.30
   150   £0.10     £15.45
   250   £0.10     £24.38
   500   £0.09     £44.70
  1000   £0.07     £74.30</t>
        </r>
      </text>
    </comment>
    <comment ref="T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1   £0.34      £0.34
    25   £0.28      £7.00
   100   £0.21     £21.10
   250   £0.17     £41.75
   500   £0.14     £69.50
  2000   £0.12    £250.00
  6000   £0.03    £207.00
 20000   £0.03    £680.00</t>
        </r>
      </text>
    </comment>
    <comment ref="T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£0.03      £0.27
   100   £0.02      £1.94
   150   £0.02      £2.91
   500   £0.01      £7.30
  2500   £0.01     £27.25
  5000   £0.01     £45.00</t>
        </r>
      </text>
    </comment>
    <comment ref="T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1   £0.52      £0.52
    10   £0.42      £4.23
    25   £0.40     £10.10
    50   £0.39     £19.30
   100   £0.37     £36.90
   250   £0.34     £86.00
   500   £0.32    £160.00</t>
        </r>
      </text>
    </comment>
    <comment ref="T2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1   £2.12      £2.12
     5   £1.46      £7.30
    10   £1.62     £16.20
    25   £1.52     £38.00
    50   £0.73     £36.70
   100   £1.32    £132.00
   250   £0.72    £181.00
   500   £0.58    £292.00
  1000   £0.56    £559.00
  2000   £0.53  £1,068.00
 10000   £0.47  £4,670.00</t>
        </r>
      </text>
    </comment>
    <comment ref="T3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1   £1.36      £1.36
    10   £1.36     £13.60
    50   £0.78     £38.95
   100   £0.70     £69.80
   250   £0.62    £154.50
   500   £0.54    £268.50</t>
        </r>
      </text>
    </comment>
    <comment ref="T3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1   £3.44      £3.44
    10   £2.21     £22.10
    21   £2.21     £46.41
    50   £1.94     £97.00
   100   £1.73    £173.00
   200   £1.51    £302.00
   400   £1.29    £516.00
  2000   £1.16  £2,320.00</t>
        </r>
      </text>
    </comment>
    <comment ref="T3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5   £0.24      £1.20
    25   £0.23      £5.78
   100   £0.12     £11.80
   250   £0.11     £28.50
   500   £0.09     £47.00
  1000   £0.07     £74.00
  5000   £0.07    £345.00</t>
        </r>
      </text>
    </comment>
    <comment ref="T3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£0.01      £0.14
   150   £0.01      £2.06
   250   £0.01      £3.22
  1000   £0.00      £4.80
  5000   £0.00     £17.50
 10000   £0.00     £30.00
 20000   £0.00     £56.00
100000   £0.00    £250.00</t>
        </r>
      </text>
    </comment>
    <comment ref="T3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£0.04      £0.35
   100   £0.01      £1.41
   150   £0.01      £2.11
   500   £0.01      £6.20
  1000   £0.01      £5.60
  2500   £0.00     £12.50
  5000   £0.00     £17.50</t>
        </r>
      </text>
    </comment>
    <comment ref="T3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£0.04      £0.35
   100   £0.01      £1.41
   150   £0.01      £2.11
   500   £0.01      £6.20
  1000   £0.01      £5.90
  2500   £0.01     £13.25
  5000   £0.00     £17.00
 25000   £0.00     £70.00
 50000   £0.00    £130.00</t>
        </r>
      </text>
    </comment>
    <comment ref="T3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£0.04      £0.35
   100   £0.01      £1.41
   150   £0.01      £2.11
   500   £0.01      £6.20
  1000   £0.01      £5.60
  2500   £0.00     £12.50
 20000   £0.00     £66.00
100000   £0.00    £300.00</t>
        </r>
      </text>
    </comment>
    <comment ref="T3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1   £0.08      £0.08
    25   £0.03      £0.75
    50   £0.03      £1.30
   100   £0.02      £2.12
   250   £0.02      £4.28
   500   £0.01      £6.10
  5000   £0.00      £8.00
 25000   £0.00     £35.00
 50000   £0.00     £60.00</t>
        </r>
      </text>
    </comment>
    <comment ref="T4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£0.04      £0.35
   100   £0.01      £1.41
   150   £0.01      £2.11
   500   £0.01      £6.20
  1000   £0.01      £5.60
  2500   £0.00     £12.50
 20000   £0.00     £66.00
100000   £0.00    £300.00</t>
        </r>
      </text>
    </comment>
    <comment ref="T4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£0.04      £0.35
   100   £0.01      £1.41
   150   £0.01      £2.11
   500   £0.01      £6.20
  1000   £0.01      £5.90
  2500   £0.01     £13.25
  5000   £0.00     £21.00
 25000   £0.00     £85.00</t>
        </r>
      </text>
    </comment>
    <comment ref="T4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£0.01      £0.12
   150   £0.01      £1.84
   250   £0.01      £2.90
  1000   £0.00      £4.20
  5000   £0.00     £17.00
 10000   £0.00     £30.00
 25000   £0.00     £65.00
 50000   £0.00    £120.00</t>
        </r>
      </text>
    </comment>
    <comment ref="T4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£0.04      £0.35
   100   £0.01      £1.41
   150   £0.01      £2.11
   500   £0.01      £6.20
  1000   £0.00      £4.90
  2500   £0.00     £11.25
  5000   £0.00     £17.50</t>
        </r>
      </text>
    </comment>
    <comment ref="T4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£0.13      £1.30
   100   £0.06      £5.62
   150   £0.06      £8.43
   500   £0.05     £22.95
  1000   £0.03     £31.80
  2000   £0.03     £54.40</t>
        </r>
      </text>
    </comment>
    <comment ref="T4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£0.03      £0.32
   100   £0.01      £1.32
   150   £0.01      £1.98
   500   £0.01      £5.80
  1000   £0.01      £5.80
  2500   £0.01     £13.00
  5000   £0.00     £22.00
 25000   £0.00     £87.50</t>
        </r>
      </text>
    </comment>
    <comment ref="T4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1   £0.08      £0.08
    25   £0.03      £0.75
    50   £0.03      £1.30
   100   £0.02      £2.12
   250   £0.02      £4.28
   500   £0.01      £6.10
  5000   £0.00      £8.00
 25000   £0.00     £35.00
 50000   £0.00     £60.00</t>
        </r>
      </text>
    </comment>
    <comment ref="T4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£0.04      £0.37
   100   £0.01      £1.44
   150   £0.01      £2.16
   500   £0.01      £2.60
  1000   £0.00      £4.40
  2500   £0.00      £9.75
  5000   £0.00     £16.50</t>
        </r>
      </text>
    </comment>
    <comment ref="T5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1  £22.28     £22.28
     5  £22.05    £110.25
    10  £20.54    £205.40
    25  £20.26    £506.50
    50  £16.73    £836.50</t>
        </r>
      </text>
    </comment>
    <comment ref="T5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1   £1.38      £1.38
    10   £1.38     £13.80
    50   £1.06     £53.00
   100   £0.97     £97.40
   250   £0.90    £226.25
   500   £0.90    £451.00
  1000   £1.29  £1,290.00
  5000   £1.07  £5,350.00</t>
        </r>
      </text>
    </comment>
    <comment ref="T5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1   £4.47      £4.47
    10   £4.30     £43.00
    25   £4.11    £102.75
   100   £4.02    £402.00
   150   £3.94    £591.00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V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X57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X58" authorId="0">
      <text>
        <r>
          <rPr>
            <sz val="8"/>
            <color rgb="FF000000"/>
            <rFont val="Tahoma"/>
            <family val="2"/>
            <charset val="1"/>
          </rPr>
          <t xml:space="preserve">Copy this header and order to CSV file and use for JLCPCB manufacture PCB housing. The multipart components that use "#" symbol is not allowed at JLCPCB.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 across distributors.</t>
        </r>
      </text>
    </comment>
    <comment ref="Y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10   $0.05      $0.46
   100   $0.03      $3.46
   300   $0.03      $9.78
  1000   $0.03     $30.52
  5000   $0.03    $148.00
 10000   $0.03    $291.50</t>
        </r>
      </text>
    </comment>
    <comment ref="Y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50   $0.01      $0.30
   500   $0.00      $2.22
  1500   $0.00      $6.22
  5000   $0.00     $19.30
 25000   $0.00     $93.50
 50000   $0.00    $183.50</t>
        </r>
      </text>
    </comment>
    <comment ref="Y3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$0.15      $0.15
    10   $0.11      $1.13
    30   $0.11      $3.18
   100   $0.10      $9.96
   500   $0.10     $48.36
  1000   $0.10     $95.32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A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AB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B10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B14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B22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B23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B29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B35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B43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C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AC57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D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 across distributors.</t>
        </r>
      </text>
    </comment>
    <comment ref="AD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$0.05      $0.48
   100   $0.02      $2.10
   500   $0.01      $6.50
  1000   $0.01     $12.00
  2500   $0.01     $27.50</t>
        </r>
      </text>
    </comment>
    <comment ref="AD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$0.41      $0.41
    10   $0.28      $2.84
   100   $0.17     $17.10
   500   $0.13     $64.00
  1000   $0.11    $108.00
  2500   $0.09    $230.00</t>
        </r>
      </text>
    </comment>
    <comment ref="AD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$0.30      $0.30
    10   $0.20      $2.05
   100   $0.10     $10.40
   500   $0.07     $35.50
  1000   $0.06     $63.00
  4000   $0.05    $192.00
  8000   $0.04    $344.00
 24000   $0.04    $984.00</t>
        </r>
      </text>
    </comment>
    <comment ref="AD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$0.66      $0.66
    10   $0.47      $4.67
   100   $0.31     $30.70
   500   $0.23    $113.50
  1000   $0.19    $193.00
  2000   $0.16    $316.00</t>
        </r>
      </text>
    </comment>
    <comment ref="AD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$0.30      $0.30
    10   $0.21      $2.07
   100   $0.12     $11.70
   500   $0.08     $41.00
  1000   $0.07     $72.00
  2500   $0.06    $162.50</t>
        </r>
      </text>
    </comment>
    <comment ref="AD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$0.28      $0.28
    10   $0.14      $1.42
   100   $0.09      $9.10
   500   $0.08     $37.50
  1000   $0.06     $61.00
  4000   $0.05    $196.00</t>
        </r>
      </text>
    </comment>
    <comment ref="AD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$0.50      $0.50
    10   $0.36      $3.58
   100   $0.24     $23.60
   500   $0.17     $87.00
  1000   $0.15    $148.00
  2000   $0.13    $264.00</t>
        </r>
      </text>
    </comment>
    <comment ref="AD1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$0.27      $0.27
    10   $0.18      $1.81
   100   $0.09      $9.10
   500   $0.06     $31.00
  1000   $0.06     $55.00
  2500   $0.04    $105.00</t>
        </r>
      </text>
    </comment>
    <comment ref="AD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$0.51      $0.51
    10   $0.35      $3.53
   100   $0.21     $21.20
   500   $0.16     $79.50
  1000   $0.13    $134.00
  2500   $0.12    $297.50</t>
        </r>
      </text>
    </comment>
    <comment ref="AD1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$0.24      $0.24
    10   $0.17      $1.70
   100   $0.09      $8.60
   500   $0.06     $29.50
  1000   $0.05     $52.00
  2000   $0.04     $90.00
  4000   $0.04    $148.00
  8000   $0.04    $280.00
 24000   $0.03    $744.00</t>
        </r>
      </text>
    </comment>
    <comment ref="AD1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$0.26      $0.26
    10   $0.18      $1.80
   100   $0.09      $9.10
   500   $0.06     $31.00
  1000   $0.06     $55.00
  2000   $0.04     $82.00</t>
        </r>
      </text>
    </comment>
    <comment ref="AD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$0.04      $0.38
   100   $0.02      $1.60
   500   $0.01      $5.50
  1000   $0.01      $8.00
  2500   $0.01     $17.50</t>
        </r>
      </text>
    </comment>
    <comment ref="AD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$0.67      $0.67
    10   $0.47      $4.72
   100   $0.31     $31.00
   500   $0.23    $115.00
  1000   $0.20    $195.00
  2000   $0.16    $320.00</t>
        </r>
      </text>
    </comment>
    <comment ref="AD2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$0.87      $0.87
    10   $0.65      $6.46
   100   $0.44     $44.30
   500   $0.35    $175.00
  1000   $0.30    $295.00
  2500   $0.28    $690.00</t>
        </r>
      </text>
    </comment>
    <comment ref="AD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$0.39      $0.39
    10   $0.27      $2.68
   100   $0.11     $11.20
  1000   $0.08     $76.00
  3000   $0.06    $177.00
  9000   $0.05    $450.00
 24000   $0.05  $1,128.00
 45000   $0.04  $1,980.00
 99000   $0.04  $3,762.00</t>
        </r>
      </text>
    </comment>
    <comment ref="AD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$0.15      $0.15
    10   $0.14      $1.42
    25   $0.14      $3.55
    50   $0.13      $6.65
   100   $0.11     $11.40
   250   $0.11     $28.50</t>
        </r>
      </text>
    </comment>
    <comment ref="AD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$0.37      $0.37
    10   $0.26      $2.56
   100   $0.12     $11.80
  1000   $0.09     $91.00
  3000   $0.08    $231.00
  9000   $0.07    $630.00</t>
        </r>
      </text>
    </comment>
    <comment ref="AD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$0.11      $0.11
    10   $0.06      $0.63
   100   $0.04      $4.30
   500   $0.04     $18.00
  1000   $0.03     $30.00
  2500   $0.03     $70.00
  5000   $0.03    $130.00
 10000   $0.02    $230.00
 20000   $0.02    $440.00</t>
        </r>
      </text>
    </comment>
    <comment ref="AD2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$7.88      $7.88
    10   $7.17     $71.70
    25   $6.71    $167.75
   100   $5.82    $582.00
   250   $4.96  $1,240.00
   500   $4.75  $2,375.00</t>
        </r>
      </text>
    </comment>
    <comment ref="AD2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$1.01      $1.01
    10   $0.80      $8.04
   100   $0.77     $76.90
   250   $0.70    $175.00
   500   $0.63    $314.50
  1000   $0.56    $560.00</t>
        </r>
      </text>
    </comment>
    <comment ref="AD2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$0.81      $0.81
    10   $0.39      $3.88
   100   $0.32     $32.40
   500   $0.31    $153.50
  1000   $0.28    $275.00
  2500   $0.24    $605.00</t>
        </r>
      </text>
    </comment>
    <comment ref="AD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$0.53      $0.53
    10   $0.45      $4.52
   100   $0.35     $35.10
   500   $0.33    $167.00
  1000   $0.28    $275.00
  3000   $0.24    $726.00</t>
        </r>
      </text>
    </comment>
    <comment ref="AD2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$1.84      $1.84
    10   $1.70     $17.00
   100   $0.95     $94.80
  1000   $0.85    $854.00
  2000   $0.69  $1,380.00
 10000   $0.67  $6,660.00
 24000   $0.47 $11,280.00
 50000   $0.45 $22,650.00
100000   $0.40 $40,400.00</t>
        </r>
      </text>
    </comment>
    <comment ref="AD3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$1.08      $1.08
    10   $0.90      $9.04
    50   $0.89     $44.50
   100   $0.89     $89.00
   200   $0.89    $178.00
   500   $0.61    $306.00</t>
        </r>
      </text>
    </comment>
    <comment ref="AD3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$2.77      $2.77
    10   $2.47     $24.70
    50   $2.22    $111.00
   100   $1.98    $198.00
   200   $1.73    $346.00
   400   $1.55    $620.00</t>
        </r>
      </text>
    </comment>
    <comment ref="AD3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$0.35      $0.35
    10   $0.27      $2.72
   100   $0.15     $14.70
  1000   $0.11    $110.00
  2500   $0.10    $237.50
 10000   $0.09    $890.00</t>
        </r>
      </text>
    </comment>
    <comment ref="AD3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$0.04      $0.39
   100   $0.02      $1.50
  1000   $0.01      $6.00
  5000   $0.00     $20.00
 10000   $0.00     $40.00
 25000   $0.00     $75.00</t>
        </r>
      </text>
    </comment>
    <comment ref="AD3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$0.03      $0.29
   100   $0.01      $1.20
  1000   $0.00      $4.00
  5000   $0.00     $15.00
 10000   $0.00     $30.00</t>
        </r>
      </text>
    </comment>
    <comment ref="AD3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$0.03      $0.34
   100   $0.01      $1.30
   500   $0.01      $5.00
  1000   $0.00      $5.00
  5000   $0.00     $20.00
 10000   $0.00     $30.00</t>
        </r>
      </text>
    </comment>
    <comment ref="AD3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$0.04      $0.37
   100   $0.03      $2.60
   500   $0.02      $7.50
  1000   $0.01      $6.00
  5000   $0.00     $25.00</t>
        </r>
      </text>
    </comment>
    <comment ref="AD3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$0.04      $0.37
   100   $0.03      $2.60
   500   $0.02      $7.50
  1000   $0.01      $6.00
  5000   $0.00     $25.00</t>
        </r>
      </text>
    </comment>
    <comment ref="AD3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$0.04      $0.37
   100   $0.03      $2.60
   500   $0.02      $7.50
  1000   $0.01      $6.00
  5000   $0.00     $25.00</t>
        </r>
      </text>
    </comment>
    <comment ref="AD3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$0.04      $0.37
   100   $0.03      $2.60
   500   $0.02      $7.50
  1000   $0.01      $6.00
  5000   $0.00     $25.00</t>
        </r>
      </text>
    </comment>
    <comment ref="AD4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$0.04      $0.37
   100   $0.03      $2.60
   500   $0.02      $7.50
  1000   $0.00      $5.00
  5000   $0.00     $20.00</t>
        </r>
      </text>
    </comment>
    <comment ref="AD4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$0.04      $0.37
   100   $0.03      $2.60
   500   $0.02      $7.50
  1000   $0.01     $10.00
  5000   $0.01     $35.00</t>
        </r>
      </text>
    </comment>
    <comment ref="AD4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$0.04      $0.40
   100   $0.03      $2.80
   500   $0.02      $8.00
  1000   $0.01      $6.00
  5000   $0.00     $25.00</t>
        </r>
      </text>
    </comment>
    <comment ref="AD4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$0.03      $0.34
   100   $0.01      $1.30
   500   $0.01      $5.00
  1000   $0.00      $5.00
  5000   $0.00     $20.00
 10000   $0.00     $30.00</t>
        </r>
      </text>
    </comment>
    <comment ref="AD4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$0.30      $0.30
    10   $0.14      $1.40
   100   $0.06      $6.20
  1000   $0.04     $41.00
  4000   $0.03    $136.00
  8000   $0.03    $232.00
 24000   $0.03    $648.00</t>
        </r>
      </text>
    </comment>
    <comment ref="AD4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$0.04      $0.43
   100   $0.02      $1.70
  1000   $0.01      $7.00
  5000   $0.00     $25.00
 10000   $0.00     $40.00</t>
        </r>
      </text>
    </comment>
    <comment ref="AD4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$0.07      $0.70
   100   $0.03      $2.80
  1000   $0.01     $11.00
  5000   $0.01     $40.00
 10000   $0.01     $70.00
 25000   $0.01    $150.00</t>
        </r>
      </text>
    </comment>
    <comment ref="AD4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$0.04      $0.37
   100   $0.03      $2.60
   500   $0.02      $7.50
  1000   $0.01      $6.00
  5000   $0.00     $25.00</t>
        </r>
      </text>
    </comment>
    <comment ref="AD4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$0.04      $0.37
   100   $0.03      $2.60
   500   $0.02      $7.50
  1000   $0.01      $6.00
  5000   $0.00     $25.00</t>
        </r>
      </text>
    </comment>
    <comment ref="AD4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$0.04      $0.37
   100   $0.02      $1.50
   500   $0.01      $3.00
  1000   $0.00      $4.00
  5000   $0.00     $20.00</t>
        </r>
      </text>
    </comment>
    <comment ref="AD5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$31.28     $31.28
     5  $29.99    $149.95
    10  $28.86    $288.60
    25  $27.56    $689.00
    50  $27.56  $1,378.00
   100  $24.64  $2,464.00
   250  $23.51  $5,877.50
   500  $22.37 $11,185.00
  1000  $19.46 $19,460.00</t>
        </r>
      </text>
    </comment>
    <comment ref="AD5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$1.99      $1.99
    10   $1.91     $19.10
    50   $1.87     $93.50
   100   $1.60    $160.00
   500   $1.55    $775.00
  1000   $1.25  $1,250.00
  2000   $1.18  $2,360.00
  5000   $1.14  $5,700.00
 10000   $1.10 $11,000.00</t>
        </r>
      </text>
    </comment>
    <comment ref="AD5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$12.75     $12.75
    10  $11.71    $117.10
    25  $11.12    $278.00
    50  $11.12    $556.00
   100   $9.41    $941.00
   250   $8.80  $2,200.00</t>
        </r>
      </text>
    </comment>
    <comment ref="AD5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1 $100.24    $100.24
     5  $97.00    $485.00
    10  $95.06    $950.60
    25  $89.90  $2,247.50
    50  $89.89  $4,494.50</t>
        </r>
      </text>
    </comment>
    <comment ref="AD5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$5.60      $5.60
    10   $5.44     $54.40
    25   $5.28    $132.00
   100   $4.96    $496.00
   250   $4.80  $1,200.00
   500   $4.48  $2,240.00</t>
        </r>
      </text>
    </comment>
    <comment ref="AE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F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F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AG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G9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G10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G11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G15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G16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G19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G20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G22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G23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G33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G34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G45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G46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G55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H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AH57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I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 across distributors.</t>
        </r>
      </text>
    </comment>
    <comment ref="AI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$0.02      $0.02
    10   $0.09      $0.93
    25   $0.08      $1.95
    50   $0.06      $3.05
   100   $0.05      $4.60
   250   $0.04     $10.00
   500   $0.03     $17.00
  1000   $0.03     $29.00
 15000   $0.02    $300.00</t>
        </r>
      </text>
    </comment>
    <comment ref="AI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$0.30      $0.30
    10   $0.20      $2.05
    25   $0.17      $4.28
    50   $0.14      $6.90
   100   $0.10     $10.40
   250   $0.09     $22.00
   500   $0.07     $35.50
  1000   $0.06     $63.00</t>
        </r>
      </text>
    </comment>
    <comment ref="AI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2000   $0.50    $990.00
  4000   $0.45  $1,784.00
  6000   $0.43  $2,574.00
 10000   $0.42  $4,200.00</t>
        </r>
      </text>
    </comment>
    <comment ref="AI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10000   $0.06    $560.00
 20000   $0.05    $960.00
 30000   $0.04  $1,350.00
 50000   $0.04  $1,950.00</t>
        </r>
      </text>
    </comment>
    <comment ref="AI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$0.06      $0.06
    10   $0.28      $2.80
    25   $0.14      $3.55
    50   $0.12      $5.85
   100   $0.09      $9.10
   250   $0.08     $20.75
   500   $0.08     $37.50
  1000   $0.06     $61.00
  4000   $0.06    $256.00
  5000   $0.06    $285.00
 10000   $0.05    $460.00
 20000   $0.04    $800.00
 30000   $0.04  $1,110.00
 50000   $0.03  $1,650.00</t>
        </r>
      </text>
    </comment>
    <comment ref="AI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$0.15      $0.15
     5   $0.62      $3.12
    10   $0.45      $4.48
    25   $0.40      $9.90
    50   $0.35     $17.30
   100   $0.30     $29.50
   250   $0.26     $64.00
   500   $0.22    $109.00
  1000   $0.18    $185.00
  2000   $0.15    $292.00
  5000   $0.14    $685.00
 10000   $0.12  $1,200.00
 20000   $0.11  $2,140.00
 30000   $0.10  $2,970.00
 50000   $0.09  $4,500.00</t>
        </r>
      </text>
    </comment>
    <comment ref="AI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$0.12      $0.12
  5000   $0.11    $555.00
  8000   $0.11    $888.00
 10000   $0.10    $970.00
 20000   $0.09  $1,740.00
 30000   $0.08  $2,400.00
 50000   $0.07  $3,650.00</t>
        </r>
      </text>
    </comment>
    <comment ref="AI1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$0.05      $0.05
  4000   $0.05    $196.00
  5000   $0.04    $225.00
 10000   $0.04    $390.00
 20000   $0.03    $680.00
 30000   $0.03    $840.00</t>
        </r>
      </text>
    </comment>
    <comment ref="AI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$0.12      $0.12
    10   $0.12      $1.25
    25   $0.05      $1.20
   100   $0.02      $2.00
   250   $0.02      $4.50
   500   $0.01      $7.00
  1000   $0.01     $10.00
  2500   $0.01     $22.50
  5000   $0.01     $40.00
 10000   $0.01     $80.00
 20000   $0.01    $120.00</t>
        </r>
      </text>
    </comment>
    <comment ref="AI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2000   $0.48    $960.00
  4000   $0.43  $1,728.00
  6000   $0.42  $2,496.00
 10000   $0.41  $4,070.00</t>
        </r>
      </text>
    </comment>
    <comment ref="AI2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$1.04      $1.04
    25   $0.78     $19.38
   100   $0.53     $53.20
   250   $0.48    $119.00
   500   $0.42    $210.00
  1000   $0.35    $354.00
  2500   $0.33    $827.50
  5000   $0.30  $1,525.00
 10000   $0.23  $2,270.00
 20000   $0.21  $4,240.00
 30000   $0.20  $5,910.00
 50000   $0.19  $9,450.00</t>
        </r>
      </text>
    </comment>
    <comment ref="AI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$0.39      $0.39
     5   $0.39      $1.95
    25   $0.27      $6.70
    50   $0.19      $9.50
   100   $0.11     $11.20
   250   $0.10     $25.00
   500   $0.09     $44.00
  1000   $0.08     $76.00
  3000   $0.04    $111.00
  6000   $0.04    $222.00
 12000   $0.04    $444.00
 18000   $0.04    $666.00
 30000   $0.04  $1,110.00</t>
        </r>
      </text>
    </comment>
    <comment ref="AI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5   $0.15      $0.75
    10   $0.14      $1.42
    25   $0.14      $3.45
    50   $0.13      $6.65
   100   $0.11     $11.40
   250   $0.11     $26.75
   500   $0.10     $49.50</t>
        </r>
      </text>
    </comment>
    <comment ref="AI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9000   $0.14  $1,251.00
 12000   $0.12  $1,488.00
 15000   $0.13  $1,980.00
 18000   $0.11  $2,052.00
 30000   $0.10  $3,120.00</t>
        </r>
      </text>
    </comment>
    <comment ref="AI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$0.11      $0.11
    10   $0.06      $0.63
    25   $0.06      $1.40
    50   $0.05      $2.50
   100   $0.04      $4.30
   250   $0.04     $10.00
   500   $0.04     $18.00
  1000   $0.03     $30.00</t>
        </r>
      </text>
    </comment>
    <comment ref="AI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$0.30      $0.30
    10   $0.30      $3.04
    25   $0.28      $6.98
    50   $0.28     $13.95
   100   $0.28     $27.90
   250   $0.28     $69.75
   500   $0.26    $129.00
  1000   $0.26    $258.00</t>
        </r>
      </text>
    </comment>
    <comment ref="AI2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$0.61      $0.61
    10   $0.61      $6.11
    25   $0.61     $15.28
    50   $0.61     $30.55
   100   $0.61     $61.10
   500   $0.61    $305.50
  1000   $0.61    $611.00</t>
        </r>
      </text>
    </comment>
    <comment ref="AI3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$0.40      $0.40
     5   $0.38      $1.90
    10   $0.26      $2.56
    25   $0.09      $2.30
    50   $0.09      $4.55
   100   $0.11     $11.40
   500   $0.10     $51.00
  1000   $0.09     $89.00
  2500   $0.08    $207.50
 10000   $0.08    $810.00
 25000   $0.08  $1,975.00</t>
        </r>
      </text>
    </comment>
    <comment ref="AI3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$0.01      $0.01
  5000   $0.01     $45.00
 10000   $0.01     $70.00</t>
        </r>
      </text>
    </comment>
    <comment ref="AI3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$0.01      $0.01
  5000   $0.01     $35.00
 10000   $0.00     $50.00</t>
        </r>
      </text>
    </comment>
    <comment ref="AI3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$0.00      $0.00
    10   $0.04      $0.40
    25   $0.04      $0.90
    50   $0.03      $1.60
   100   $0.03      $2.80
   250   $0.02      $5.50
   500   $0.02      $8.00
  1000   $0.01     $11.00
  5000   $0.00     $15.00
 10000   $0.00     $30.00</t>
        </r>
      </text>
    </comment>
    <comment ref="AI3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$0.03      $0.03
    10   $0.04      $0.37
    25   $0.03      $0.73
    50   $0.02      $1.25
   100   $0.02      $2.10
   250   $0.02      $4.50
   500   $0.02      $7.50
  1000   $0.01      $6.00</t>
        </r>
      </text>
    </comment>
    <comment ref="AI3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$0.00      $0.00
    10   $0.10      $1.00
    25   $0.04      $0.92
    50   $0.03      $1.60
   100   $0.03      $2.60
   250   $0.02      $5.25
   500   $0.02      $7.50
  1000   $0.01      $6.00</t>
        </r>
      </text>
    </comment>
    <comment ref="AI3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$0.00      $0.00
    10   $0.10      $1.00
    25   $0.00      $0.08
    50   $0.00      $0.15
   100   $0.00      $0.30
   250   $0.00      $0.75
   500   $0.00      $1.50
  1000   $0.00      $3.00</t>
        </r>
      </text>
    </comment>
    <comment ref="AI3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$0.00      $0.00
    25   $0.00      $0.08
    50   $0.00      $0.15
   100   $0.00      $0.30
   250   $0.00      $0.75
   500   $0.00      $1.50
  1000   $0.00      $3.00
  5000   $0.00     $25.00
 10000   $0.00     $40.00</t>
        </r>
      </text>
    </comment>
    <comment ref="AI4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20000   $0.02    $320.00
 30000   $0.02    $450.00
 50000   $0.02    $750.00
100000   $0.01  $1,400.00
200000   $0.01  $2,800.00</t>
        </r>
      </text>
    </comment>
    <comment ref="AI4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$0.00      $0.00
    10   $0.10      $1.00
    25   $0.04      $0.92
    50   $0.03      $1.60
   100   $0.03      $2.60
   250   $0.02      $5.25
   500   $0.02      $7.50
  1000   $0.01     $10.00
  5000   $0.00     $15.00
 10000   $0.00     $30.00</t>
        </r>
      </text>
    </comment>
    <comment ref="AI4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$0.12      $0.12
    10   $0.12      $1.25
    25   $0.05      $1.25
    50   $0.04      $2.15
   100   $0.04      $3.50
   250   $0.03      $7.00
   500   $0.02     $10.00
  1000   $0.01      $8.00
  5000   $0.01     $30.00
 10000   $0.00     $50.00</t>
        </r>
      </text>
    </comment>
    <comment ref="AI4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$0.04      $0.40
    25   $0.04      $0.90
    50   $0.03      $1.60
   100   $0.03      $2.80
   250   $0.02      $5.50
   500   $0.02      $8.00
  1000   $0.01      $6.00
  5000   $0.00     $25.00</t>
        </r>
      </text>
    </comment>
    <comment ref="AI4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$0.04      $0.04
    10   $0.38      $3.75
    25   $0.18      $4.38
    50   $0.13      $6.30
   100   $0.08      $7.80
   250   $0.07     $17.25
   500   $0.06     $30.00
  1000   $0.05     $51.00
  4000   $0.04    $160.00
  8000   $0.04    $288.00
 16000   $0.04    $560.00
 24000   $0.03    $816.00</t>
        </r>
      </text>
    </comment>
    <comment ref="AI4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$0.02      $0.02
  5000   $0.02     $80.00
 10000   $0.01    $120.00</t>
        </r>
      </text>
    </comment>
    <comment ref="AI4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$0.00      $0.00
    10   $0.10      $1.00
    25   $0.00      $0.08
    50   $0.00      $0.15
   100   $0.00      $0.30
   250   $0.00      $0.75
   500   $0.00      $1.50
  1000   $0.00      $3.00</t>
        </r>
      </text>
    </comment>
    <comment ref="AI4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$0.00      $0.00
    25   $0.00      $0.08
    50   $0.00      $0.15
   100   $0.00      $0.30
   250   $0.00      $0.75
   500   $0.00      $1.50
  1000   $0.00      $3.00
  5000   $0.00     $25.00
 10000   $0.00     $40.00</t>
        </r>
      </text>
    </comment>
    <comment ref="AI4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$0.00      $0.00
    10   $0.05      $0.46
    25   $0.04      $0.95
    50   $0.03      $1.40
   100   $0.02      $1.90
   250   $0.01      $3.50
   500   $0.01      $4.00
  1000   $0.00      $5.00
  5000   $0.02     $90.00</t>
        </r>
      </text>
    </comment>
    <comment ref="AI5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$1.42      $1.42
    10   $1.58     $15.80
    25   $1.51     $37.75
    50   $1.49     $74.50
   100   $1.31    $131.00
   250   $1.29    $322.50
   500   $1.27    $635.00
  1000   $1.42  $1,420.00
  2000   $1.11  $2,220.00
  3000   $1.36  $4,080.00
  4000   $1.08  $4,320.00
  5000   $1.31  $6,550.00
  6000   $1.05  $6,300.00
 10000   $1.27 $12,700.00</t>
        </r>
      </text>
    </comment>
    <comment ref="AJ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K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K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AL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L39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L44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L4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L4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M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AM57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N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 across distributors.</t>
        </r>
      </text>
    </comment>
    <comment ref="AN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50   £0.16      £8.15
   800   £0.07     £55.20</t>
        </r>
      </text>
    </comment>
    <comment ref="AN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100   £0.01      £1.20
   500   £0.01      £7.00
  1000   £0.01      £6.00
  2000   £0.01     £12.00
  2500   £0.01     £30.00
  5000   £0.01     £60.00
 10000   £0.00     £50.00</t>
        </r>
      </text>
    </comment>
    <comment ref="AN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£0.20      £2.04
    50   £0.19      £9.70
   100   £0.16     £16.30
   250   £0.15     £38.25
   500   £0.14     £71.50
  3000   £0.04    £135.00</t>
        </r>
      </text>
    </comment>
    <comment ref="AN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50   £0.12      £5.95
   250   £0.11     £27.75
   500   £0.10     £51.00
  1000   £0.10     £95.00
  2000   £0.09    £178.00
  4000   £0.08    £300.00
  8000   £0.07    £584.00
 12000   £0.07    £876.00</t>
        </r>
      </text>
    </comment>
    <comment ref="AN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50   £0.02      £1.20
  3000   £0.02     £75.00</t>
        </r>
      </text>
    </comment>
    <comment ref="AN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100   £0.02      £1.50
 10000   £0.00     £50.00
 20000   £0.00    £100.00
 30000   £0.00    £150.00</t>
        </r>
      </text>
    </comment>
    <comment ref="AN3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20   £0.22      £4.32
    40   £0.17      £6.68
   100   £0.15     £14.70
   200   £0.13     £25.40
   400   £0.12     £50.00
 10000   £0.07    £680.00
 30000   £0.07  £1,980.00</t>
        </r>
      </text>
    </comment>
    <comment ref="AN3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50   £0.03      £1.60
   500   £0.01      £6.50
  1000   £0.01      £6.00
  1250   £0.01      £7.50
  2500   £0.00     £12.50
  5000   £0.01     £50.00
 10000   £0.01     £80.00</t>
        </r>
      </text>
    </comment>
    <comment ref="AN3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1   £0.08      £0.08
   200   £0.02      £4.00</t>
        </r>
      </text>
    </comment>
    <comment ref="AN3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50   £0.01      £0.45
  1000   £0.01      £8.00
  2000   £0.01     £14.00
  5000   £0.01     £30.00
 10000   £0.00     £50.00</t>
        </r>
      </text>
    </comment>
    <comment ref="AN3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50   £0.02      £0.90
   500   £0.01      £6.00
  1250   £0.00      £6.25
  2500   £0.00     £12.50
  5000   £0.00     £25.00
 10000   £0.00     £40.00</t>
        </r>
      </text>
    </comment>
    <comment ref="AN3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£0.10      £1.00
   750   £0.01     £10.50
  1500   £0.01     £12.00
  3000   £0.01     £18.00</t>
        </r>
      </text>
    </comment>
    <comment ref="AN4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50   £0.02      £0.75
   500   £0.01      £5.50
  1000   £0.01      £6.00
  1250   £0.01      £7.50
  2500   £0.00     £12.50
  5000   £0.00     £25.00
 10000   £0.00     £40.00</t>
        </r>
      </text>
    </comment>
    <comment ref="AN4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50   £0.00      £0.10
  5000   £0.00     £10.00
 10000   £0.00     £20.00</t>
        </r>
      </text>
    </comment>
    <comment ref="AN4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50   £0.02      £0.75
   500   £0.01      £3.00
  1000   £0.00      £5.00
  1250   £0.00      £3.75
  5000   £0.00     £20.00
 10000   £0.00     £30.00</t>
        </r>
      </text>
    </comment>
    <comment ref="AN4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1  £19.10     £19.10
     2  £15.92     £31.84
    10  £14.07    £140.70</t>
        </r>
      </text>
    </comment>
    <comment ref="AN4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£0.10      £1.00
   750   £0.01     £10.50
  1500   £0.01     £12.00
  3000   £0.01     £18.00</t>
        </r>
      </text>
    </comment>
    <comment ref="AN4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50   £0.02      £0.75
   500   £0.01      £6.50
  1000   £0.00      £5.00
  1250   £0.01      £7.50
  2500   £0.00     £12.50
  5000   £0.00     £15.00
 10000   £0.00     £20.00</t>
        </r>
      </text>
    </comment>
    <comment ref="AN5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5   £1.05      £5.26
    50   £0.98     £49.20
   100   £0.84     £84.40
   250   £0.80    £200.50
   500   £0.76    £382.00
  1000   £0.77    £768.00
  4000   £0.75  £2,996.00</t>
        </r>
      </text>
    </comment>
    <comment ref="AN5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£0.72      £7.18
    20   £0.70     £14.08
    50   £0.69     £34.50
    90   £0.70     £62.91
   100   £0.63     £63.10
   180   £0.62    £112.32
   250   £0.63    £156.50
   270   £0.62    £167.13
   540   £0.61    £329.40
  1080   £0.59    £633.96</t>
        </r>
      </text>
    </comment>
    <comment ref="AO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P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P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AQ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Q43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Q49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Q55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R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AR57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S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 across distributors.</t>
        </r>
      </text>
    </comment>
    <comment ref="AS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100   £0.01      £0.84
  1000   £0.00      £4.66
 10000   £0.00     £39.30</t>
        </r>
      </text>
    </comment>
    <comment ref="AS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£0.06      £0.61
    50   £0.05      £2.38
   250   £0.04     £10.52
  1000   £0.04     £37.80
  3000   £0.04    £105.90</t>
        </r>
      </text>
    </comment>
    <comment ref="AS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5   £0.09      £0.44
    25   £0.04      £1.10
   100   £0.04      £3.95
   500   £0.03     £16.46
  3000   £0.03     £82.95</t>
        </r>
      </text>
    </comment>
    <comment ref="AS3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£0.12      £1.23
    50   £0.11      £5.31
   100   £0.09      £8.51
   500   £0.08     £39.45
  2000   £0.07    £142.60</t>
        </r>
      </text>
    </comment>
    <comment ref="AS5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500   £3.64  £1,820.00</t>
        </r>
      </text>
    </comment>
    <comment ref="AT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U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U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</commentList>
</comments>
</file>

<file path=xl/sharedStrings.xml><?xml version="1.0" encoding="utf-8"?>
<sst xmlns="http://schemas.openxmlformats.org/spreadsheetml/2006/main" count="500" uniqueCount="374">
  <si>
    <t xml:space="preserve">Prj:</t>
  </si>
  <si>
    <t xml:space="preserve">dlp_01.xml</t>
  </si>
  <si>
    <t xml:space="preserve">Board Qty:</t>
  </si>
  <si>
    <t xml:space="preserve">Co.:</t>
  </si>
  <si>
    <t xml:space="preserve">Unit Cost:</t>
  </si>
  <si>
    <t xml:space="preserve">Prj date:</t>
  </si>
  <si>
    <t xml:space="preserve">Sun 05 Apr 2020 14:05:01 CEST</t>
  </si>
  <si>
    <t xml:space="preserve">Total Cost:</t>
  </si>
  <si>
    <t xml:space="preserve">$ date:</t>
  </si>
  <si>
    <t xml:space="preserve">2020-04-05 14:05:25</t>
  </si>
  <si>
    <t xml:space="preserve">Global Part Info</t>
  </si>
  <si>
    <t xml:space="preserve">Arrow</t>
  </si>
  <si>
    <t xml:space="preserve">Digi-Key</t>
  </si>
  <si>
    <t xml:space="preserve">Farnell</t>
  </si>
  <si>
    <t xml:space="preserve">LCSC</t>
  </si>
  <si>
    <t xml:space="preserve">Mouser</t>
  </si>
  <si>
    <t xml:space="preserve">Newark</t>
  </si>
  <si>
    <t xml:space="preserve">RS Components</t>
  </si>
  <si>
    <t xml:space="preserve">TME</t>
  </si>
  <si>
    <t xml:space="preserve">Refs</t>
  </si>
  <si>
    <t xml:space="preserve">Value</t>
  </si>
  <si>
    <t xml:space="preserve">Footprint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</si>
  <si>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</si>
  <si>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</si>
  <si>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</si>
  <si>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</si>
  <si>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</si>
  <si>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</si>
  <si>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</si>
  <si>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C47,C54,C70,C74,C75,C99,C100</t>
  </si>
  <si>
    <t xml:space="preserve">100n</t>
  </si>
  <si>
    <t xml:space="preserve">C_0603_1608Metric</t>
  </si>
  <si>
    <t xml:space="preserve">06033C104KAT4A</t>
  </si>
  <si>
    <t xml:space="preserve">478-7018-1-ND</t>
  </si>
  <si>
    <t xml:space="preserve">2332586</t>
  </si>
  <si>
    <t xml:space="preserve">58106033C104KAT4A</t>
  </si>
  <si>
    <t xml:space="preserve">95W9161</t>
  </si>
  <si>
    <t xml:space="preserve">C57,C60,C61,C64,C66,C72,C81,C87</t>
  </si>
  <si>
    <t xml:space="preserve">1u</t>
  </si>
  <si>
    <t xml:space="preserve">C_1206_3216Metric</t>
  </si>
  <si>
    <t xml:space="preserve">12065C105KAZ4A</t>
  </si>
  <si>
    <t xml:space="preserve">58112065C105KAZ4A</t>
  </si>
  <si>
    <t xml:space="preserve">C58,C63,C67</t>
  </si>
  <si>
    <t xml:space="preserve">GRT188R61H105KE13D</t>
  </si>
  <si>
    <t xml:space="preserve">490-12330-1-ND</t>
  </si>
  <si>
    <t xml:space="preserve">NonStk</t>
  </si>
  <si>
    <t xml:space="preserve">2672160</t>
  </si>
  <si>
    <t xml:space="preserve">81GRT188R61H105KE3D</t>
  </si>
  <si>
    <t xml:space="preserve">01AC8937</t>
  </si>
  <si>
    <t xml:space="preserve">C59,C71,C76,C84</t>
  </si>
  <si>
    <t xml:space="preserve">10u</t>
  </si>
  <si>
    <t xml:space="preserve">12065D106KAT2A</t>
  </si>
  <si>
    <t xml:space="preserve">478-9979-1-ND</t>
  </si>
  <si>
    <t xml:space="preserve">58112065D106KAT2A</t>
  </si>
  <si>
    <t xml:space="preserve">54Y9832</t>
  </si>
  <si>
    <t xml:space="preserve">C6,C33</t>
  </si>
  <si>
    <t xml:space="preserve">10n</t>
  </si>
  <si>
    <t xml:space="preserve">C_0402_1005Metric</t>
  </si>
  <si>
    <t xml:space="preserve">0402ZD103KAT2A</t>
  </si>
  <si>
    <t xml:space="preserve">478-11792-1-ND</t>
  </si>
  <si>
    <t xml:space="preserve">5810402ZD103KAT2A</t>
  </si>
  <si>
    <t xml:space="preserve">56K4247</t>
  </si>
  <si>
    <t xml:space="preserve">C62</t>
  </si>
  <si>
    <t xml:space="preserve">470n</t>
  </si>
  <si>
    <t xml:space="preserve">C1608X7R1H474K080AC</t>
  </si>
  <si>
    <t xml:space="preserve">445-5952-1-ND</t>
  </si>
  <si>
    <t xml:space="preserve">2346908</t>
  </si>
  <si>
    <t xml:space="preserve">810C1608X7R1H474K</t>
  </si>
  <si>
    <t xml:space="preserve">04X3261</t>
  </si>
  <si>
    <t xml:space="preserve">7883007</t>
  </si>
  <si>
    <t xml:space="preserve">C65</t>
  </si>
  <si>
    <t xml:space="preserve">2.2u</t>
  </si>
  <si>
    <t xml:space="preserve">12065C225K4T2A</t>
  </si>
  <si>
    <t xml:space="preserve">478-9558-1-ND</t>
  </si>
  <si>
    <t xml:space="preserve">2479895RL</t>
  </si>
  <si>
    <t xml:space="preserve">58112065C225K4T2A</t>
  </si>
  <si>
    <t xml:space="preserve">49Y1344</t>
  </si>
  <si>
    <t xml:space="preserve">C68,C69</t>
  </si>
  <si>
    <t xml:space="preserve">470p</t>
  </si>
  <si>
    <t xml:space="preserve">06033C471KAT4A</t>
  </si>
  <si>
    <t xml:space="preserve">06033C471KAT4A-ND</t>
  </si>
  <si>
    <t xml:space="preserve">58106033C471KAT4A</t>
  </si>
  <si>
    <t xml:space="preserve">C73</t>
  </si>
  <si>
    <t xml:space="preserve">4.7u</t>
  </si>
  <si>
    <t xml:space="preserve">12065C475KAT4A</t>
  </si>
  <si>
    <t xml:space="preserve">478-10695-1-ND</t>
  </si>
  <si>
    <t xml:space="preserve">58112065C475KAT4A</t>
  </si>
  <si>
    <t xml:space="preserve">83T5807</t>
  </si>
  <si>
    <t xml:space="preserve">C78</t>
  </si>
  <si>
    <t xml:space="preserve">10p</t>
  </si>
  <si>
    <t xml:space="preserve">06033C100KAT2A</t>
  </si>
  <si>
    <t xml:space="preserve">478-11366-1-ND</t>
  </si>
  <si>
    <t xml:space="preserve">58106033C100KAT2A</t>
  </si>
  <si>
    <t xml:space="preserve">66M3081</t>
  </si>
  <si>
    <t xml:space="preserve">C79,C82</t>
  </si>
  <si>
    <t xml:space="preserve">1.2n</t>
  </si>
  <si>
    <t xml:space="preserve">06033C122KAT2A</t>
  </si>
  <si>
    <t xml:space="preserve">06033C122KAT2A-ND</t>
  </si>
  <si>
    <t xml:space="preserve">58106033C122KAT2A</t>
  </si>
  <si>
    <t xml:space="preserve">C1-C5,C7-C32,C34-C46</t>
  </si>
  <si>
    <t xml:space="preserve">0402ZD104KAT2A</t>
  </si>
  <si>
    <t xml:space="preserve">478-1129-1-ND</t>
  </si>
  <si>
    <t xml:space="preserve">1327670</t>
  </si>
  <si>
    <t xml:space="preserve">581040210D104K</t>
  </si>
  <si>
    <t xml:space="preserve">34M9179</t>
  </si>
  <si>
    <t xml:space="preserve">6983207</t>
  </si>
  <si>
    <t xml:space="preserve">C48-C53,C55,C56,C77,C80,C83,C85,C86,C88,C93,C94</t>
  </si>
  <si>
    <t xml:space="preserve">22u</t>
  </si>
  <si>
    <t xml:space="preserve">12063D226MAT2A</t>
  </si>
  <si>
    <t xml:space="preserve">478-10040-1-ND</t>
  </si>
  <si>
    <t xml:space="preserve">58112063D226MAT2A</t>
  </si>
  <si>
    <t xml:space="preserve">64W1111</t>
  </si>
  <si>
    <t xml:space="preserve">C89-C92</t>
  </si>
  <si>
    <t xml:space="preserve">C_0805_2012Metric</t>
  </si>
  <si>
    <t xml:space="preserve">0805ZC106KAT4A</t>
  </si>
  <si>
    <t xml:space="preserve">478-11513-1-ND</t>
  </si>
  <si>
    <t xml:space="preserve">3358918</t>
  </si>
  <si>
    <t xml:space="preserve">5810805ZC106KAT4A</t>
  </si>
  <si>
    <t xml:space="preserve">50AH3286</t>
  </si>
  <si>
    <t xml:space="preserve">D1</t>
  </si>
  <si>
    <t xml:space="preserve">MBR0540</t>
  </si>
  <si>
    <t xml:space="preserve">D_SOD-123</t>
  </si>
  <si>
    <t xml:space="preserve">MBR0540CT-ND</t>
  </si>
  <si>
    <t xml:space="preserve">1706803</t>
  </si>
  <si>
    <t xml:space="preserve">C232833</t>
  </si>
  <si>
    <t xml:space="preserve">512MBR0540</t>
  </si>
  <si>
    <t xml:space="preserve">31Y2486</t>
  </si>
  <si>
    <t xml:space="preserve">7390527</t>
  </si>
  <si>
    <t xml:space="preserve">MBR0540FAI</t>
  </si>
  <si>
    <t xml:space="preserve">D5</t>
  </si>
  <si>
    <t xml:space="preserve">LED</t>
  </si>
  <si>
    <t xml:space="preserve">LED_0603_1608Metric_Pad1.05x0.95mm_HandSolder</t>
  </si>
  <si>
    <t xml:space="preserve">150060AS75000</t>
  </si>
  <si>
    <t xml:space="preserve">732-150060AS75000CT-ND</t>
  </si>
  <si>
    <t xml:space="preserve">2900757</t>
  </si>
  <si>
    <t xml:space="preserve">710150060AS75000</t>
  </si>
  <si>
    <t xml:space="preserve">65AC4282</t>
  </si>
  <si>
    <t xml:space="preserve">1766200</t>
  </si>
  <si>
    <t xml:space="preserve">D2-D4</t>
  </si>
  <si>
    <t xml:space="preserve">ESDA18-1K</t>
  </si>
  <si>
    <t xml:space="preserve">D_SOD-523</t>
  </si>
  <si>
    <t xml:space="preserve">497-10767-1-ND</t>
  </si>
  <si>
    <t xml:space="preserve">1889334</t>
  </si>
  <si>
    <t xml:space="preserve">511ESDA181K</t>
  </si>
  <si>
    <t xml:space="preserve">39T6627</t>
  </si>
  <si>
    <t xml:space="preserve">8290318P</t>
  </si>
  <si>
    <t xml:space="preserve">ESDA181K</t>
  </si>
  <si>
    <t xml:space="preserve">FB1-FB4</t>
  </si>
  <si>
    <t xml:space="preserve">BLM15PD800SN1D</t>
  </si>
  <si>
    <t xml:space="preserve">L_0402_1005Metric</t>
  </si>
  <si>
    <t xml:space="preserve">490-5202-1-ND</t>
  </si>
  <si>
    <t xml:space="preserve">2443232</t>
  </si>
  <si>
    <t xml:space="preserve">C237347</t>
  </si>
  <si>
    <t xml:space="preserve">81BLM15PD800SN1D</t>
  </si>
  <si>
    <t xml:space="preserve">87X8569</t>
  </si>
  <si>
    <t xml:space="preserve">8390809</t>
  </si>
  <si>
    <t xml:space="preserve">J1,J2</t>
  </si>
  <si>
    <t xml:space="preserve">FTSH-140-01-F-DV-P</t>
  </si>
  <si>
    <t xml:space="preserve">PinHeader_2x40_P1.27mm_Vertical_SMD</t>
  </si>
  <si>
    <t xml:space="preserve">FTSH-140-01-F-DV-P-ND</t>
  </si>
  <si>
    <t xml:space="preserve">200FTSH14001FDVP</t>
  </si>
  <si>
    <t xml:space="preserve">J3</t>
  </si>
  <si>
    <t xml:space="preserve">Barrel_Jack_MountingPin</t>
  </si>
  <si>
    <t xml:space="preserve">BarrelJack_Horizontal</t>
  </si>
  <si>
    <t xml:space="preserve">KLDHCX-0202-AC-1</t>
  </si>
  <si>
    <t xml:space="preserve">806KLDHCX0202AC1</t>
  </si>
  <si>
    <t xml:space="preserve">J4,J5</t>
  </si>
  <si>
    <t xml:space="preserve">Screw_Terminal_01x03</t>
  </si>
  <si>
    <t xml:space="preserve">TerminalBlock_bornier-3_P5.08mm</t>
  </si>
  <si>
    <t xml:space="preserve">TB006-508-03BE</t>
  </si>
  <si>
    <t xml:space="preserve">102-6192-ND</t>
  </si>
  <si>
    <t xml:space="preserve">490TB00650803BE</t>
  </si>
  <si>
    <t xml:space="preserve">J6-J9</t>
  </si>
  <si>
    <t xml:space="preserve">Conn_01x03_Male</t>
  </si>
  <si>
    <t xml:space="preserve">PinHeader_1x03_P2.54mm_Vertical_SMD_Pin1Left</t>
  </si>
  <si>
    <t xml:space="preserve">87898-0306</t>
  </si>
  <si>
    <t xml:space="preserve">WM9810-ND</t>
  </si>
  <si>
    <t xml:space="preserve">2903525</t>
  </si>
  <si>
    <t xml:space="preserve">538878980306</t>
  </si>
  <si>
    <t xml:space="preserve">78R3064</t>
  </si>
  <si>
    <t xml:space="preserve">L1,L2</t>
  </si>
  <si>
    <t xml:space="preserve">IHLP2020BZER3R3M11</t>
  </si>
  <si>
    <t xml:space="preserve">L_Taiyo-Yuden_MD-2020</t>
  </si>
  <si>
    <t xml:space="preserve">541-1221-1-ND</t>
  </si>
  <si>
    <t xml:space="preserve">2545044</t>
  </si>
  <si>
    <t xml:space="preserve">70IHLP2020BZER3R3M1</t>
  </si>
  <si>
    <t xml:space="preserve">77R1954</t>
  </si>
  <si>
    <t xml:space="preserve">L3</t>
  </si>
  <si>
    <t xml:space="preserve">LPS4018-103MRB</t>
  </si>
  <si>
    <t xml:space="preserve">L_Coilcraft_LPS4018</t>
  </si>
  <si>
    <t xml:space="preserve">2408105</t>
  </si>
  <si>
    <t xml:space="preserve">994LPS4018103MRB</t>
  </si>
  <si>
    <t xml:space="preserve">L4</t>
  </si>
  <si>
    <t xml:space="preserve">XAL7030-272MEB</t>
  </si>
  <si>
    <t xml:space="preserve">Coilcraft-XAL7030-272</t>
  </si>
  <si>
    <t xml:space="preserve">2289110</t>
  </si>
  <si>
    <t xml:space="preserve">994XAL7030272MEB</t>
  </si>
  <si>
    <t xml:space="preserve">Q1</t>
  </si>
  <si>
    <t xml:space="preserve">2N7000</t>
  </si>
  <si>
    <t xml:space="preserve">SOT-23</t>
  </si>
  <si>
    <t xml:space="preserve">2N7000FS-ND</t>
  </si>
  <si>
    <t xml:space="preserve">9845178</t>
  </si>
  <si>
    <t xml:space="preserve">C232838</t>
  </si>
  <si>
    <t xml:space="preserve">5122N7000</t>
  </si>
  <si>
    <t xml:space="preserve">58K9650</t>
  </si>
  <si>
    <t xml:space="preserve">6714733</t>
  </si>
  <si>
    <t xml:space="preserve">2N7000FAI</t>
  </si>
  <si>
    <t xml:space="preserve">R102</t>
  </si>
  <si>
    <t xml:space="preserve">0R</t>
  </si>
  <si>
    <t xml:space="preserve">R_0805_2012Metric</t>
  </si>
  <si>
    <t xml:space="preserve">CRCW08050000Z0EAC</t>
  </si>
  <si>
    <t xml:space="preserve">541-4125-1-ND</t>
  </si>
  <si>
    <t xml:space="preserve">71CRCW08050000Z0EAC</t>
  </si>
  <si>
    <t xml:space="preserve">45AC9154</t>
  </si>
  <si>
    <t xml:space="preserve">R17,R18,R28,R29,R35,R36,R46,R47,R79,R85,R88,R101</t>
  </si>
  <si>
    <t xml:space="preserve">R_0603_1608Metric</t>
  </si>
  <si>
    <t xml:space="preserve">CRCW06030000Z0EAC</t>
  </si>
  <si>
    <t xml:space="preserve">541-4012-1-ND</t>
  </si>
  <si>
    <t xml:space="preserve">71CRCW06030000Z0EAC</t>
  </si>
  <si>
    <t xml:space="preserve">45AC9045</t>
  </si>
  <si>
    <t xml:space="preserve">R19,R37,R45,R58</t>
  </si>
  <si>
    <t xml:space="preserve">10k</t>
  </si>
  <si>
    <t xml:space="preserve">CRCW060310K0FKEA</t>
  </si>
  <si>
    <t xml:space="preserve">541-10.0KHCT-ND</t>
  </si>
  <si>
    <t xml:space="preserve">1469748</t>
  </si>
  <si>
    <t xml:space="preserve">71CRCW060310KE3</t>
  </si>
  <si>
    <t xml:space="preserve">61M5335</t>
  </si>
  <si>
    <t xml:space="preserve">6789667</t>
  </si>
  <si>
    <t xml:space="preserve">R21,R24,R39,R42</t>
  </si>
  <si>
    <t xml:space="preserve">2k</t>
  </si>
  <si>
    <t xml:space="preserve">CRCW06032K00FKEA</t>
  </si>
  <si>
    <t xml:space="preserve">541-2.00KHCT-ND</t>
  </si>
  <si>
    <t xml:space="preserve">1469764</t>
  </si>
  <si>
    <t xml:space="preserve">71CRCW06032.0KE3</t>
  </si>
  <si>
    <t xml:space="preserve">52K8223</t>
  </si>
  <si>
    <t xml:space="preserve">8306292</t>
  </si>
  <si>
    <t xml:space="preserve">R31,R32</t>
  </si>
  <si>
    <t xml:space="preserve">8.2k</t>
  </si>
  <si>
    <t xml:space="preserve">CRCW06038K20FKEA</t>
  </si>
  <si>
    <t xml:space="preserve">541-8.20KHCT-ND</t>
  </si>
  <si>
    <t xml:space="preserve">1652902</t>
  </si>
  <si>
    <t xml:space="preserve">71CRCW06038.2KE3</t>
  </si>
  <si>
    <t xml:space="preserve">73T8723</t>
  </si>
  <si>
    <t xml:space="preserve">6790759</t>
  </si>
  <si>
    <t xml:space="preserve">R4,R10,R13,R48-R51</t>
  </si>
  <si>
    <t xml:space="preserve">7.87k</t>
  </si>
  <si>
    <t xml:space="preserve">CRCW06037K87FKEA</t>
  </si>
  <si>
    <t xml:space="preserve">541-7.87KHCT-ND</t>
  </si>
  <si>
    <t xml:space="preserve">2138416</t>
  </si>
  <si>
    <t xml:space="preserve">71CRCW06037.87KE3</t>
  </si>
  <si>
    <t xml:space="preserve">52K8698</t>
  </si>
  <si>
    <t xml:space="preserve">6790715</t>
  </si>
  <si>
    <t xml:space="preserve">R5,R6,R11,R12,R16,R20,R23,R25,R27,R38,R41,R43,R44,R63</t>
  </si>
  <si>
    <t xml:space="preserve">30.1R</t>
  </si>
  <si>
    <t xml:space="preserve">CRCW060330R1FKEA</t>
  </si>
  <si>
    <t xml:space="preserve">541-30.1HCT-ND</t>
  </si>
  <si>
    <t xml:space="preserve">1151926</t>
  </si>
  <si>
    <t xml:space="preserve">71CRCW060330.1E3</t>
  </si>
  <si>
    <t xml:space="preserve">52K8406</t>
  </si>
  <si>
    <t xml:space="preserve">8306347</t>
  </si>
  <si>
    <t xml:space="preserve">R52,R53</t>
  </si>
  <si>
    <t xml:space="preserve">43R</t>
  </si>
  <si>
    <t xml:space="preserve">CRCW060343R0FKEA</t>
  </si>
  <si>
    <t xml:space="preserve">541-43.0HCT-ND</t>
  </si>
  <si>
    <t xml:space="preserve">2141236</t>
  </si>
  <si>
    <t xml:space="preserve">71CRCW060343E3</t>
  </si>
  <si>
    <t xml:space="preserve">29AC3581</t>
  </si>
  <si>
    <t xml:space="preserve">R56</t>
  </si>
  <si>
    <t xml:space="preserve">300R</t>
  </si>
  <si>
    <t xml:space="preserve">CRCW0603300RFKEA</t>
  </si>
  <si>
    <t xml:space="preserve">541-300HCT-ND</t>
  </si>
  <si>
    <t xml:space="preserve">1469799</t>
  </si>
  <si>
    <t xml:space="preserve">71CRCW0603300E3</t>
  </si>
  <si>
    <t xml:space="preserve">61M5381</t>
  </si>
  <si>
    <t xml:space="preserve">6790172</t>
  </si>
  <si>
    <t xml:space="preserve">R57</t>
  </si>
  <si>
    <t xml:space="preserve">5.1k</t>
  </si>
  <si>
    <t xml:space="preserve">CRCW06035K10FKEA</t>
  </si>
  <si>
    <t xml:space="preserve">541-5.10KHCT-ND</t>
  </si>
  <si>
    <t xml:space="preserve">1469819</t>
  </si>
  <si>
    <t xml:space="preserve">71CRCW06035.1KE3</t>
  </si>
  <si>
    <t xml:space="preserve">52K8571</t>
  </si>
  <si>
    <t xml:space="preserve">1694438</t>
  </si>
  <si>
    <t xml:space="preserve">R60,R61</t>
  </si>
  <si>
    <t xml:space="preserve">10R</t>
  </si>
  <si>
    <t xml:space="preserve">CRCW060310R0FKEA</t>
  </si>
  <si>
    <t xml:space="preserve">541-10.0HCT-ND</t>
  </si>
  <si>
    <t xml:space="preserve">1469751</t>
  </si>
  <si>
    <t xml:space="preserve">71CRCW060310E3</t>
  </si>
  <si>
    <t xml:space="preserve">61M5338</t>
  </si>
  <si>
    <t xml:space="preserve">6789695</t>
  </si>
  <si>
    <t xml:space="preserve">R64</t>
  </si>
  <si>
    <t xml:space="preserve">25m</t>
  </si>
  <si>
    <t xml:space="preserve">R_2010_5025Metric</t>
  </si>
  <si>
    <t xml:space="preserve">CRCW20100000Z0EF</t>
  </si>
  <si>
    <t xml:space="preserve">541-0.0WCT-ND</t>
  </si>
  <si>
    <t xml:space="preserve">1653190</t>
  </si>
  <si>
    <t xml:space="preserve">71CRCW20100E3</t>
  </si>
  <si>
    <t xml:space="preserve">53K3572</t>
  </si>
  <si>
    <t xml:space="preserve">2508363712</t>
  </si>
  <si>
    <t xml:space="preserve">R65</t>
  </si>
  <si>
    <t xml:space="preserve">3.9R</t>
  </si>
  <si>
    <t xml:space="preserve">CRCW06033R90FKEA</t>
  </si>
  <si>
    <t xml:space="preserve">541-3.90HHCT-ND</t>
  </si>
  <si>
    <t xml:space="preserve">71CRCW06033R90FKEA</t>
  </si>
  <si>
    <t xml:space="preserve">47P3575</t>
  </si>
  <si>
    <t xml:space="preserve">R91</t>
  </si>
  <si>
    <t xml:space="preserve">R_1206_3216Metric</t>
  </si>
  <si>
    <t xml:space="preserve">CRCW12060000Z0EAC</t>
  </si>
  <si>
    <t xml:space="preserve">541-4170-1-ND</t>
  </si>
  <si>
    <t xml:space="preserve">71CRCW12060000Z0EAC</t>
  </si>
  <si>
    <t xml:space="preserve">45AC9214</t>
  </si>
  <si>
    <t xml:space="preserve">R96</t>
  </si>
  <si>
    <t xml:space="preserve">5.76k</t>
  </si>
  <si>
    <t xml:space="preserve">CRCW06035K76FKEA</t>
  </si>
  <si>
    <t xml:space="preserve">541-5.76KHCT-ND</t>
  </si>
  <si>
    <t xml:space="preserve">2138406</t>
  </si>
  <si>
    <t xml:space="preserve">71CRCW06035.76KE3</t>
  </si>
  <si>
    <t xml:space="preserve">52K8580</t>
  </si>
  <si>
    <t xml:space="preserve">8306570</t>
  </si>
  <si>
    <t xml:space="preserve">R1-R3</t>
  </si>
  <si>
    <t xml:space="preserve">30.1</t>
  </si>
  <si>
    <t xml:space="preserve">R7-R9,R14,R15,R22,R26,R30,R33,R34,R40</t>
  </si>
  <si>
    <t xml:space="preserve">100k</t>
  </si>
  <si>
    <t xml:space="preserve">CRCW0603100KFKEA</t>
  </si>
  <si>
    <t xml:space="preserve">541-100KHCT-ND</t>
  </si>
  <si>
    <t xml:space="preserve">1469649</t>
  </si>
  <si>
    <t xml:space="preserve">71CRCW0603100KE3</t>
  </si>
  <si>
    <t xml:space="preserve">62M4094</t>
  </si>
  <si>
    <t xml:space="preserve">6789673</t>
  </si>
  <si>
    <t xml:space="preserve">U1,U2</t>
  </si>
  <si>
    <t xml:space="preserve">DLPC3437</t>
  </si>
  <si>
    <t xml:space="preserve">BGA-225_15x15_13.1x13.1mm</t>
  </si>
  <si>
    <t xml:space="preserve">DLPC3437CZEZ</t>
  </si>
  <si>
    <t xml:space="preserve">296-48356-ND</t>
  </si>
  <si>
    <t xml:space="preserve">2851315</t>
  </si>
  <si>
    <t xml:space="preserve">595DLPC3437CZEZ</t>
  </si>
  <si>
    <t xml:space="preserve">U3</t>
  </si>
  <si>
    <t xml:space="preserve">ASDMB-24.000MHZ-LC-T</t>
  </si>
  <si>
    <t xml:space="preserve">Oscillator_SMD_SeikoEpson_SG210-4Pin_2.5x2.0mm_HandSoldering</t>
  </si>
  <si>
    <t xml:space="preserve">535-11728-1-ND</t>
  </si>
  <si>
    <t xml:space="preserve">2467879RL</t>
  </si>
  <si>
    <t xml:space="preserve">815ASDMB24MHZLC</t>
  </si>
  <si>
    <t xml:space="preserve">56AC7552</t>
  </si>
  <si>
    <t xml:space="preserve">1712729</t>
  </si>
  <si>
    <t xml:space="preserve">U4,U5</t>
  </si>
  <si>
    <t xml:space="preserve">W25Q64JVSSIQ</t>
  </si>
  <si>
    <t xml:space="preserve">SO-8_5.3x6.2mm_P1.27mm</t>
  </si>
  <si>
    <t xml:space="preserve">W25Q64JVSSIQ-ND</t>
  </si>
  <si>
    <t xml:space="preserve">1882704</t>
  </si>
  <si>
    <t xml:space="preserve">U6</t>
  </si>
  <si>
    <t xml:space="preserve">DLPA3000</t>
  </si>
  <si>
    <t xml:space="preserve">TQFP-100-1EP_14x14mm_P0.5mm_EP5x5mm</t>
  </si>
  <si>
    <t xml:space="preserve">DLPA3000DPFD</t>
  </si>
  <si>
    <t xml:space="preserve">296-42431-5-ND</t>
  </si>
  <si>
    <t xml:space="preserve">595DLPA3000DPFD</t>
  </si>
  <si>
    <t xml:space="preserve">U7</t>
  </si>
  <si>
    <t xml:space="preserve">DLP3310AFQM</t>
  </si>
  <si>
    <t xml:space="preserve">DLP3310</t>
  </si>
  <si>
    <t xml:space="preserve">DLP3310AFQM-ND</t>
  </si>
  <si>
    <t xml:space="preserve">595DLP3310AFQM</t>
  </si>
  <si>
    <t xml:space="preserve">U8</t>
  </si>
  <si>
    <t xml:space="preserve">RPM5.0-3.0</t>
  </si>
  <si>
    <t xml:space="preserve">Converter_DCDC_RECOM_RPMx.x-x.0</t>
  </si>
  <si>
    <t xml:space="preserve">945-3254-1-ND</t>
  </si>
  <si>
    <t xml:space="preserve">2966059</t>
  </si>
  <si>
    <t xml:space="preserve">919RPM5.03.0</t>
  </si>
  <si>
    <t xml:space="preserve">72AC4064</t>
  </si>
  <si>
    <t xml:space="preserve">RPM5.03.0</t>
  </si>
  <si>
    <t xml:space="preserve">Used currency rates:</t>
  </si>
  <si>
    <t xml:space="preserve">Total Purchase:</t>
  </si>
  <si>
    <t xml:space="preserve">USD($)/GBP(£):</t>
  </si>
  <si>
    <t xml:space="preserve">Purchase description:</t>
  </si>
  <si>
    <t xml:space="preserve">KiCost® v.1.1.4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</si>
</sst>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i val="true"/>
      <sz val="10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909090"/>
      <name val="Calibri"/>
      <family val="2"/>
      <charset val="1"/>
    </font>
    <font>
      <sz val="8"/>
      <color rgb="FF000000"/>
      <name val="Tahoma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000000"/>
        <bgColor rgb="FF003300"/>
      </patternFill>
    </fill>
    <fill>
      <patternFill patternType="solid">
        <fgColor rgb="FFCC0000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1166DD"/>
        <bgColor rgb="FF3366FF"/>
      </patternFill>
    </fill>
    <fill>
      <patternFill patternType="solid">
        <fgColor rgb="FF004A85"/>
        <bgColor rgb="FF0C4DA1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  <fill>
      <patternFill patternType="solid">
        <fgColor rgb="FF0C4DA1"/>
        <bgColor rgb="FF004A85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5"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80FF80"/>
        </patternFill>
      </fill>
    </dxf>
    <dxf>
      <fill>
        <patternFill>
          <bgColor rgb="FFFFFF00"/>
        </patternFill>
      </fill>
    </dxf>
    <dxf>
      <fill>
        <patternFill>
          <bgColor rgb="FFAAAAAA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AAAAAA"/>
      <rgbColor rgb="FF808080"/>
      <rgbColor rgb="FF9999FF"/>
      <rgbColor rgb="FF993366"/>
      <rgbColor rgb="FFFFFFCC"/>
      <rgbColor rgb="FFCCFFFF"/>
      <rgbColor rgb="FF660066"/>
      <rgbColor rgb="FFFF8080"/>
      <rgbColor rgb="FF1166D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09090"/>
      <rgbColor rgb="FF004A85"/>
      <rgbColor rgb="FF339966"/>
      <rgbColor rgb="FF003300"/>
      <rgbColor rgb="FF333300"/>
      <rgbColor rgb="FF993300"/>
      <rgbColor rgb="FF993366"/>
      <rgbColor rgb="FF0C4DA1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octopart.com/click/track?ai=8078&amp;sig=038a5a6&amp;sid=459&amp;ppid=8599646&amp;vpid=49612114&amp;ct=offers" TargetMode="External"/><Relationship Id="rId3" Type="http://schemas.openxmlformats.org/officeDocument/2006/relationships/hyperlink" Target="https://octopart.com/click/track?ai=8078&amp;sig=0b1b3e7&amp;sid=11744&amp;ppid=8599646&amp;vpid=132126275&amp;ct=offers" TargetMode="External"/><Relationship Id="rId4" Type="http://schemas.openxmlformats.org/officeDocument/2006/relationships/hyperlink" Target="https://octopart.com/click/track?ai=8078&amp;sig=044eb42&amp;sid=2401&amp;ppid=8599646&amp;vpid=37771993&amp;ct=offers" TargetMode="External"/><Relationship Id="rId5" Type="http://schemas.openxmlformats.org/officeDocument/2006/relationships/hyperlink" Target="https://octopart.com/click/track?ai=8078&amp;sig=02fea2e&amp;sid=2402&amp;ppid=8599646&amp;vpid=93712660&amp;ct=offers" TargetMode="External"/><Relationship Id="rId6" Type="http://schemas.openxmlformats.org/officeDocument/2006/relationships/hyperlink" Target="https://octopart.com/click/track?ai=8078&amp;sig=0b86884&amp;sid=2401&amp;ppid=25680068&amp;vpid=457558859&amp;ct=offers" TargetMode="External"/><Relationship Id="rId7" Type="http://schemas.openxmlformats.org/officeDocument/2006/relationships/hyperlink" Target="https://octopart.com/click/track?ai=8078&amp;sig=0c55723&amp;sid=459&amp;ppid=62921610&amp;vpid=223635528&amp;ct=offers" TargetMode="External"/><Relationship Id="rId8" Type="http://schemas.openxmlformats.org/officeDocument/2006/relationships/hyperlink" Target="https://octopart.com/click/track?c=1&amp;ai=8078&amp;sig=0928a91&amp;sid=819&amp;ppid=62921610&amp;vpid=309644235&amp;ct=offers" TargetMode="External"/><Relationship Id="rId9" Type="http://schemas.openxmlformats.org/officeDocument/2006/relationships/hyperlink" Target="https://octopart.com/click/track?ai=8078&amp;sig=0cb5178&amp;sid=2401&amp;ppid=62921610&amp;vpid=247475445&amp;ct=offers" TargetMode="External"/><Relationship Id="rId10" Type="http://schemas.openxmlformats.org/officeDocument/2006/relationships/hyperlink" Target="https://octopart.com/click/track?c=1&amp;ai=8078&amp;sig=014dc13&amp;sid=2402&amp;ppid=62921610&amp;vpid=462350177&amp;ct=offers" TargetMode="External"/><Relationship Id="rId11" Type="http://schemas.openxmlformats.org/officeDocument/2006/relationships/hyperlink" Target="https://octopart.com/click/track?c=1&amp;ai=8078&amp;sig=0fb301d&amp;sid=459&amp;ppid=75165041&amp;vpid=268331184&amp;ct=offers" TargetMode="External"/><Relationship Id="rId12" Type="http://schemas.openxmlformats.org/officeDocument/2006/relationships/hyperlink" Target="https://octopart.com/click/track?c=1&amp;ai=8078&amp;sig=0bc7c7e&amp;sid=2401&amp;ppid=75165041&amp;vpid=322610414&amp;ct=offers" TargetMode="External"/><Relationship Id="rId13" Type="http://schemas.openxmlformats.org/officeDocument/2006/relationships/hyperlink" Target="https://octopart.com/click/track?c=1&amp;ai=8078&amp;sig=08cd817&amp;sid=2402&amp;ppid=75165041&amp;vpid=600636580&amp;ct=offers" TargetMode="External"/><Relationship Id="rId14" Type="http://schemas.openxmlformats.org/officeDocument/2006/relationships/hyperlink" Target="https://octopart.com/click/track?ai=8078&amp;sig=00319f4&amp;sid=459&amp;ppid=8446765&amp;vpid=475051541&amp;ct=offers" TargetMode="External"/><Relationship Id="rId15" Type="http://schemas.openxmlformats.org/officeDocument/2006/relationships/hyperlink" Target="https://octopart.com/click/track?ai=8078&amp;sig=06f5793&amp;sid=2401&amp;ppid=8446765&amp;vpid=37690436&amp;ct=offers" TargetMode="External"/><Relationship Id="rId16" Type="http://schemas.openxmlformats.org/officeDocument/2006/relationships/hyperlink" Target="https://octopart.com/click/track?c=1&amp;ai=8078&amp;sig=081f295&amp;sid=2402&amp;ppid=8446765&amp;vpid=13274020&amp;ct=offers" TargetMode="External"/><Relationship Id="rId17" Type="http://schemas.openxmlformats.org/officeDocument/2006/relationships/hyperlink" Target="https://octopart.com/click/track?ai=8078&amp;sig=01a4d5f&amp;sid=459&amp;ppid=25947673&amp;vpid=63973258&amp;ct=offers" TargetMode="External"/><Relationship Id="rId18" Type="http://schemas.openxmlformats.org/officeDocument/2006/relationships/hyperlink" Target="https://octopart.com/click/track?ai=8078&amp;sig=036b3ce&amp;sid=819&amp;ppid=25947673&amp;vpid=139697308&amp;ct=offers" TargetMode="External"/><Relationship Id="rId19" Type="http://schemas.openxmlformats.org/officeDocument/2006/relationships/hyperlink" Target="https://octopart.com/click/track?ai=8078&amp;sig=0c1c7c3&amp;sid=2401&amp;ppid=25947673&amp;vpid=66164256&amp;ct=offers" TargetMode="External"/><Relationship Id="rId20" Type="http://schemas.openxmlformats.org/officeDocument/2006/relationships/hyperlink" Target="https://octopart.com/click/track?ai=8078&amp;sig=0f75823&amp;sid=2402&amp;ppid=25947673&amp;vpid=88873663&amp;ct=offers" TargetMode="External"/><Relationship Id="rId21" Type="http://schemas.openxmlformats.org/officeDocument/2006/relationships/hyperlink" Target="https://octopart.com/click/track?ai=8078&amp;sig=01c0ca3&amp;sid=10022&amp;ppid=25947673&amp;vpid=199137911&amp;ct=offers" TargetMode="External"/><Relationship Id="rId22" Type="http://schemas.openxmlformats.org/officeDocument/2006/relationships/hyperlink" Target="https://octopart.com/click/track?ai=8078&amp;sig=0dbb94f&amp;sid=459&amp;ppid=58850883&amp;vpid=214805087&amp;ct=offers" TargetMode="External"/><Relationship Id="rId23" Type="http://schemas.openxmlformats.org/officeDocument/2006/relationships/hyperlink" Target="https://octopart.com/click/track?c=1&amp;ai=8078&amp;sig=082dc09&amp;sid=819&amp;ppid=58850883&amp;vpid=220451327&amp;ct=offers" TargetMode="External"/><Relationship Id="rId24" Type="http://schemas.openxmlformats.org/officeDocument/2006/relationships/hyperlink" Target="https://octopart.com/click/track?ai=8078&amp;sig=01eae2b&amp;sid=2401&amp;ppid=58850883&amp;vpid=229656983&amp;ct=offers" TargetMode="External"/><Relationship Id="rId25" Type="http://schemas.openxmlformats.org/officeDocument/2006/relationships/hyperlink" Target="https://octopart.com/click/track?ai=8078&amp;sig=03f7fc9&amp;sid=2402&amp;ppid=58850883&amp;vpid=213235654&amp;ct=offers" TargetMode="External"/><Relationship Id="rId26" Type="http://schemas.openxmlformats.org/officeDocument/2006/relationships/hyperlink" Target="https://octopart.com/click/track?c=1&amp;ai=8078&amp;sig=079c3d6&amp;sid=459&amp;ppid=8599697&amp;vpid=33538472&amp;ct=offers" TargetMode="External"/><Relationship Id="rId27" Type="http://schemas.openxmlformats.org/officeDocument/2006/relationships/hyperlink" Target="https://octopart.com/click/track?c=1&amp;ai=8078&amp;sig=0e50537&amp;sid=2401&amp;ppid=8599697&amp;vpid=457555817&amp;ct=offers" TargetMode="External"/><Relationship Id="rId28" Type="http://schemas.openxmlformats.org/officeDocument/2006/relationships/hyperlink" Target="https://octopart.com/click/track?ai=8078&amp;sig=02451a3&amp;sid=459&amp;ppid=71518220&amp;vpid=440762296&amp;ct=offers" TargetMode="External"/><Relationship Id="rId29" Type="http://schemas.openxmlformats.org/officeDocument/2006/relationships/hyperlink" Target="https://octopart.com/click/track?ai=8078&amp;sig=081fbf5&amp;sid=2401&amp;ppid=71518220&amp;vpid=270378093&amp;ct=offers" TargetMode="External"/><Relationship Id="rId30" Type="http://schemas.openxmlformats.org/officeDocument/2006/relationships/hyperlink" Target="https://octopart.com/click/track?c=1&amp;ai=8078&amp;sig=079ab86&amp;sid=2402&amp;ppid=71518220&amp;vpid=254530285&amp;ct=offers" TargetMode="External"/><Relationship Id="rId31" Type="http://schemas.openxmlformats.org/officeDocument/2006/relationships/hyperlink" Target="https://octopart.com/click/track?ai=8078&amp;sig=05fc5e2&amp;sid=459&amp;ppid=3829721&amp;vpid=456140623&amp;ct=offers" TargetMode="External"/><Relationship Id="rId32" Type="http://schemas.openxmlformats.org/officeDocument/2006/relationships/hyperlink" Target="https://octopart.com/click/track?ai=8078&amp;sig=00e6d06&amp;sid=2401&amp;ppid=3829721&amp;vpid=37696520&amp;ct=offers" TargetMode="External"/><Relationship Id="rId33" Type="http://schemas.openxmlformats.org/officeDocument/2006/relationships/hyperlink" Target="https://octopart.com/click/track?c=1&amp;ai=8078&amp;sig=0d92588&amp;sid=2402&amp;ppid=3829721&amp;vpid=13457457&amp;ct=offers" TargetMode="External"/><Relationship Id="rId34" Type="http://schemas.openxmlformats.org/officeDocument/2006/relationships/hyperlink" Target="https://octopart.com/click/track?c=1&amp;ai=8078&amp;sig=0019353&amp;sid=459&amp;ppid=8599653&amp;vpid=33538376&amp;ct=offers" TargetMode="External"/><Relationship Id="rId35" Type="http://schemas.openxmlformats.org/officeDocument/2006/relationships/hyperlink" Target="https://octopart.com/click/track?ai=8078&amp;sig=0be141c&amp;sid=2401&amp;ppid=8599653&amp;vpid=37778902&amp;ct=offers" TargetMode="External"/><Relationship Id="rId36" Type="http://schemas.openxmlformats.org/officeDocument/2006/relationships/hyperlink" Target="https://octopart.com/click/track?ai=8078&amp;sig=0702338&amp;sid=459&amp;ppid=36826&amp;vpid=1931958&amp;ct=offers" TargetMode="External"/><Relationship Id="rId37" Type="http://schemas.openxmlformats.org/officeDocument/2006/relationships/hyperlink" Target="https://octopart.com/click/track?ai=8078&amp;sig=0fd88ff&amp;sid=819&amp;ppid=36826&amp;vpid=138603997&amp;ct=offers" TargetMode="External"/><Relationship Id="rId38" Type="http://schemas.openxmlformats.org/officeDocument/2006/relationships/hyperlink" Target="https://octopart.com/click/track?ai=8078&amp;sig=08a3fb5&amp;sid=2401&amp;ppid=36826&amp;vpid=37824551&amp;ct=offers" TargetMode="External"/><Relationship Id="rId39" Type="http://schemas.openxmlformats.org/officeDocument/2006/relationships/hyperlink" Target="https://octopart.com/click/track?ai=8078&amp;sig=01db203&amp;sid=2402&amp;ppid=36826&amp;vpid=268460647&amp;ct=offers" TargetMode="External"/><Relationship Id="rId40" Type="http://schemas.openxmlformats.org/officeDocument/2006/relationships/hyperlink" Target="https://octopart.com/click/track?ai=8078&amp;sig=03d3c68&amp;sid=10022&amp;ppid=36826&amp;vpid=198971415&amp;ct=offers" TargetMode="External"/><Relationship Id="rId41" Type="http://schemas.openxmlformats.org/officeDocument/2006/relationships/hyperlink" Target="https://octopart.com/click/track?ai=8078&amp;sig=00f5471&amp;sid=1532&amp;ppid=36826&amp;vpid=216034799&amp;ct=offers" TargetMode="External"/><Relationship Id="rId42" Type="http://schemas.openxmlformats.org/officeDocument/2006/relationships/hyperlink" Target="https://octopart.com/click/track?c=1&amp;ai=8078&amp;sig=0119140&amp;sid=459&amp;ppid=32989560&amp;vpid=273231255&amp;ct=offers" TargetMode="External"/><Relationship Id="rId43" Type="http://schemas.openxmlformats.org/officeDocument/2006/relationships/hyperlink" Target="https://octopart.com/click/track?ai=8078&amp;sig=018a4d4&amp;sid=2401&amp;ppid=32989560&amp;vpid=268393737&amp;ct=offers" TargetMode="External"/><Relationship Id="rId44" Type="http://schemas.openxmlformats.org/officeDocument/2006/relationships/hyperlink" Target="https://octopart.com/click/track?c=1&amp;ai=8078&amp;sig=0fdb06d&amp;sid=2402&amp;ppid=32989560&amp;vpid=96005669&amp;ct=offers" TargetMode="External"/><Relationship Id="rId45" Type="http://schemas.openxmlformats.org/officeDocument/2006/relationships/hyperlink" Target="https://octopart.com/click/track?ai=8078&amp;sig=06122b9&amp;sid=459&amp;ppid=75181326&amp;vpid=459509772&amp;ct=offers" TargetMode="External"/><Relationship Id="rId46" Type="http://schemas.openxmlformats.org/officeDocument/2006/relationships/hyperlink" Target="https://octopart.com/click/track?c=1&amp;ai=8078&amp;sig=03a4a0b&amp;sid=11744&amp;ppid=75181326&amp;vpid=604752878&amp;ct=offers" TargetMode="External"/><Relationship Id="rId47" Type="http://schemas.openxmlformats.org/officeDocument/2006/relationships/hyperlink" Target="https://octopart.com/click/track?ai=8078&amp;sig=06b9eeb&amp;sid=2401&amp;ppid=75181326&amp;vpid=431852351&amp;ct=offers" TargetMode="External"/><Relationship Id="rId48" Type="http://schemas.openxmlformats.org/officeDocument/2006/relationships/hyperlink" Target="https://octopart.com/click/track?c=1&amp;ai=8078&amp;sig=02b9fd4&amp;sid=2402&amp;ppid=75181326&amp;vpid=598283122&amp;ct=offers" TargetMode="External"/><Relationship Id="rId49" Type="http://schemas.openxmlformats.org/officeDocument/2006/relationships/hyperlink" Target="https://octopart.com/click/track?ai=8078&amp;sig=0eb048b&amp;sid=459&amp;ppid=7836859&amp;vpid=452469471&amp;ct=offers" TargetMode="External"/><Relationship Id="rId50" Type="http://schemas.openxmlformats.org/officeDocument/2006/relationships/hyperlink" Target="https://octopart.com/click/track?ai=8078&amp;sig=09d5b76&amp;sid=11744&amp;ppid=7836859&amp;vpid=440102952&amp;ct=offers" TargetMode="External"/><Relationship Id="rId51" Type="http://schemas.openxmlformats.org/officeDocument/2006/relationships/hyperlink" Target="https://octopart.com/click/track?ai=8078&amp;sig=0d4b039&amp;sid=27971&amp;ppid=7836859&amp;vpid=483636082&amp;ct=offers" TargetMode="External"/><Relationship Id="rId52" Type="http://schemas.openxmlformats.org/officeDocument/2006/relationships/hyperlink" Target="https://octopart.com/click/track?ai=8078&amp;sig=012717b&amp;sid=2401&amp;ppid=7836859&amp;vpid=438585319&amp;ct=offers" TargetMode="External"/><Relationship Id="rId53" Type="http://schemas.openxmlformats.org/officeDocument/2006/relationships/hyperlink" Target="https://octopart.com/click/track?ai=8078&amp;sig=0fca657&amp;sid=2402&amp;ppid=7836859&amp;vpid=439872459&amp;ct=offers" TargetMode="External"/><Relationship Id="rId54" Type="http://schemas.openxmlformats.org/officeDocument/2006/relationships/hyperlink" Target="https://octopart.com/click/track?ai=8078&amp;sig=0ad68cb&amp;sid=10022&amp;ppid=7836859&amp;vpid=454565042&amp;ct=offers" TargetMode="External"/><Relationship Id="rId55" Type="http://schemas.openxmlformats.org/officeDocument/2006/relationships/hyperlink" Target="https://octopart.com/click/track?ai=8078&amp;sig=09c3d13&amp;sid=1532&amp;ppid=7836859&amp;vpid=534018523&amp;ct=offers" TargetMode="External"/><Relationship Id="rId56" Type="http://schemas.openxmlformats.org/officeDocument/2006/relationships/hyperlink" Target="https://octopart.com/click/track?ai=8078&amp;sig=0b7752b&amp;sid=459&amp;ppid=89970694&amp;vpid=586107932&amp;ct=offers" TargetMode="External"/><Relationship Id="rId57" Type="http://schemas.openxmlformats.org/officeDocument/2006/relationships/hyperlink" Target="https://octopart.com/click/track?c=1&amp;ai=8078&amp;sig=0fa58ab&amp;sid=11744&amp;ppid=89970694&amp;vpid=490512325&amp;ct=offers" TargetMode="External"/><Relationship Id="rId58" Type="http://schemas.openxmlformats.org/officeDocument/2006/relationships/hyperlink" Target="https://octopart.com/click/track?c=1&amp;ai=8078&amp;sig=0d3c896&amp;sid=2401&amp;ppid=89970694&amp;vpid=585206859&amp;ct=offers" TargetMode="External"/><Relationship Id="rId59" Type="http://schemas.openxmlformats.org/officeDocument/2006/relationships/hyperlink" Target="https://octopart.com/click/track?c=1&amp;ai=8078&amp;sig=0b3a997&amp;sid=2402&amp;ppid=89970694&amp;vpid=492561680&amp;ct=offers" TargetMode="External"/><Relationship Id="rId60" Type="http://schemas.openxmlformats.org/officeDocument/2006/relationships/hyperlink" Target="https://octopart.com/click/track?ai=8078&amp;sig=0043ae5&amp;sid=10022&amp;ppid=89970694&amp;vpid=501415316&amp;ct=offers" TargetMode="External"/><Relationship Id="rId61" Type="http://schemas.openxmlformats.org/officeDocument/2006/relationships/hyperlink" Target="https://nl.mouser.com/datasheet/2/389/esda-1k-954621.pdf" TargetMode="External"/><Relationship Id="rId62" Type="http://schemas.openxmlformats.org/officeDocument/2006/relationships/hyperlink" Target="https://octopart.com/click/track?c=1&amp;ai=8078&amp;sig=0f789a8&amp;sid=459&amp;ppid=18901526&amp;vpid=33961162&amp;ct=offers" TargetMode="External"/><Relationship Id="rId63" Type="http://schemas.openxmlformats.org/officeDocument/2006/relationships/hyperlink" Target="https://octopart.com/click/track?c=1&amp;ai=8078&amp;sig=095f771&amp;sid=819&amp;ppid=18901526&amp;vpid=244960908&amp;ct=offers" TargetMode="External"/><Relationship Id="rId64" Type="http://schemas.openxmlformats.org/officeDocument/2006/relationships/hyperlink" Target="https://octopart.com/click/track?c=1&amp;ai=8078&amp;sig=0d10251&amp;sid=2401&amp;ppid=18901526&amp;vpid=37813825&amp;ct=offers" TargetMode="External"/><Relationship Id="rId65" Type="http://schemas.openxmlformats.org/officeDocument/2006/relationships/hyperlink" Target="https://octopart.com/click/track?c=1&amp;ai=8078&amp;sig=035d0bf&amp;sid=2402&amp;ppid=18901526&amp;vpid=120975434&amp;ct=offers" TargetMode="External"/><Relationship Id="rId66" Type="http://schemas.openxmlformats.org/officeDocument/2006/relationships/hyperlink" Target="https://octopart.com/click/track?ai=8078&amp;sig=08967b5&amp;sid=10022&amp;ppid=18901526&amp;vpid=437570534&amp;ct=offers" TargetMode="External"/><Relationship Id="rId67" Type="http://schemas.openxmlformats.org/officeDocument/2006/relationships/hyperlink" Target="https://octopart.com/click/track?ai=8078&amp;sig=098f7c5&amp;sid=1532&amp;ppid=18901526&amp;vpid=416615083&amp;ct=offers" TargetMode="External"/><Relationship Id="rId68" Type="http://schemas.openxmlformats.org/officeDocument/2006/relationships/hyperlink" Target="https://octopart.com/click/track?ai=8078&amp;sig=096fe71&amp;sid=459&amp;ppid=12619435&amp;vpid=34232778&amp;ct=offers" TargetMode="External"/><Relationship Id="rId69" Type="http://schemas.openxmlformats.org/officeDocument/2006/relationships/hyperlink" Target="https://octopart.com/click/track?ai=8078&amp;sig=01b38de&amp;sid=819&amp;ppid=12619435&amp;vpid=167529133&amp;ct=offers" TargetMode="External"/><Relationship Id="rId70" Type="http://schemas.openxmlformats.org/officeDocument/2006/relationships/hyperlink" Target="https://octopart.com/click/track?ai=8078&amp;sig=057ec05&amp;sid=27971&amp;ppid=12619435&amp;vpid=507551932&amp;ct=offers" TargetMode="External"/><Relationship Id="rId71" Type="http://schemas.openxmlformats.org/officeDocument/2006/relationships/hyperlink" Target="https://octopart.com/click/track?ai=8078&amp;sig=0b11fb7&amp;sid=2401&amp;ppid=12619435&amp;vpid=37746193&amp;ct=offers" TargetMode="External"/><Relationship Id="rId72" Type="http://schemas.openxmlformats.org/officeDocument/2006/relationships/hyperlink" Target="https://octopart.com/click/track?ai=8078&amp;sig=0ae8608&amp;sid=2402&amp;ppid=12619435&amp;vpid=174057835&amp;ct=offers" TargetMode="External"/><Relationship Id="rId73" Type="http://schemas.openxmlformats.org/officeDocument/2006/relationships/hyperlink" Target="https://octopart.com/click/track?ai=8078&amp;sig=070c4a7&amp;sid=10022&amp;ppid=12619435&amp;vpid=199071034&amp;ct=offers" TargetMode="External"/><Relationship Id="rId74" Type="http://schemas.openxmlformats.org/officeDocument/2006/relationships/hyperlink" Target="https://octopart.com/click/track?c=1&amp;ai=8078&amp;sig=00efb97&amp;sid=459&amp;ppid=11644498&amp;vpid=440329302&amp;ct=offers" TargetMode="External"/><Relationship Id="rId75" Type="http://schemas.openxmlformats.org/officeDocument/2006/relationships/hyperlink" Target="https://octopart.com/click/track?ai=8078&amp;sig=043fffc&amp;sid=2401&amp;ppid=11644498&amp;vpid=493094757&amp;ct=offers" TargetMode="External"/><Relationship Id="rId76" Type="http://schemas.openxmlformats.org/officeDocument/2006/relationships/hyperlink" Target="https://octopart.com/click/track?ai=8078&amp;sig=034ae11&amp;sid=2401&amp;ppid=102118767&amp;vpid=548978305&amp;ct=offers" TargetMode="External"/><Relationship Id="rId77" Type="http://schemas.openxmlformats.org/officeDocument/2006/relationships/hyperlink" Target="https://octopart.com/click/track?c=1&amp;ai=8078&amp;sig=0035081&amp;sid=459&amp;ppid=106234408&amp;vpid=612421012&amp;ct=offers" TargetMode="External"/><Relationship Id="rId78" Type="http://schemas.openxmlformats.org/officeDocument/2006/relationships/hyperlink" Target="https://octopart.com/click/track?ai=8078&amp;sig=07b896c&amp;sid=2401&amp;ppid=106234408&amp;vpid=595460772&amp;ct=offers" TargetMode="External"/><Relationship Id="rId79" Type="http://schemas.openxmlformats.org/officeDocument/2006/relationships/hyperlink" Target="https://octopart.com/click/track?ai=8078&amp;sig=0711fff&amp;sid=459&amp;ppid=19924513&amp;vpid=114556618&amp;ct=offers" TargetMode="External"/><Relationship Id="rId80" Type="http://schemas.openxmlformats.org/officeDocument/2006/relationships/hyperlink" Target="https://octopart.com/click/track?ai=8078&amp;sig=0389be9&amp;sid=11744&amp;ppid=19924513&amp;vpid=492726122&amp;ct=offers" TargetMode="External"/><Relationship Id="rId81" Type="http://schemas.openxmlformats.org/officeDocument/2006/relationships/hyperlink" Target="https://octopart.com/click/track?ai=8078&amp;sig=0d1ea79&amp;sid=2401&amp;ppid=19924513&amp;vpid=54997487&amp;ct=offers" TargetMode="External"/><Relationship Id="rId82" Type="http://schemas.openxmlformats.org/officeDocument/2006/relationships/hyperlink" Target="https://octopart.com/click/track?ai=8078&amp;sig=0a90be2&amp;sid=2402&amp;ppid=19924513&amp;vpid=255677979&amp;ct=offers" TargetMode="External"/><Relationship Id="rId83" Type="http://schemas.openxmlformats.org/officeDocument/2006/relationships/hyperlink" Target="https://octopart.com/click/track?ai=8078&amp;sig=068083e&amp;sid=459&amp;ppid=42631964&amp;vpid=119652728&amp;ct=offers" TargetMode="External"/><Relationship Id="rId84" Type="http://schemas.openxmlformats.org/officeDocument/2006/relationships/hyperlink" Target="https://octopart.com/click/track?ai=8078&amp;sig=0b1e5f2&amp;sid=11744&amp;ppid=42631964&amp;vpid=260637086&amp;ct=offers" TargetMode="External"/><Relationship Id="rId85" Type="http://schemas.openxmlformats.org/officeDocument/2006/relationships/hyperlink" Target="https://octopart.com/click/track?c=1&amp;ai=8078&amp;sig=068de30&amp;sid=2401&amp;ppid=42631964&amp;vpid=120109406&amp;ct=offers" TargetMode="External"/><Relationship Id="rId86" Type="http://schemas.openxmlformats.org/officeDocument/2006/relationships/hyperlink" Target="https://octopart.com/click/track?ai=8078&amp;sig=0457bf7&amp;sid=2402&amp;ppid=42631964&amp;vpid=249275359&amp;ct=offers" TargetMode="External"/><Relationship Id="rId87" Type="http://schemas.openxmlformats.org/officeDocument/2006/relationships/hyperlink" Target="https://octopart.com/click/track?ai=8078&amp;sig=0aa5b66&amp;sid=819&amp;ppid=30061074&amp;vpid=138766994&amp;ct=offers" TargetMode="External"/><Relationship Id="rId88" Type="http://schemas.openxmlformats.org/officeDocument/2006/relationships/hyperlink" Target="https://octopart.com/click/track?ai=8078&amp;sig=0772854&amp;sid=2401&amp;ppid=30061074&amp;vpid=456353103&amp;ct=offers" TargetMode="External"/><Relationship Id="rId89" Type="http://schemas.openxmlformats.org/officeDocument/2006/relationships/hyperlink" Target="https://octopart.com/click/track?c=1&amp;ai=8078&amp;sig=045aaff&amp;sid=819&amp;ppid=21220579&amp;vpid=138770178&amp;ct=offers" TargetMode="External"/><Relationship Id="rId90" Type="http://schemas.openxmlformats.org/officeDocument/2006/relationships/hyperlink" Target="https://octopart.com/click/track?ai=8078&amp;sig=0e0ffef&amp;sid=2401&amp;ppid=21220579&amp;vpid=70043806&amp;ct=offers" TargetMode="External"/><Relationship Id="rId91" Type="http://schemas.openxmlformats.org/officeDocument/2006/relationships/hyperlink" Target="https://www.fairchildsemi.com/datasheets/2N/2N7000.pdf" TargetMode="External"/><Relationship Id="rId92" Type="http://schemas.openxmlformats.org/officeDocument/2006/relationships/hyperlink" Target="https://octopart.com/click/track?ai=8078&amp;sig=0bb0dd8&amp;sid=459&amp;ppid=110503&amp;vpid=452457158&amp;ct=offers" TargetMode="External"/><Relationship Id="rId93" Type="http://schemas.openxmlformats.org/officeDocument/2006/relationships/hyperlink" Target="https://octopart.com/click/track?ai=8078&amp;sig=066c27f&amp;sid=11744&amp;ppid=110503&amp;vpid=440098833&amp;ct=offers" TargetMode="External"/><Relationship Id="rId94" Type="http://schemas.openxmlformats.org/officeDocument/2006/relationships/hyperlink" Target="https://octopart.com/click/track?ai=8078&amp;sig=09b2167&amp;sid=27971&amp;ppid=110503&amp;vpid=484249620&amp;ct=offers" TargetMode="External"/><Relationship Id="rId95" Type="http://schemas.openxmlformats.org/officeDocument/2006/relationships/hyperlink" Target="https://octopart.com/click/track?ai=8078&amp;sig=01f47ab&amp;sid=2401&amp;ppid=110503&amp;vpid=438579564&amp;ct=offers" TargetMode="External"/><Relationship Id="rId96" Type="http://schemas.openxmlformats.org/officeDocument/2006/relationships/hyperlink" Target="https://octopart.com/click/track?ai=8078&amp;sig=0ed1a41&amp;sid=2402&amp;ppid=110503&amp;vpid=439855289&amp;ct=offers" TargetMode="External"/><Relationship Id="rId97" Type="http://schemas.openxmlformats.org/officeDocument/2006/relationships/hyperlink" Target="https://octopart.com/click/track?ai=8078&amp;sig=0d4f9dc&amp;sid=10022&amp;ppid=110503&amp;vpid=454557854&amp;ct=offers" TargetMode="External"/><Relationship Id="rId98" Type="http://schemas.openxmlformats.org/officeDocument/2006/relationships/hyperlink" Target="https://octopart.com/click/track?ai=8078&amp;sig=00f6b4b&amp;sid=1532&amp;ppid=110503&amp;vpid=534016418&amp;ct=offers" TargetMode="External"/><Relationship Id="rId99" Type="http://schemas.openxmlformats.org/officeDocument/2006/relationships/hyperlink" Target="https://octopart.com/click/track?ai=8078&amp;sig=0d85764&amp;sid=459&amp;ppid=20813606&amp;vpid=454353683&amp;ct=offers" TargetMode="External"/><Relationship Id="rId100" Type="http://schemas.openxmlformats.org/officeDocument/2006/relationships/hyperlink" Target="https://octopart.com/click/track?ai=8078&amp;sig=0859376&amp;sid=2401&amp;ppid=20813606&amp;vpid=455078620&amp;ct=offers" TargetMode="External"/><Relationship Id="rId101" Type="http://schemas.openxmlformats.org/officeDocument/2006/relationships/hyperlink" Target="https://octopart.com/click/track?c=1&amp;ai=8078&amp;sig=0439072&amp;sid=2402&amp;ppid=20813606&amp;vpid=462488662&amp;ct=offers" TargetMode="External"/><Relationship Id="rId102" Type="http://schemas.openxmlformats.org/officeDocument/2006/relationships/hyperlink" Target="https://octopart.com/click/track?ai=8078&amp;sig=0cb5ab0&amp;sid=459&amp;ppid=12144383&amp;vpid=454353269&amp;ct=offers" TargetMode="External"/><Relationship Id="rId103" Type="http://schemas.openxmlformats.org/officeDocument/2006/relationships/hyperlink" Target="https://octopart.com/click/track?ai=8078&amp;sig=06fe040&amp;sid=2401&amp;ppid=12144383&amp;vpid=456131638&amp;ct=offers" TargetMode="External"/><Relationship Id="rId104" Type="http://schemas.openxmlformats.org/officeDocument/2006/relationships/hyperlink" Target="https://octopart.com/click/track?c=1&amp;ai=8078&amp;sig=019db01&amp;sid=2402&amp;ppid=12144383&amp;vpid=462488258&amp;ct=offers" TargetMode="External"/><Relationship Id="rId105" Type="http://schemas.openxmlformats.org/officeDocument/2006/relationships/hyperlink" Target="https://octopart.com/click/track?ai=8078&amp;sig=07523d2&amp;sid=459&amp;ppid=55388213&amp;vpid=114978174&amp;ct=offers" TargetMode="External"/><Relationship Id="rId106" Type="http://schemas.openxmlformats.org/officeDocument/2006/relationships/hyperlink" Target="https://octopart.com/click/track?ai=8078&amp;sig=006afd2&amp;sid=11744&amp;ppid=55388213&amp;vpid=249312445&amp;ct=offers" TargetMode="External"/><Relationship Id="rId107" Type="http://schemas.openxmlformats.org/officeDocument/2006/relationships/hyperlink" Target="https://octopart.com/click/track?c=1&amp;ai=8078&amp;sig=014d932&amp;sid=2401&amp;ppid=55388213&amp;vpid=187883099&amp;ct=offers" TargetMode="External"/><Relationship Id="rId108" Type="http://schemas.openxmlformats.org/officeDocument/2006/relationships/hyperlink" Target="https://octopart.com/click/track?ai=8078&amp;sig=0bff786&amp;sid=2402&amp;ppid=55388213&amp;vpid=268470466&amp;ct=offers" TargetMode="External"/><Relationship Id="rId109" Type="http://schemas.openxmlformats.org/officeDocument/2006/relationships/hyperlink" Target="https://octopart.com/click/track?ai=8078&amp;sig=07d7945&amp;sid=10022&amp;ppid=55388213&amp;vpid=199182340&amp;ct=offers" TargetMode="External"/><Relationship Id="rId110" Type="http://schemas.openxmlformats.org/officeDocument/2006/relationships/hyperlink" Target="https://octopart.com/click/track?c=1&amp;ai=8078&amp;sig=0f63679&amp;sid=459&amp;ppid=39455515&amp;vpid=114978411&amp;ct=offers" TargetMode="External"/><Relationship Id="rId111" Type="http://schemas.openxmlformats.org/officeDocument/2006/relationships/hyperlink" Target="https://octopart.com/click/track?ai=8078&amp;sig=08c78c3&amp;sid=819&amp;ppid=39455515&amp;vpid=249361483&amp;ct=offers" TargetMode="External"/><Relationship Id="rId112" Type="http://schemas.openxmlformats.org/officeDocument/2006/relationships/hyperlink" Target="https://octopart.com/click/track?ai=8078&amp;sig=025adc5&amp;sid=2401&amp;ppid=39455515&amp;vpid=114828779&amp;ct=offers" TargetMode="External"/><Relationship Id="rId113" Type="http://schemas.openxmlformats.org/officeDocument/2006/relationships/hyperlink" Target="https://octopart.com/click/track?ai=8078&amp;sig=04ca2f6&amp;sid=2402&amp;ppid=39455515&amp;vpid=115415627&amp;ct=offers" TargetMode="External"/><Relationship Id="rId114" Type="http://schemas.openxmlformats.org/officeDocument/2006/relationships/hyperlink" Target="https://octopart.com/click/track?ai=8078&amp;sig=066bc0e&amp;sid=10022&amp;ppid=39455515&amp;vpid=203345377&amp;ct=offers" TargetMode="External"/><Relationship Id="rId115" Type="http://schemas.openxmlformats.org/officeDocument/2006/relationships/hyperlink" Target="https://octopart.com/click/track?ai=8078&amp;sig=0eee3e8&amp;sid=459&amp;ppid=39824632&amp;vpid=114978773&amp;ct=offers" TargetMode="External"/><Relationship Id="rId116" Type="http://schemas.openxmlformats.org/officeDocument/2006/relationships/hyperlink" Target="https://octopart.com/click/track?ai=8078&amp;sig=0fee225&amp;sid=819&amp;ppid=39824632&amp;vpid=249361793&amp;ct=offers" TargetMode="External"/><Relationship Id="rId117" Type="http://schemas.openxmlformats.org/officeDocument/2006/relationships/hyperlink" Target="https://octopart.com/click/track?ai=8078&amp;sig=0ff4874&amp;sid=2401&amp;ppid=39824632&amp;vpid=114828914&amp;ct=offers" TargetMode="External"/><Relationship Id="rId118" Type="http://schemas.openxmlformats.org/officeDocument/2006/relationships/hyperlink" Target="https://octopart.com/click/track?ai=8078&amp;sig=0e51a7c&amp;sid=2402&amp;ppid=39824632&amp;vpid=115416249&amp;ct=offers" TargetMode="External"/><Relationship Id="rId119" Type="http://schemas.openxmlformats.org/officeDocument/2006/relationships/hyperlink" Target="https://octopart.com/click/track?ai=8078&amp;sig=0f82c8b&amp;sid=10022&amp;ppid=39824632&amp;vpid=199182571&amp;ct=offers" TargetMode="External"/><Relationship Id="rId120" Type="http://schemas.openxmlformats.org/officeDocument/2006/relationships/hyperlink" Target="https://octopart.com/click/track?ai=8078&amp;sig=0f30791&amp;sid=459&amp;ppid=39817451&amp;vpid=115224932&amp;ct=offers" TargetMode="External"/><Relationship Id="rId121" Type="http://schemas.openxmlformats.org/officeDocument/2006/relationships/hyperlink" Target="https://octopart.com/click/track?ai=8078&amp;sig=0cf0ac3&amp;sid=819&amp;ppid=39817451&amp;vpid=250082154&amp;ct=offers" TargetMode="External"/><Relationship Id="rId122" Type="http://schemas.openxmlformats.org/officeDocument/2006/relationships/hyperlink" Target="https://octopart.com/click/track?ai=8078&amp;sig=0fe6514&amp;sid=2401&amp;ppid=39817451&amp;vpid=115000941&amp;ct=offers" TargetMode="External"/><Relationship Id="rId123" Type="http://schemas.openxmlformats.org/officeDocument/2006/relationships/hyperlink" Target="https://octopart.com/click/track?ai=8078&amp;sig=0497bae&amp;sid=2402&amp;ppid=39817451&amp;vpid=115416198&amp;ct=offers" TargetMode="External"/><Relationship Id="rId124" Type="http://schemas.openxmlformats.org/officeDocument/2006/relationships/hyperlink" Target="https://octopart.com/click/track?ai=8078&amp;sig=03f6a9a&amp;sid=10022&amp;ppid=39817451&amp;vpid=329860686&amp;ct=offers" TargetMode="External"/><Relationship Id="rId125" Type="http://schemas.openxmlformats.org/officeDocument/2006/relationships/hyperlink" Target="https://octopart.com/click/track?ai=8078&amp;sig=08ec2d4&amp;sid=459&amp;ppid=39860971&amp;vpid=115140143&amp;ct=offers" TargetMode="External"/><Relationship Id="rId126" Type="http://schemas.openxmlformats.org/officeDocument/2006/relationships/hyperlink" Target="https://octopart.com/click/track?ai=8078&amp;sig=008d6c3&amp;sid=11744&amp;ppid=39860971&amp;vpid=249313272&amp;ct=offers" TargetMode="External"/><Relationship Id="rId127" Type="http://schemas.openxmlformats.org/officeDocument/2006/relationships/hyperlink" Target="https://octopart.com/click/track?ai=8078&amp;sig=0e6f275&amp;sid=2401&amp;ppid=39860971&amp;vpid=116319507&amp;ct=offers" TargetMode="External"/><Relationship Id="rId128" Type="http://schemas.openxmlformats.org/officeDocument/2006/relationships/hyperlink" Target="https://octopart.com/click/track?ai=8078&amp;sig=0f3b0e0&amp;sid=2402&amp;ppid=39860971&amp;vpid=115415713&amp;ct=offers" TargetMode="External"/><Relationship Id="rId129" Type="http://schemas.openxmlformats.org/officeDocument/2006/relationships/hyperlink" Target="https://octopart.com/click/track?c=1&amp;ai=8078&amp;sig=0d22110&amp;sid=10022&amp;ppid=39860971&amp;vpid=212189619&amp;ct=offers" TargetMode="External"/><Relationship Id="rId130" Type="http://schemas.openxmlformats.org/officeDocument/2006/relationships/hyperlink" Target="https://octopart.com/click/track?ai=8078&amp;sig=0ec15e0&amp;sid=459&amp;ppid=39790791&amp;vpid=119632490&amp;ct=offers" TargetMode="External"/><Relationship Id="rId131" Type="http://schemas.openxmlformats.org/officeDocument/2006/relationships/hyperlink" Target="https://octopart.com/click/track?ai=8078&amp;sig=083d04a&amp;sid=11744&amp;ppid=39790791&amp;vpid=250207947&amp;ct=offers" TargetMode="External"/><Relationship Id="rId132" Type="http://schemas.openxmlformats.org/officeDocument/2006/relationships/hyperlink" Target="https://octopart.com/click/track?ai=8078&amp;sig=092fac5&amp;sid=2401&amp;ppid=39790791&amp;vpid=115538913&amp;ct=offers" TargetMode="External"/><Relationship Id="rId133" Type="http://schemas.openxmlformats.org/officeDocument/2006/relationships/hyperlink" Target="https://octopart.com/click/track?c=1&amp;ai=8078&amp;sig=0a67df3&amp;sid=2402&amp;ppid=39790791&amp;vpid=477620240&amp;ct=offers" TargetMode="External"/><Relationship Id="rId134" Type="http://schemas.openxmlformats.org/officeDocument/2006/relationships/hyperlink" Target="https://octopart.com/click/track?ai=8078&amp;sig=091f054&amp;sid=459&amp;ppid=39993429&amp;vpid=115140136&amp;ct=offers" TargetMode="External"/><Relationship Id="rId135" Type="http://schemas.openxmlformats.org/officeDocument/2006/relationships/hyperlink" Target="https://octopart.com/click/track?ai=8078&amp;sig=0ecd882&amp;sid=11744&amp;ppid=39993429&amp;vpid=249313248&amp;ct=offers" TargetMode="External"/><Relationship Id="rId136" Type="http://schemas.openxmlformats.org/officeDocument/2006/relationships/hyperlink" Target="https://octopart.com/click/track?ai=8078&amp;sig=063f3b2&amp;sid=2401&amp;ppid=39993429&amp;vpid=115160513&amp;ct=offers" TargetMode="External"/><Relationship Id="rId137" Type="http://schemas.openxmlformats.org/officeDocument/2006/relationships/hyperlink" Target="https://octopart.com/click/track?ai=8078&amp;sig=05541ec&amp;sid=2402&amp;ppid=39993429&amp;vpid=115415692&amp;ct=offers" TargetMode="External"/><Relationship Id="rId138" Type="http://schemas.openxmlformats.org/officeDocument/2006/relationships/hyperlink" Target="https://octopart.com/click/track?ai=8078&amp;sig=0d9b0b7&amp;sid=10022&amp;ppid=39993429&amp;vpid=199182447&amp;ct=offers" TargetMode="External"/><Relationship Id="rId139" Type="http://schemas.openxmlformats.org/officeDocument/2006/relationships/hyperlink" Target="https://octopart.com/click/track?ai=8078&amp;sig=0ab5c6b&amp;sid=459&amp;ppid=39784159&amp;vpid=114978702&amp;ct=offers" TargetMode="External"/><Relationship Id="rId140" Type="http://schemas.openxmlformats.org/officeDocument/2006/relationships/hyperlink" Target="https://octopart.com/click/track?ai=8078&amp;sig=05430d3&amp;sid=11744&amp;ppid=39784159&amp;vpid=249313828&amp;ct=offers" TargetMode="External"/><Relationship Id="rId141" Type="http://schemas.openxmlformats.org/officeDocument/2006/relationships/hyperlink" Target="https://octopart.com/click/track?ai=8078&amp;sig=07eeb03&amp;sid=2401&amp;ppid=39784159&amp;vpid=114828876&amp;ct=offers" TargetMode="External"/><Relationship Id="rId142" Type="http://schemas.openxmlformats.org/officeDocument/2006/relationships/hyperlink" Target="https://octopart.com/click/track?ai=8078&amp;sig=08c4105&amp;sid=2402&amp;ppid=39784159&amp;vpid=115416049&amp;ct=offers" TargetMode="External"/><Relationship Id="rId143" Type="http://schemas.openxmlformats.org/officeDocument/2006/relationships/hyperlink" Target="https://octopart.com/click/track?c=1&amp;ai=8078&amp;sig=0668162&amp;sid=10022&amp;ppid=39784159&amp;vpid=501388999&amp;ct=offers" TargetMode="External"/><Relationship Id="rId144" Type="http://schemas.openxmlformats.org/officeDocument/2006/relationships/hyperlink" Target="https://octopart.com/click/track?ai=8078&amp;sig=0d456e7&amp;sid=459&amp;ppid=39455479&amp;vpid=114978187&amp;ct=offers" TargetMode="External"/><Relationship Id="rId145" Type="http://schemas.openxmlformats.org/officeDocument/2006/relationships/hyperlink" Target="https://octopart.com/click/track?ai=8078&amp;sig=0d7e1fa&amp;sid=11744&amp;ppid=39455479&amp;vpid=249312487&amp;ct=offers" TargetMode="External"/><Relationship Id="rId146" Type="http://schemas.openxmlformats.org/officeDocument/2006/relationships/hyperlink" Target="https://octopart.com/click/track?c=1&amp;ai=8078&amp;sig=04636e9&amp;sid=2401&amp;ppid=39455479&amp;vpid=114828659&amp;ct=offers" TargetMode="External"/><Relationship Id="rId147" Type="http://schemas.openxmlformats.org/officeDocument/2006/relationships/hyperlink" Target="https://octopart.com/click/track?ai=8078&amp;sig=0c8ff2a&amp;sid=2402&amp;ppid=39455479&amp;vpid=115415212&amp;ct=offers" TargetMode="External"/><Relationship Id="rId148" Type="http://schemas.openxmlformats.org/officeDocument/2006/relationships/hyperlink" Target="https://octopart.com/click/track?ai=8078&amp;sig=07417c8&amp;sid=10022&amp;ppid=39455479&amp;vpid=199182345&amp;ct=offers" TargetMode="External"/><Relationship Id="rId149" Type="http://schemas.openxmlformats.org/officeDocument/2006/relationships/hyperlink" Target="https://octopart.com/click/track?ai=8078&amp;sig=02ff5be&amp;sid=1532&amp;ppid=39455479&amp;vpid=116287210&amp;ct=offers" TargetMode="External"/><Relationship Id="rId150" Type="http://schemas.openxmlformats.org/officeDocument/2006/relationships/hyperlink" Target="https://octopart.com/click/track?ai=8078&amp;sig=059489f&amp;sid=459&amp;ppid=39456369&amp;vpid=114979256&amp;ct=offers" TargetMode="External"/><Relationship Id="rId151" Type="http://schemas.openxmlformats.org/officeDocument/2006/relationships/hyperlink" Target="https://octopart.com/click/track?ai=8078&amp;sig=01703ab&amp;sid=819&amp;ppid=39456369&amp;vpid=249363327&amp;ct=offers" TargetMode="External"/><Relationship Id="rId152" Type="http://schemas.openxmlformats.org/officeDocument/2006/relationships/hyperlink" Target="https://octopart.com/click/track?ai=8078&amp;sig=0b02764&amp;sid=2401&amp;ppid=39456369&amp;vpid=115001046&amp;ct=offers" TargetMode="External"/><Relationship Id="rId153" Type="http://schemas.openxmlformats.org/officeDocument/2006/relationships/hyperlink" Target="https://octopart.com/click/track?ai=8078&amp;sig=091c5fd&amp;sid=2402&amp;ppid=39456369&amp;vpid=249266635&amp;ct=offers" TargetMode="External"/><Relationship Id="rId154" Type="http://schemas.openxmlformats.org/officeDocument/2006/relationships/hyperlink" Target="https://octopart.com/click/track?c=1&amp;ai=8078&amp;sig=0c1d012&amp;sid=10022&amp;ppid=39456369&amp;vpid=573775497&amp;ct=offers" TargetMode="External"/><Relationship Id="rId155" Type="http://schemas.openxmlformats.org/officeDocument/2006/relationships/hyperlink" Target="https://octopart.com/click/track?ai=8078&amp;sig=008e1e9&amp;sid=459&amp;ppid=46604648&amp;vpid=119632406&amp;ct=offers" TargetMode="External"/><Relationship Id="rId156" Type="http://schemas.openxmlformats.org/officeDocument/2006/relationships/hyperlink" Target="https://octopart.com/click/track?ai=8078&amp;sig=0eb1877&amp;sid=2401&amp;ppid=46604648&amp;vpid=456372781&amp;ct=offers" TargetMode="External"/><Relationship Id="rId157" Type="http://schemas.openxmlformats.org/officeDocument/2006/relationships/hyperlink" Target="https://octopart.com/click/track?c=1&amp;ai=8078&amp;sig=001f537&amp;sid=2402&amp;ppid=46604648&amp;vpid=249260276&amp;ct=offers" TargetMode="External"/><Relationship Id="rId158" Type="http://schemas.openxmlformats.org/officeDocument/2006/relationships/hyperlink" Target="https://octopart.com/click/track?ai=8078&amp;sig=00183aa&amp;sid=459&amp;ppid=20809087&amp;vpid=454353961&amp;ct=offers" TargetMode="External"/><Relationship Id="rId159" Type="http://schemas.openxmlformats.org/officeDocument/2006/relationships/hyperlink" Target="https://octopart.com/click/track?ai=8078&amp;sig=0b27377&amp;sid=2401&amp;ppid=20809087&amp;vpid=454196536&amp;ct=offers" TargetMode="External"/><Relationship Id="rId160" Type="http://schemas.openxmlformats.org/officeDocument/2006/relationships/hyperlink" Target="https://octopart.com/click/track?c=1&amp;ai=8078&amp;sig=0469ed9&amp;sid=2402&amp;ppid=20809087&amp;vpid=462488899&amp;ct=offers" TargetMode="External"/><Relationship Id="rId161" Type="http://schemas.openxmlformats.org/officeDocument/2006/relationships/hyperlink" Target="https://octopart.com/click/track?ai=8078&amp;sig=06d5995&amp;sid=459&amp;ppid=39868297&amp;vpid=114978712&amp;ct=offers" TargetMode="External"/><Relationship Id="rId162" Type="http://schemas.openxmlformats.org/officeDocument/2006/relationships/hyperlink" Target="https://octopart.com/click/track?ai=8078&amp;sig=0e58d16&amp;sid=819&amp;ppid=39868297&amp;vpid=250081918&amp;ct=offers" TargetMode="External"/><Relationship Id="rId163" Type="http://schemas.openxmlformats.org/officeDocument/2006/relationships/hyperlink" Target="https://octopart.com/click/track?ai=8078&amp;sig=00abcea&amp;sid=2401&amp;ppid=39868297&amp;vpid=115232566&amp;ct=offers" TargetMode="External"/><Relationship Id="rId164" Type="http://schemas.openxmlformats.org/officeDocument/2006/relationships/hyperlink" Target="https://octopart.com/click/track?ai=8078&amp;sig=0288352&amp;sid=2402&amp;ppid=39868297&amp;vpid=115416065&amp;ct=offers" TargetMode="External"/><Relationship Id="rId165" Type="http://schemas.openxmlformats.org/officeDocument/2006/relationships/hyperlink" Target="https://octopart.com/click/track?c=1&amp;ai=8078&amp;sig=00d22aa&amp;sid=10022&amp;ppid=39868297&amp;vpid=562990665&amp;ct=offers" TargetMode="External"/><Relationship Id="rId166" Type="http://schemas.openxmlformats.org/officeDocument/2006/relationships/hyperlink" Target="https://octopart.com/click/track?ai=8078&amp;sig=08ec2d4&amp;sid=459&amp;ppid=39860971&amp;vpid=115140143&amp;ct=offers" TargetMode="External"/><Relationship Id="rId167" Type="http://schemas.openxmlformats.org/officeDocument/2006/relationships/hyperlink" Target="https://octopart.com/click/track?ai=8078&amp;sig=008d6c3&amp;sid=11744&amp;ppid=39860971&amp;vpid=249313272&amp;ct=offers" TargetMode="External"/><Relationship Id="rId168" Type="http://schemas.openxmlformats.org/officeDocument/2006/relationships/hyperlink" Target="https://octopart.com/click/track?ai=8078&amp;sig=0e6f275&amp;sid=2401&amp;ppid=39860971&amp;vpid=116319507&amp;ct=offers" TargetMode="External"/><Relationship Id="rId169" Type="http://schemas.openxmlformats.org/officeDocument/2006/relationships/hyperlink" Target="https://octopart.com/click/track?ai=8078&amp;sig=0f3b0e0&amp;sid=2402&amp;ppid=39860971&amp;vpid=115415713&amp;ct=offers" TargetMode="External"/><Relationship Id="rId170" Type="http://schemas.openxmlformats.org/officeDocument/2006/relationships/hyperlink" Target="https://octopart.com/click/track?c=1&amp;ai=8078&amp;sig=0d22110&amp;sid=10022&amp;ppid=39860971&amp;vpid=212189619&amp;ct=offers" TargetMode="External"/><Relationship Id="rId171" Type="http://schemas.openxmlformats.org/officeDocument/2006/relationships/hyperlink" Target="https://octopart.com/click/track?ai=8078&amp;sig=0582d65&amp;sid=459&amp;ppid=39670900&amp;vpid=114978159&amp;ct=offers" TargetMode="External"/><Relationship Id="rId172" Type="http://schemas.openxmlformats.org/officeDocument/2006/relationships/hyperlink" Target="https://octopart.com/click/track?ai=8078&amp;sig=0df87cb&amp;sid=11744&amp;ppid=39670900&amp;vpid=250206834&amp;ct=offers" TargetMode="External"/><Relationship Id="rId173" Type="http://schemas.openxmlformats.org/officeDocument/2006/relationships/hyperlink" Target="https://octopart.com/click/track?ai=8078&amp;sig=0965d62&amp;sid=2401&amp;ppid=39670900&amp;vpid=114828650&amp;ct=offers" TargetMode="External"/><Relationship Id="rId174" Type="http://schemas.openxmlformats.org/officeDocument/2006/relationships/hyperlink" Target="https://octopart.com/click/track?ai=8078&amp;sig=00eb903&amp;sid=2402&amp;ppid=39670900&amp;vpid=252269471&amp;ct=offers" TargetMode="External"/><Relationship Id="rId175" Type="http://schemas.openxmlformats.org/officeDocument/2006/relationships/hyperlink" Target="https://octopart.com/click/track?ai=8078&amp;sig=05e09ca&amp;sid=10022&amp;ppid=39670900&amp;vpid=199182335&amp;ct=offers" TargetMode="External"/><Relationship Id="rId176" Type="http://schemas.openxmlformats.org/officeDocument/2006/relationships/hyperlink" Target="https://octopart.com/click/track?ai=8078&amp;sig=01e402a&amp;sid=1532&amp;ppid=39670900&amp;vpid=116287208&amp;ct=offers" TargetMode="External"/><Relationship Id="rId177" Type="http://schemas.openxmlformats.org/officeDocument/2006/relationships/hyperlink" Target="http://www.ti.com/lit/ds/symlink/dlpc3437.pdf" TargetMode="External"/><Relationship Id="rId178" Type="http://schemas.openxmlformats.org/officeDocument/2006/relationships/hyperlink" Target="https://octopart.com/click/track?ai=8078&amp;sig=09ede02&amp;sid=459&amp;ppid=77884112&amp;vpid=474284670&amp;ct=offers" TargetMode="External"/><Relationship Id="rId179" Type="http://schemas.openxmlformats.org/officeDocument/2006/relationships/hyperlink" Target="https://octopart.com/click/track?ai=8078&amp;sig=053f163&amp;sid=819&amp;ppid=77884112&amp;vpid=477263359&amp;ct=offers" TargetMode="External"/><Relationship Id="rId180" Type="http://schemas.openxmlformats.org/officeDocument/2006/relationships/hyperlink" Target="https://octopart.com/click/track?ai=8078&amp;sig=010ebca&amp;sid=2401&amp;ppid=77884112&amp;vpid=467140525&amp;ct=offers" TargetMode="External"/><Relationship Id="rId181" Type="http://schemas.openxmlformats.org/officeDocument/2006/relationships/hyperlink" Target="https://abracon.com/Oscillators/ASDMB.pdf" TargetMode="External"/><Relationship Id="rId182" Type="http://schemas.openxmlformats.org/officeDocument/2006/relationships/hyperlink" Target="https://octopart.com/click/track?ai=8078&amp;sig=06826f0&amp;sid=459&amp;ppid=21704572&amp;vpid=45677163&amp;ct=offers" TargetMode="External"/><Relationship Id="rId183" Type="http://schemas.openxmlformats.org/officeDocument/2006/relationships/hyperlink" Target="https://octopart.com/click/track?c=1&amp;ai=8078&amp;sig=028d6d3&amp;sid=819&amp;ppid=21704572&amp;vpid=220431199&amp;ct=offers" TargetMode="External"/><Relationship Id="rId184" Type="http://schemas.openxmlformats.org/officeDocument/2006/relationships/hyperlink" Target="https://octopart.com/click/track?ai=8078&amp;sig=0bf1d70&amp;sid=2401&amp;ppid=21704572&amp;vpid=45663889&amp;ct=offers" TargetMode="External"/><Relationship Id="rId185" Type="http://schemas.openxmlformats.org/officeDocument/2006/relationships/hyperlink" Target="https://octopart.com/click/track?ai=8078&amp;sig=06acf8d&amp;sid=2402&amp;ppid=21704572&amp;vpid=480581579&amp;ct=offers" TargetMode="External"/><Relationship Id="rId186" Type="http://schemas.openxmlformats.org/officeDocument/2006/relationships/hyperlink" Target="https://octopart.com/click/track?ai=8078&amp;sig=08fff01&amp;sid=10022&amp;ppid=21704572&amp;vpid=500993278&amp;ct=offers" TargetMode="External"/><Relationship Id="rId187" Type="http://schemas.openxmlformats.org/officeDocument/2006/relationships/hyperlink" Target="http://sigma.octopart.com/138898685/technical_drawing/Winbond-W25Q64JVSSIQ.pdf" TargetMode="External"/><Relationship Id="rId188" Type="http://schemas.openxmlformats.org/officeDocument/2006/relationships/hyperlink" Target="https://octopart.com/click/track?ai=8078&amp;sig=094673b&amp;sid=459&amp;ppid=66502400&amp;vpid=243074773&amp;ct=offers" TargetMode="External"/><Relationship Id="rId189" Type="http://schemas.openxmlformats.org/officeDocument/2006/relationships/hyperlink" Target="https://octopart.com/click/track?c=1&amp;ai=8078&amp;sig=02390bc&amp;sid=10022&amp;ppid=66502400&amp;vpid=563000097&amp;ct=offers" TargetMode="External"/><Relationship Id="rId190" Type="http://schemas.openxmlformats.org/officeDocument/2006/relationships/hyperlink" Target="http://www.ti.com/lit/ds/symlink/dlpa3000.pdf" TargetMode="External"/><Relationship Id="rId191" Type="http://schemas.openxmlformats.org/officeDocument/2006/relationships/hyperlink" Target="https://octopart.com/click/track?ai=8078&amp;sig=0203195&amp;sid=459&amp;ppid=61647711&amp;vpid=219928313&amp;ct=offers" TargetMode="External"/><Relationship Id="rId192" Type="http://schemas.openxmlformats.org/officeDocument/2006/relationships/hyperlink" Target="https://octopart.com/click/track?ai=8078&amp;sig=001dfad&amp;sid=2401&amp;ppid=61647711&amp;vpid=237877931&amp;ct=offers" TargetMode="External"/><Relationship Id="rId193" Type="http://schemas.openxmlformats.org/officeDocument/2006/relationships/hyperlink" Target="http://www.ti.com/lit/ds/symlink/dlp3310.pdf" TargetMode="External"/><Relationship Id="rId194" Type="http://schemas.openxmlformats.org/officeDocument/2006/relationships/hyperlink" Target="https://octopart.com/click/track?c=1&amp;ai=8078&amp;sig=0912f1c&amp;sid=459&amp;ppid=96493554&amp;vpid=507522192&amp;ct=offers" TargetMode="External"/><Relationship Id="rId195" Type="http://schemas.openxmlformats.org/officeDocument/2006/relationships/hyperlink" Target="https://octopart.com/click/track?ai=8078&amp;sig=0b27327&amp;sid=2401&amp;ppid=96493554&amp;vpid=527705457&amp;ct=offers" TargetMode="External"/><Relationship Id="rId196" Type="http://schemas.openxmlformats.org/officeDocument/2006/relationships/hyperlink" Target="https://octopart.com/click/track?ai=8078&amp;sig=0537356&amp;sid=459&amp;ppid=95398928&amp;vpid=505169493&amp;ct=offers" TargetMode="External"/><Relationship Id="rId197" Type="http://schemas.openxmlformats.org/officeDocument/2006/relationships/hyperlink" Target="https://octopart.com/click/track?c=1&amp;ai=8078&amp;sig=014fb1d&amp;sid=11744&amp;ppid=95398928&amp;vpid=511496218&amp;ct=offers" TargetMode="External"/><Relationship Id="rId198" Type="http://schemas.openxmlformats.org/officeDocument/2006/relationships/hyperlink" Target="https://octopart.com/click/track?ai=8078&amp;sig=0912d5a&amp;sid=2401&amp;ppid=95398928&amp;vpid=504826529&amp;ct=offers" TargetMode="External"/><Relationship Id="rId199" Type="http://schemas.openxmlformats.org/officeDocument/2006/relationships/hyperlink" Target="https://octopart.com/click/track?c=1&amp;ai=8078&amp;sig=06e6e8a&amp;sid=2402&amp;ppid=95398928&amp;vpid=508758162&amp;ct=offers" TargetMode="External"/><Relationship Id="rId200" Type="http://schemas.openxmlformats.org/officeDocument/2006/relationships/hyperlink" Target="https://octopart.com/click/track?ai=8078&amp;sig=00295f2&amp;sid=1532&amp;ppid=95398928&amp;vpid=596393211&amp;ct=offers" TargetMode="External"/><Relationship Id="rId201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" ySplit="6" topLeftCell="H7" activePane="bottomRight" state="frozen"/>
      <selection pane="topLeft" activeCell="A1" activeCellId="0" sqref="A1"/>
      <selection pane="topRight" activeCell="H1" activeCellId="0" sqref="H1"/>
      <selection pane="bottomLeft" activeCell="A7" activeCellId="0" sqref="A7"/>
      <selection pane="bottomRight" activeCell="B19" activeCellId="0" sqref="B19"/>
    </sheetView>
  </sheetViews>
  <sheetFormatPr defaultRowHeight="15" zeroHeight="false" outlineLevelRow="0" outlineLevelCol="2"/>
  <cols>
    <col collapsed="false" customWidth="true" hidden="false" outlineLevel="0" max="2" min="1" style="0" width="9.14"/>
    <col collapsed="false" customWidth="true" hidden="false" outlineLevel="2" max="3" min="3" style="0" width="9.14"/>
    <col collapsed="false" customWidth="true" hidden="false" outlineLevel="1" max="5" min="4" style="0" width="9.14"/>
    <col collapsed="false" customWidth="true" hidden="false" outlineLevel="0" max="6" min="6" style="0" width="9.14"/>
    <col collapsed="false" customWidth="true" hidden="false" outlineLevel="0" max="7" min="7" style="0" width="15.71"/>
    <col collapsed="false" customWidth="true" hidden="false" outlineLevel="1" max="8" min="8" style="0" width="9.14"/>
    <col collapsed="false" customWidth="true" hidden="false" outlineLevel="2" max="10" min="9" style="0" width="9.14"/>
    <col collapsed="false" customWidth="true" hidden="false" outlineLevel="0" max="11" min="11" style="0" width="15.71"/>
    <col collapsed="false" customWidth="true" hidden="false" outlineLevel="2" max="12" min="12" style="0" width="15.71"/>
    <col collapsed="false" customWidth="true" hidden="false" outlineLevel="1" max="13" min="13" style="0" width="9.14"/>
    <col collapsed="false" customWidth="true" hidden="false" outlineLevel="2" max="15" min="14" style="0" width="9.14"/>
    <col collapsed="false" customWidth="true" hidden="false" outlineLevel="0" max="16" min="16" style="0" width="15.71"/>
    <col collapsed="false" customWidth="true" hidden="false" outlineLevel="2" max="17" min="17" style="0" width="15.71"/>
    <col collapsed="false" customWidth="true" hidden="false" outlineLevel="1" max="18" min="18" style="0" width="9.14"/>
    <col collapsed="false" customWidth="true" hidden="false" outlineLevel="2" max="20" min="19" style="0" width="9.14"/>
    <col collapsed="false" customWidth="true" hidden="false" outlineLevel="0" max="21" min="21" style="0" width="15.71"/>
    <col collapsed="false" customWidth="true" hidden="false" outlineLevel="2" max="22" min="22" style="0" width="15.71"/>
    <col collapsed="false" customWidth="true" hidden="false" outlineLevel="1" max="23" min="23" style="0" width="9.14"/>
    <col collapsed="false" customWidth="true" hidden="false" outlineLevel="2" max="25" min="24" style="0" width="9.14"/>
    <col collapsed="false" customWidth="true" hidden="false" outlineLevel="0" max="26" min="26" style="0" width="15.71"/>
    <col collapsed="false" customWidth="true" hidden="false" outlineLevel="2" max="27" min="27" style="0" width="15.71"/>
    <col collapsed="false" customWidth="true" hidden="false" outlineLevel="1" max="28" min="28" style="0" width="9.14"/>
    <col collapsed="false" customWidth="true" hidden="false" outlineLevel="2" max="30" min="29" style="0" width="9.14"/>
    <col collapsed="false" customWidth="true" hidden="false" outlineLevel="0" max="31" min="31" style="0" width="15.71"/>
    <col collapsed="false" customWidth="true" hidden="false" outlineLevel="2" max="32" min="32" style="0" width="15.71"/>
    <col collapsed="false" customWidth="true" hidden="false" outlineLevel="1" max="33" min="33" style="0" width="9.14"/>
    <col collapsed="false" customWidth="true" hidden="false" outlineLevel="2" max="35" min="34" style="0" width="9.14"/>
    <col collapsed="false" customWidth="true" hidden="false" outlineLevel="0" max="36" min="36" style="0" width="15.71"/>
    <col collapsed="false" customWidth="true" hidden="false" outlineLevel="2" max="37" min="37" style="0" width="15.71"/>
    <col collapsed="false" customWidth="true" hidden="false" outlineLevel="1" max="38" min="38" style="0" width="9.14"/>
    <col collapsed="false" customWidth="true" hidden="false" outlineLevel="2" max="40" min="39" style="0" width="9.14"/>
    <col collapsed="false" customWidth="true" hidden="false" outlineLevel="0" max="41" min="41" style="0" width="15.71"/>
    <col collapsed="false" customWidth="true" hidden="false" outlineLevel="2" max="42" min="42" style="0" width="15.71"/>
    <col collapsed="false" customWidth="true" hidden="false" outlineLevel="1" max="43" min="43" style="0" width="9.14"/>
    <col collapsed="false" customWidth="true" hidden="false" outlineLevel="2" max="45" min="44" style="0" width="9.14"/>
    <col collapsed="false" customWidth="true" hidden="false" outlineLevel="0" max="46" min="46" style="0" width="15.71"/>
    <col collapsed="false" customWidth="true" hidden="false" outlineLevel="2" max="47" min="47" style="0" width="15.71"/>
    <col collapsed="false" customWidth="true" hidden="false" outlineLevel="0" max="1025" min="48" style="0" width="8.64"/>
  </cols>
  <sheetData>
    <row r="1" customFormat="false" ht="15" hidden="false" customHeight="false" outlineLevel="0" collapsed="false">
      <c r="A1" s="1" t="s">
        <v>0</v>
      </c>
      <c r="B1" s="2" t="s">
        <v>1</v>
      </c>
      <c r="F1" s="3" t="s">
        <v>2</v>
      </c>
      <c r="G1" s="3" t="n">
        <v>1</v>
      </c>
    </row>
    <row r="2" customFormat="false" ht="15" hidden="false" customHeight="false" outlineLevel="0" collapsed="false">
      <c r="A2" s="1" t="s">
        <v>3</v>
      </c>
      <c r="B2" s="2"/>
      <c r="F2" s="1" t="s">
        <v>4</v>
      </c>
      <c r="G2" s="4" t="n">
        <f aca="false">TotalCost/BoardQty</f>
        <v>205.433744828164</v>
      </c>
    </row>
    <row r="3" customFormat="false" ht="15" hidden="false" customHeight="false" outlineLevel="0" collapsed="false">
      <c r="A3" s="1" t="s">
        <v>5</v>
      </c>
      <c r="B3" s="2" t="s">
        <v>6</v>
      </c>
      <c r="F3" s="1" t="s">
        <v>7</v>
      </c>
      <c r="G3" s="5" t="n">
        <f aca="false">SUM(G7:G55)</f>
        <v>205.433744828164</v>
      </c>
      <c r="K3" s="5" t="n">
        <f aca="false">SUM(K7:K55)</f>
        <v>0</v>
      </c>
      <c r="L3" s="6" t="n">
        <f aca="false">(COUNTA(K7:K55)&amp;" of "&amp;ROWS(K7:K55)&amp;" parts found")</f>
        <v>0</v>
      </c>
      <c r="P3" s="5" t="n">
        <f aca="false">SUM(P7:P55)</f>
        <v>219.44272</v>
      </c>
      <c r="Q3" s="6" t="str">
        <f aca="false">(COUNTA(P7:P55)&amp;" of "&amp;ROWS(P7:P55)&amp;" parts found")</f>
        <v>44 of 49 parts found</v>
      </c>
      <c r="U3" s="5" t="n">
        <f aca="false">SUM(U7:U55)</f>
        <v>91.7890993294217</v>
      </c>
      <c r="V3" s="6" t="str">
        <f aca="false">(COUNTA(U7:U55)&amp;" of "&amp;ROWS(U7:U55)&amp;" parts found")</f>
        <v>31 of 49 parts found</v>
      </c>
      <c r="Z3" s="5" t="n">
        <f aca="false">SUM(Z7:Z55)</f>
        <v>0.21754</v>
      </c>
      <c r="AA3" s="6" t="str">
        <f aca="false">(COUNTA(Z7:Z55)&amp;" of "&amp;ROWS(Z7:Z55)&amp;" parts found")</f>
        <v>3 of 49 parts found</v>
      </c>
      <c r="AE3" s="5" t="n">
        <f aca="false">SUM(AE7:AE55)</f>
        <v>241.607</v>
      </c>
      <c r="AF3" s="6" t="str">
        <f aca="false">(COUNTA(AE7:AE55)&amp;" of "&amp;ROWS(AE7:AE55)&amp;" parts found")</f>
        <v>48 of 49 parts found</v>
      </c>
      <c r="AJ3" s="5" t="n">
        <f aca="false">SUM(AJ7:AJ55)</f>
        <v>24.354</v>
      </c>
      <c r="AK3" s="6" t="str">
        <f aca="false">(COUNTA(AJ7:AJ55)&amp;" of "&amp;ROWS(AJ7:AJ55)&amp;" parts found")</f>
        <v>35 of 49 parts found</v>
      </c>
      <c r="AO3" s="5" t="n">
        <f aca="false">SUM(AO7:AO55)</f>
        <v>32.9216445934619</v>
      </c>
      <c r="AP3" s="6" t="str">
        <f aca="false">(COUNTA(AO7:AO55)&amp;" of "&amp;ROWS(AO7:AO55)&amp;" parts found")</f>
        <v>20 of 49 parts found</v>
      </c>
      <c r="AT3" s="5" t="n">
        <f aca="false">SUM(AT7:AT55)</f>
        <v>5.76774176026823</v>
      </c>
      <c r="AU3" s="6" t="str">
        <f aca="false">(COUNTA(AT7:AT55)&amp;" of "&amp;ROWS(AT7:AT55)&amp;" parts found")</f>
        <v>5 of 49 parts found</v>
      </c>
    </row>
    <row r="4" customFormat="false" ht="15" hidden="false" customHeight="false" outlineLevel="0" collapsed="false">
      <c r="A4" s="1" t="s">
        <v>8</v>
      </c>
      <c r="B4" s="2" t="s">
        <v>9</v>
      </c>
    </row>
    <row r="5" customFormat="false" ht="15" hidden="false" customHeight="false" outlineLevel="0" collapsed="false">
      <c r="A5" s="7" t="s">
        <v>10</v>
      </c>
      <c r="B5" s="7"/>
      <c r="C5" s="7"/>
      <c r="D5" s="7"/>
      <c r="E5" s="7"/>
      <c r="F5" s="7"/>
      <c r="G5" s="7"/>
      <c r="H5" s="8" t="s">
        <v>11</v>
      </c>
      <c r="I5" s="8"/>
      <c r="J5" s="8"/>
      <c r="K5" s="8"/>
      <c r="L5" s="8"/>
      <c r="M5" s="9" t="s">
        <v>12</v>
      </c>
      <c r="N5" s="9"/>
      <c r="O5" s="9"/>
      <c r="P5" s="9"/>
      <c r="Q5" s="9"/>
      <c r="R5" s="10" t="s">
        <v>13</v>
      </c>
      <c r="S5" s="10"/>
      <c r="T5" s="10"/>
      <c r="U5" s="10"/>
      <c r="V5" s="10"/>
      <c r="W5" s="11" t="s">
        <v>14</v>
      </c>
      <c r="X5" s="11"/>
      <c r="Y5" s="11"/>
      <c r="Z5" s="11"/>
      <c r="AA5" s="11"/>
      <c r="AB5" s="12" t="s">
        <v>15</v>
      </c>
      <c r="AC5" s="12"/>
      <c r="AD5" s="12"/>
      <c r="AE5" s="12"/>
      <c r="AF5" s="12"/>
      <c r="AG5" s="13" t="s">
        <v>16</v>
      </c>
      <c r="AH5" s="13"/>
      <c r="AI5" s="13"/>
      <c r="AJ5" s="13"/>
      <c r="AK5" s="13"/>
      <c r="AL5" s="14" t="s">
        <v>17</v>
      </c>
      <c r="AM5" s="14"/>
      <c r="AN5" s="14"/>
      <c r="AO5" s="14"/>
      <c r="AP5" s="14"/>
      <c r="AQ5" s="15" t="s">
        <v>18</v>
      </c>
      <c r="AR5" s="15"/>
      <c r="AS5" s="15"/>
      <c r="AT5" s="15"/>
      <c r="AU5" s="15"/>
    </row>
    <row r="6" customFormat="false" ht="15" hidden="false" customHeight="false" outlineLevel="0" collapsed="false">
      <c r="A6" s="16" t="s">
        <v>19</v>
      </c>
      <c r="B6" s="16" t="s">
        <v>20</v>
      </c>
      <c r="C6" s="16" t="s">
        <v>21</v>
      </c>
      <c r="D6" s="16" t="s">
        <v>22</v>
      </c>
      <c r="E6" s="16" t="s">
        <v>23</v>
      </c>
      <c r="F6" s="16" t="s">
        <v>24</v>
      </c>
      <c r="G6" s="16" t="s">
        <v>25</v>
      </c>
      <c r="H6" s="16" t="s">
        <v>26</v>
      </c>
      <c r="I6" s="16" t="s">
        <v>27</v>
      </c>
      <c r="J6" s="16" t="s">
        <v>24</v>
      </c>
      <c r="K6" s="16" t="s">
        <v>25</v>
      </c>
      <c r="L6" s="16" t="s">
        <v>28</v>
      </c>
      <c r="M6" s="16" t="s">
        <v>26</v>
      </c>
      <c r="N6" s="16" t="s">
        <v>27</v>
      </c>
      <c r="O6" s="16" t="s">
        <v>24</v>
      </c>
      <c r="P6" s="16" t="s">
        <v>25</v>
      </c>
      <c r="Q6" s="16" t="s">
        <v>28</v>
      </c>
      <c r="R6" s="16" t="s">
        <v>26</v>
      </c>
      <c r="S6" s="16" t="s">
        <v>27</v>
      </c>
      <c r="T6" s="16" t="s">
        <v>24</v>
      </c>
      <c r="U6" s="16" t="s">
        <v>25</v>
      </c>
      <c r="V6" s="16" t="s">
        <v>28</v>
      </c>
      <c r="W6" s="16" t="s">
        <v>26</v>
      </c>
      <c r="X6" s="16" t="s">
        <v>27</v>
      </c>
      <c r="Y6" s="16" t="s">
        <v>24</v>
      </c>
      <c r="Z6" s="16" t="s">
        <v>25</v>
      </c>
      <c r="AA6" s="16" t="s">
        <v>28</v>
      </c>
      <c r="AB6" s="16" t="s">
        <v>26</v>
      </c>
      <c r="AC6" s="16" t="s">
        <v>27</v>
      </c>
      <c r="AD6" s="16" t="s">
        <v>24</v>
      </c>
      <c r="AE6" s="16" t="s">
        <v>25</v>
      </c>
      <c r="AF6" s="16" t="s">
        <v>28</v>
      </c>
      <c r="AG6" s="16" t="s">
        <v>26</v>
      </c>
      <c r="AH6" s="16" t="s">
        <v>27</v>
      </c>
      <c r="AI6" s="16" t="s">
        <v>24</v>
      </c>
      <c r="AJ6" s="16" t="s">
        <v>25</v>
      </c>
      <c r="AK6" s="16" t="s">
        <v>28</v>
      </c>
      <c r="AL6" s="16" t="s">
        <v>26</v>
      </c>
      <c r="AM6" s="16" t="s">
        <v>27</v>
      </c>
      <c r="AN6" s="16" t="s">
        <v>24</v>
      </c>
      <c r="AO6" s="16" t="s">
        <v>25</v>
      </c>
      <c r="AP6" s="16" t="s">
        <v>28</v>
      </c>
      <c r="AQ6" s="16" t="s">
        <v>26</v>
      </c>
      <c r="AR6" s="16" t="s">
        <v>27</v>
      </c>
      <c r="AS6" s="16" t="s">
        <v>24</v>
      </c>
      <c r="AT6" s="16" t="s">
        <v>25</v>
      </c>
      <c r="AU6" s="16" t="s">
        <v>28</v>
      </c>
    </row>
    <row r="7" customFormat="false" ht="15" hidden="false" customHeight="false" outlineLevel="0" collapsed="false">
      <c r="A7" s="17" t="s">
        <v>29</v>
      </c>
      <c r="B7" s="17" t="s">
        <v>30</v>
      </c>
      <c r="C7" s="17" t="s">
        <v>31</v>
      </c>
      <c r="D7" s="17" t="s">
        <v>32</v>
      </c>
      <c r="E7" s="18" t="n">
        <f aca="false">BoardQty*7</f>
        <v>7</v>
      </c>
      <c r="F7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0.02</v>
      </c>
      <c r="G7" s="19" t="n">
        <f aca="false">IFERROR(E7*F7,"")</f>
        <v>0.14</v>
      </c>
      <c r="M7" s="18" t="n">
        <v>8495600</v>
      </c>
      <c r="O7" s="19" t="n">
        <f aca="false">IFERROR(LOOKUP(IF(N7="",E7,N7),{0,1,10,100,500,1000,2500,5000,15000,30000},{0,0.1,0.049,0.0217,0.01552,0.01219,0.01108,0.0102,0.007,0.00665}),"")</f>
        <v>0.1</v>
      </c>
      <c r="P7" s="19" t="n">
        <f aca="false">IFERROR(IF(N7="",E7,N7)*O7,"")</f>
        <v>0.7</v>
      </c>
      <c r="Q7" s="20" t="s">
        <v>33</v>
      </c>
      <c r="R7" s="18" t="n">
        <v>645000</v>
      </c>
      <c r="T7" s="19" t="n">
        <f aca="false">IFERROR(USD_GBP*LOOKUP(IF(S7="",E7,S7),{0,1,10,100,150,500,2500,7500,15000,75000},{0,0.07,0.07,0.04,0.04,0.028,0.02,0.0127,0.0144,0.0134}),"")</f>
        <v>0.090536462699078</v>
      </c>
      <c r="U7" s="19" t="n">
        <f aca="false">IFERROR(IF(S7="",E7,S7)*T7,"")</f>
        <v>0.633755238893546</v>
      </c>
      <c r="V7" s="20" t="s">
        <v>34</v>
      </c>
      <c r="AB7" s="18" t="n">
        <v>1007511</v>
      </c>
      <c r="AD7" s="19" t="n">
        <f aca="false">IFERROR(LOOKUP(IF(AC7="",E7,AC7),{0,1,10,100,500,1000,2500},{0,0.1,0.048,0.021,0.013,0.012,0.011}),"")</f>
        <v>0.1</v>
      </c>
      <c r="AE7" s="19" t="n">
        <f aca="false">IFERROR(IF(AC7="",E7,AC7)*AD7,"")</f>
        <v>0.7</v>
      </c>
      <c r="AF7" s="20" t="s">
        <v>35</v>
      </c>
      <c r="AG7" s="18" t="n">
        <v>615000</v>
      </c>
      <c r="AI7" s="19" t="n">
        <f aca="false">IFERROR(LOOKUP(IF(AH7="",E7,AH7),{0,1,10,25,50,100,250,500,1000,15000},{0,0.02,0.093,0.078,0.061,0.046,0.04,0.034,0.029,0.02}),"")</f>
        <v>0.02</v>
      </c>
      <c r="AJ7" s="19" t="n">
        <f aca="false">IFERROR(IF(AH7="",E7,AH7)*AI7,"")</f>
        <v>0.14</v>
      </c>
      <c r="AK7" s="20" t="s">
        <v>36</v>
      </c>
    </row>
    <row r="8" customFormat="false" ht="15" hidden="false" customHeight="false" outlineLevel="0" collapsed="false">
      <c r="A8" s="17" t="s">
        <v>37</v>
      </c>
      <c r="B8" s="17" t="s">
        <v>38</v>
      </c>
      <c r="C8" s="17" t="s">
        <v>39</v>
      </c>
      <c r="D8" s="17" t="s">
        <v>40</v>
      </c>
      <c r="E8" s="18" t="n">
        <f aca="false">BoardQty*8</f>
        <v>8</v>
      </c>
      <c r="F8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0.41</v>
      </c>
      <c r="G8" s="19" t="n">
        <f aca="false">IFERROR(E8*F8,"")</f>
        <v>3.28</v>
      </c>
      <c r="AB8" s="18" t="n">
        <v>6825</v>
      </c>
      <c r="AD8" s="19" t="n">
        <f aca="false">IFERROR(LOOKUP(IF(AC8="",E8,AC8),{0,1,10,100,500,1000,2500},{0,0.41,0.284,0.171,0.128,0.108,0.092}),"")</f>
        <v>0.41</v>
      </c>
      <c r="AE8" s="19" t="n">
        <f aca="false">IFERROR(IF(AC8="",E8,AC8)*AD8,"")</f>
        <v>3.28</v>
      </c>
      <c r="AF8" s="20" t="s">
        <v>41</v>
      </c>
    </row>
    <row r="9" customFormat="false" ht="15" hidden="false" customHeight="false" outlineLevel="0" collapsed="false">
      <c r="A9" s="17" t="s">
        <v>42</v>
      </c>
      <c r="B9" s="17" t="s">
        <v>38</v>
      </c>
      <c r="C9" s="17" t="s">
        <v>31</v>
      </c>
      <c r="D9" s="17" t="s">
        <v>43</v>
      </c>
      <c r="E9" s="18" t="n">
        <f aca="false">BoardQty*3</f>
        <v>3</v>
      </c>
      <c r="F9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0.228927912824811</v>
      </c>
      <c r="G9" s="19" t="n">
        <f aca="false">IFERROR(E9*F9,"")</f>
        <v>0.686783738474434</v>
      </c>
      <c r="M9" s="18" t="n">
        <v>94549</v>
      </c>
      <c r="O9" s="19" t="n">
        <f aca="false">IFERROR(LOOKUP(IF(N9="",E9,N9),{0,1,10,100,500,1000,4000,8000},{0,0.29,0.196,0.0994,0.06804,0.06018,0.04551,0.04323}),"")</f>
        <v>0.29</v>
      </c>
      <c r="P9" s="19" t="n">
        <f aca="false">IFERROR(IF(N9="",E9,N9)*O9,"")</f>
        <v>0.87</v>
      </c>
      <c r="Q9" s="20" t="s">
        <v>44</v>
      </c>
      <c r="R9" s="21" t="s">
        <v>45</v>
      </c>
      <c r="T9" s="19" t="n">
        <f aca="false">IFERROR(USD_GBP*LOOKUP(IF(S9="",E9,S9),{0,1,10,100,150,500,1000,2000,4000,20000},{0,0.177,0.177,0.0859,0.0859,0.0541,0.0456,0.043,0.034,0.0324}),"")</f>
        <v>0.228927912824811</v>
      </c>
      <c r="U9" s="19" t="n">
        <f aca="false">IFERROR(IF(S9="",E9,S9)*T9,"")</f>
        <v>0.686783738474434</v>
      </c>
      <c r="V9" s="20" t="s">
        <v>46</v>
      </c>
      <c r="AB9" s="18" t="n">
        <v>447614</v>
      </c>
      <c r="AD9" s="19" t="n">
        <f aca="false">IFERROR(LOOKUP(IF(AC9="",E9,AC9),{0,1,10,100,500,1000,4000,8000,24000},{0,0.3,0.205,0.104,0.071,0.063,0.048,0.043,0.041}),"")</f>
        <v>0.3</v>
      </c>
      <c r="AE9" s="19" t="n">
        <f aca="false">IFERROR(IF(AC9="",E9,AC9)*AD9,"")</f>
        <v>0.9</v>
      </c>
      <c r="AF9" s="20" t="s">
        <v>47</v>
      </c>
      <c r="AG9" s="21" t="s">
        <v>45</v>
      </c>
      <c r="AI9" s="19" t="n">
        <f aca="false">IFERROR(LOOKUP(IF(AH9="",E9,AH9),{0,1,10,25,50,100,250,500,1000},{0,0.3,0.205,0.171,0.138,0.104,0.088,0.071,0.063}),"")</f>
        <v>0.3</v>
      </c>
      <c r="AJ9" s="19" t="n">
        <f aca="false">IFERROR(IF(AH9="",E9,AH9)*AI9,"")</f>
        <v>0.9</v>
      </c>
      <c r="AK9" s="20" t="s">
        <v>48</v>
      </c>
    </row>
    <row r="10" customFormat="false" ht="15" hidden="false" customHeight="false" outlineLevel="0" collapsed="false">
      <c r="A10" s="17" t="s">
        <v>49</v>
      </c>
      <c r="B10" s="17" t="s">
        <v>50</v>
      </c>
      <c r="C10" s="17" t="s">
        <v>39</v>
      </c>
      <c r="D10" s="17" t="s">
        <v>51</v>
      </c>
      <c r="E10" s="18" t="n">
        <f aca="false">BoardQty*4</f>
        <v>4</v>
      </c>
      <c r="F10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0.495</v>
      </c>
      <c r="G10" s="19" t="n">
        <f aca="false">IFERROR(E10*F10,"")</f>
        <v>1.98</v>
      </c>
      <c r="M10" s="21" t="s">
        <v>45</v>
      </c>
      <c r="O10" s="19" t="n">
        <f aca="false">IFERROR(LOOKUP(IF(N10="",E10,N10),{0,1,10,100,500,1000,2000,4000},{0,0.66,0.467,0.3074,0.2277,0.19355,0.1584,0.1485}),"")</f>
        <v>0.66</v>
      </c>
      <c r="P10" s="19" t="n">
        <f aca="false">IFERROR(IF(N10="",E10,N10)*O10,"")</f>
        <v>2.64</v>
      </c>
      <c r="Q10" s="20" t="s">
        <v>52</v>
      </c>
      <c r="AB10" s="21" t="s">
        <v>45</v>
      </c>
      <c r="AD10" s="19" t="n">
        <f aca="false">IFERROR(LOOKUP(IF(AC10="",E10,AC10),{0,1,10,100,500,1000,2000},{0,0.66,0.467,0.307,0.227,0.193,0.158}),"")</f>
        <v>0.66</v>
      </c>
      <c r="AE10" s="19" t="n">
        <f aca="false">IFERROR(IF(AC10="",E10,AC10)*AD10,"")</f>
        <v>2.64</v>
      </c>
      <c r="AF10" s="20" t="s">
        <v>53</v>
      </c>
      <c r="AG10" s="21" t="s">
        <v>45</v>
      </c>
      <c r="AI10" s="19" t="n">
        <f aca="false">IFERROR(LOOKUP(IF(AH10="",E10,AH10),{0,1,2000,4000,6000,10000},{0,0.495,0.495,0.446,0.429,0.42}),"")</f>
        <v>0.495</v>
      </c>
      <c r="AJ10" s="19" t="n">
        <f aca="false">IFERROR(IF(AH10="",E10,AH10)*AI10,"")</f>
        <v>1.98</v>
      </c>
      <c r="AK10" s="20" t="s">
        <v>54</v>
      </c>
    </row>
    <row r="11" customFormat="false" ht="15" hidden="false" customHeight="false" outlineLevel="0" collapsed="false">
      <c r="A11" s="17" t="s">
        <v>55</v>
      </c>
      <c r="B11" s="17" t="s">
        <v>56</v>
      </c>
      <c r="C11" s="17" t="s">
        <v>57</v>
      </c>
      <c r="D11" s="17" t="s">
        <v>58</v>
      </c>
      <c r="E11" s="18" t="n">
        <f aca="false">BoardQty*2</f>
        <v>2</v>
      </c>
      <c r="F11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0.056</v>
      </c>
      <c r="G11" s="19" t="n">
        <f aca="false">IFERROR(E11*F11,"")</f>
        <v>0.112</v>
      </c>
      <c r="M11" s="18" t="n">
        <v>5788</v>
      </c>
      <c r="O11" s="19" t="n">
        <f aca="false">IFERROR(LOOKUP(IF(N11="",E11,N11),{0,1,10,100,500,1000,2500,5000,10000,20000},{0,0.33,0.228,0.129,0.09108,0.0797,0.0759,0.07021,0.0525,0.0498}),"")</f>
        <v>0.33</v>
      </c>
      <c r="P11" s="19" t="n">
        <f aca="false">IFERROR(IF(N11="",E11,N11)*O11,"")</f>
        <v>0.66</v>
      </c>
      <c r="Q11" s="20" t="s">
        <v>59</v>
      </c>
      <c r="AB11" s="18" t="n">
        <v>21484</v>
      </c>
      <c r="AD11" s="19" t="n">
        <f aca="false">IFERROR(LOOKUP(IF(AC11="",E11,AC11),{0,1,10,100,500,1000,2500},{0,0.3,0.207,0.117,0.082,0.072,0.065}),"")</f>
        <v>0.3</v>
      </c>
      <c r="AE11" s="19" t="n">
        <f aca="false">IFERROR(IF(AC11="",E11,AC11)*AD11,"")</f>
        <v>0.6</v>
      </c>
      <c r="AF11" s="20" t="s">
        <v>60</v>
      </c>
      <c r="AG11" s="21" t="s">
        <v>45</v>
      </c>
      <c r="AI11" s="19" t="n">
        <f aca="false">IFERROR(LOOKUP(IF(AH11="",E11,AH11),{0,1,10000,20000,30000,50000},{0,0.056,0.056,0.048,0.045,0.039}),"")</f>
        <v>0.056</v>
      </c>
      <c r="AJ11" s="19" t="n">
        <f aca="false">IFERROR(IF(AH11="",E11,AH11)*AI11,"")</f>
        <v>0.112</v>
      </c>
      <c r="AK11" s="20" t="s">
        <v>61</v>
      </c>
    </row>
    <row r="12" customFormat="false" ht="15" hidden="false" customHeight="false" outlineLevel="0" collapsed="false">
      <c r="A12" s="17" t="s">
        <v>62</v>
      </c>
      <c r="B12" s="17" t="s">
        <v>63</v>
      </c>
      <c r="C12" s="17" t="s">
        <v>31</v>
      </c>
      <c r="D12" s="17" t="s">
        <v>64</v>
      </c>
      <c r="E12" s="18" t="n">
        <f aca="false">BoardQty*1</f>
        <v>1</v>
      </c>
      <c r="F12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0.064</v>
      </c>
      <c r="G12" s="19" t="n">
        <f aca="false">IFERROR(E12*F12,"")</f>
        <v>0.064</v>
      </c>
      <c r="M12" s="18" t="n">
        <v>213259</v>
      </c>
      <c r="O12" s="19" t="n">
        <f aca="false">IFERROR(LOOKUP(IF(N12="",E12,N12),{0,1,10,100,500,1000,4000,8000},{0,0.28,0.19,0.1075,0.0759,0.06641,0.05088,0.04813}),"")</f>
        <v>0.28</v>
      </c>
      <c r="P12" s="19" t="n">
        <f aca="false">IFERROR(IF(N12="",E12,N12)*O12,"")</f>
        <v>0.28</v>
      </c>
      <c r="Q12" s="20" t="s">
        <v>65</v>
      </c>
      <c r="R12" s="18" t="n">
        <v>656000</v>
      </c>
      <c r="T12" s="19" t="n">
        <f aca="false">IFERROR(USD_GBP*LOOKUP(IF(S12="",E12,S12),{0,1,10,100,150,500,1000,2000,4000,20000},{0,0.257,0.257,0.143,0.143,0.0962,0.077,0.0642,0.055,0.0539}),"")</f>
        <v>0.332398155909472</v>
      </c>
      <c r="U12" s="19" t="n">
        <f aca="false">IFERROR(IF(S12="",E12,S12)*T12,"")</f>
        <v>0.332398155909472</v>
      </c>
      <c r="V12" s="20" t="s">
        <v>66</v>
      </c>
      <c r="AB12" s="18" t="n">
        <v>130811</v>
      </c>
      <c r="AD12" s="19" t="n">
        <f aca="false">IFERROR(LOOKUP(IF(AC12="",E12,AC12),{0,1,10,100,500,1000,4000},{0,0.28,0.142,0.091,0.075,0.061,0.049}),"")</f>
        <v>0.28</v>
      </c>
      <c r="AE12" s="19" t="n">
        <f aca="false">IFERROR(IF(AC12="",E12,AC12)*AD12,"")</f>
        <v>0.28</v>
      </c>
      <c r="AF12" s="20" t="s">
        <v>67</v>
      </c>
      <c r="AG12" s="18" t="n">
        <v>331538</v>
      </c>
      <c r="AI12" s="19" t="n">
        <f aca="false">IFERROR(LOOKUP(IF(AH12="",E12,AH12),{0,1,10,25,50,100,250,500,1000,4000,5000,10000,20000,30000,50000},{0,0.064,0.28,0.142,0.117,0.091,0.083,0.075,0.061,0.064,0.057,0.046,0.04,0.037,0.033}),"")</f>
        <v>0.064</v>
      </c>
      <c r="AJ12" s="19" t="n">
        <f aca="false">IFERROR(IF(AH12="",E12,AH12)*AI12,"")</f>
        <v>0.064</v>
      </c>
      <c r="AK12" s="20" t="s">
        <v>68</v>
      </c>
      <c r="AL12" s="18" t="n">
        <v>73600</v>
      </c>
      <c r="AN12" s="19" t="n">
        <f aca="false">IFERROR(USD_GBP*LOOKUP(IF(AM12="",E12,AM12),{0,1,50,800},{0,0.163,0.163,0.069}),"")</f>
        <v>0.210820620284996</v>
      </c>
      <c r="AO12" s="19" t="n">
        <f aca="false">IFERROR(IF(AM12="",E12,AM12)*AN12,"")</f>
        <v>0.210820620284996</v>
      </c>
      <c r="AP12" s="20" t="s">
        <v>69</v>
      </c>
    </row>
    <row r="13" customFormat="false" ht="15" hidden="false" customHeight="false" outlineLevel="0" collapsed="false">
      <c r="A13" s="17" t="s">
        <v>70</v>
      </c>
      <c r="B13" s="17" t="s">
        <v>71</v>
      </c>
      <c r="C13" s="17" t="s">
        <v>39</v>
      </c>
      <c r="D13" s="17" t="s">
        <v>72</v>
      </c>
      <c r="E13" s="18" t="n">
        <f aca="false">BoardQty*1</f>
        <v>1</v>
      </c>
      <c r="F13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0.146</v>
      </c>
      <c r="G13" s="19" t="n">
        <f aca="false">IFERROR(E13*F13,"")</f>
        <v>0.146</v>
      </c>
      <c r="M13" s="18" t="n">
        <v>9978</v>
      </c>
      <c r="O13" s="19" t="n">
        <f aca="false">IFERROR(LOOKUP(IF(N13="",E13,N13),{0,1,10,100,500,1000,2000,4000},{0,0.51,0.358,0.236,0.17484,0.14861,0.13682,0.12922}),"")</f>
        <v>0.51</v>
      </c>
      <c r="P13" s="19" t="n">
        <f aca="false">IFERROR(IF(N13="",E13,N13)*O13,"")</f>
        <v>0.51</v>
      </c>
      <c r="Q13" s="20" t="s">
        <v>73</v>
      </c>
      <c r="R13" s="18" t="n">
        <v>10338</v>
      </c>
      <c r="T13" s="19" t="n">
        <f aca="false">IFERROR(USD_GBP*LOOKUP(IF(S13="",E13,S13),{0,1,5,10,50,250,500,1000},{0,0.413,0.413,0.413,0.248,0.189,0.14,0.119}),"")</f>
        <v>0.53416512992456</v>
      </c>
      <c r="U13" s="19" t="n">
        <f aca="false">IFERROR(IF(S13="",E13,S13)*T13,"")</f>
        <v>0.53416512992456</v>
      </c>
      <c r="V13" s="20" t="s">
        <v>74</v>
      </c>
      <c r="AB13" s="18" t="n">
        <v>36443</v>
      </c>
      <c r="AD13" s="19" t="n">
        <f aca="false">IFERROR(LOOKUP(IF(AC13="",E13,AC13),{0,1,10,100,500,1000,2000},{0,0.5,0.358,0.236,0.174,0.148,0.132}),"")</f>
        <v>0.5</v>
      </c>
      <c r="AE13" s="19" t="n">
        <f aca="false">IFERROR(IF(AC13="",E13,AC13)*AD13,"")</f>
        <v>0.5</v>
      </c>
      <c r="AF13" s="20" t="s">
        <v>75</v>
      </c>
      <c r="AG13" s="18" t="n">
        <v>8053</v>
      </c>
      <c r="AI13" s="19" t="n">
        <f aca="false">IFERROR(LOOKUP(IF(AH13="",E13,AH13),{0,1,5,10,25,50,100,250,500,1000,2000,5000,10000,20000,30000,50000},{0,0.146,0.625,0.448,0.396,0.346,0.295,0.256,0.218,0.185,0.146,0.137,0.12,0.107,0.099,0.09}),"")</f>
        <v>0.146</v>
      </c>
      <c r="AJ13" s="19" t="n">
        <f aca="false">IFERROR(IF(AH13="",E13,AH13)*AI13,"")</f>
        <v>0.146</v>
      </c>
      <c r="AK13" s="20" t="s">
        <v>76</v>
      </c>
    </row>
    <row r="14" customFormat="false" ht="15" hidden="false" customHeight="false" outlineLevel="0" collapsed="false">
      <c r="A14" s="17" t="s">
        <v>77</v>
      </c>
      <c r="B14" s="17" t="s">
        <v>78</v>
      </c>
      <c r="C14" s="17" t="s">
        <v>31</v>
      </c>
      <c r="D14" s="17" t="s">
        <v>79</v>
      </c>
      <c r="E14" s="18" t="n">
        <f aca="false">BoardQty*2</f>
        <v>2</v>
      </c>
      <c r="F14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0.27</v>
      </c>
      <c r="G14" s="19" t="n">
        <f aca="false">IFERROR(E14*F14,"")</f>
        <v>0.54</v>
      </c>
      <c r="M14" s="21" t="s">
        <v>45</v>
      </c>
      <c r="Q14" s="20" t="s">
        <v>80</v>
      </c>
      <c r="AB14" s="21" t="s">
        <v>45</v>
      </c>
      <c r="AD14" s="19" t="n">
        <f aca="false">IFERROR(LOOKUP(IF(AC14="",E14,AC14),{0,1,10,100,500,1000,2500},{0,0.27,0.181,0.091,0.062,0.055,0.042}),"")</f>
        <v>0.27</v>
      </c>
      <c r="AE14" s="19" t="n">
        <f aca="false">IFERROR(IF(AC14="",E14,AC14)*AD14,"")</f>
        <v>0.54</v>
      </c>
      <c r="AF14" s="20" t="s">
        <v>81</v>
      </c>
    </row>
    <row r="15" customFormat="false" ht="15" hidden="false" customHeight="false" outlineLevel="0" collapsed="false">
      <c r="A15" s="17" t="s">
        <v>82</v>
      </c>
      <c r="B15" s="17" t="s">
        <v>83</v>
      </c>
      <c r="C15" s="17" t="s">
        <v>39</v>
      </c>
      <c r="D15" s="17" t="s">
        <v>84</v>
      </c>
      <c r="E15" s="18" t="n">
        <f aca="false">BoardQty*1</f>
        <v>1</v>
      </c>
      <c r="F15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0.118</v>
      </c>
      <c r="G15" s="19" t="n">
        <f aca="false">IFERROR(E15*F15,"")</f>
        <v>0.118</v>
      </c>
      <c r="M15" s="18" t="n">
        <v>6200</v>
      </c>
      <c r="O15" s="19" t="n">
        <f aca="false">IFERROR(LOOKUP(IF(N15="",E15,N15),{0,1,10,100,500,1000,2500,8000,16000},{0,0.51,0.354,0.2125,0.1594,0.1346,0.12751,0.09856,0.09548}),"")</f>
        <v>0.51</v>
      </c>
      <c r="P15" s="19" t="n">
        <f aca="false">IFERROR(IF(N15="",E15,N15)*O15,"")</f>
        <v>0.51</v>
      </c>
      <c r="Q15" s="20" t="s">
        <v>85</v>
      </c>
      <c r="AB15" s="18" t="n">
        <v>13344</v>
      </c>
      <c r="AD15" s="19" t="n">
        <f aca="false">IFERROR(LOOKUP(IF(AC15="",E15,AC15),{0,1,10,100,500,1000,2500},{0,0.51,0.353,0.212,0.159,0.134,0.119}),"")</f>
        <v>0.51</v>
      </c>
      <c r="AE15" s="19" t="n">
        <f aca="false">IFERROR(IF(AC15="",E15,AC15)*AD15,"")</f>
        <v>0.51</v>
      </c>
      <c r="AF15" s="20" t="s">
        <v>86</v>
      </c>
      <c r="AG15" s="21" t="s">
        <v>45</v>
      </c>
      <c r="AI15" s="19" t="n">
        <f aca="false">IFERROR(LOOKUP(IF(AH15="",E15,AH15),{0,1,5000,8000,10000,20000,30000,50000},{0,0.118,0.111,0.111,0.097,0.087,0.08,0.073}),"")</f>
        <v>0.118</v>
      </c>
      <c r="AJ15" s="19" t="n">
        <f aca="false">IFERROR(IF(AH15="",E15,AH15)*AI15,"")</f>
        <v>0.118</v>
      </c>
      <c r="AK15" s="20" t="s">
        <v>87</v>
      </c>
    </row>
    <row r="16" customFormat="false" ht="15" hidden="false" customHeight="false" outlineLevel="0" collapsed="false">
      <c r="A16" s="17" t="s">
        <v>88</v>
      </c>
      <c r="B16" s="17" t="s">
        <v>89</v>
      </c>
      <c r="C16" s="17" t="s">
        <v>31</v>
      </c>
      <c r="D16" s="17" t="s">
        <v>90</v>
      </c>
      <c r="E16" s="18" t="n">
        <f aca="false">BoardQty*1</f>
        <v>1</v>
      </c>
      <c r="F16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0.049</v>
      </c>
      <c r="G16" s="19" t="n">
        <f aca="false">IFERROR(E16*F16,"")</f>
        <v>0.049</v>
      </c>
      <c r="M16" s="18" t="n">
        <v>4734</v>
      </c>
      <c r="O16" s="19" t="n">
        <f aca="false">IFERROR(LOOKUP(IF(N16="",E16,N16),{0,1,10,100,500,1000,4000,8000},{0,0.25,0.171,0.0865,0.0592,0.05237,0.0396,0.03762}),"")</f>
        <v>0.25</v>
      </c>
      <c r="P16" s="19" t="n">
        <f aca="false">IFERROR(IF(N16="",E16,N16)*O16,"")</f>
        <v>0.25</v>
      </c>
      <c r="Q16" s="20" t="s">
        <v>91</v>
      </c>
      <c r="AB16" s="18" t="n">
        <v>17539</v>
      </c>
      <c r="AD16" s="19" t="n">
        <f aca="false">IFERROR(LOOKUP(IF(AC16="",E16,AC16),{0,1,10,100,500,1000,2000,4000,8000,24000},{0,0.24,0.17,0.086,0.059,0.052,0.045,0.037,0.035,0.031}),"")</f>
        <v>0.24</v>
      </c>
      <c r="AE16" s="19" t="n">
        <f aca="false">IFERROR(IF(AC16="",E16,AC16)*AD16,"")</f>
        <v>0.24</v>
      </c>
      <c r="AF16" s="20" t="s">
        <v>92</v>
      </c>
      <c r="AG16" s="21" t="s">
        <v>45</v>
      </c>
      <c r="AI16" s="19" t="n">
        <f aca="false">IFERROR(LOOKUP(IF(AH16="",E16,AH16),{0,1,4000,5000,10000,20000,30000},{0,0.049,0.049,0.045,0.039,0.034,0.028}),"")</f>
        <v>0.049</v>
      </c>
      <c r="AJ16" s="19" t="n">
        <f aca="false">IFERROR(IF(AH16="",E16,AH16)*AI16,"")</f>
        <v>0.049</v>
      </c>
      <c r="AK16" s="20" t="s">
        <v>93</v>
      </c>
    </row>
    <row r="17" customFormat="false" ht="15" hidden="false" customHeight="false" outlineLevel="0" collapsed="false">
      <c r="A17" s="17" t="s">
        <v>94</v>
      </c>
      <c r="B17" s="17" t="s">
        <v>95</v>
      </c>
      <c r="C17" s="17" t="s">
        <v>31</v>
      </c>
      <c r="D17" s="17" t="s">
        <v>96</v>
      </c>
      <c r="E17" s="18" t="n">
        <f aca="false">BoardQty*2</f>
        <v>2</v>
      </c>
      <c r="F17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0.03971</v>
      </c>
      <c r="G17" s="19" t="n">
        <f aca="false">IFERROR(E17*F17,"")</f>
        <v>0.07942</v>
      </c>
      <c r="M17" s="21" t="s">
        <v>45</v>
      </c>
      <c r="O17" s="19" t="n">
        <f aca="false">IFERROR(LOOKUP(IF(N17="",E17,N17),{0,1,8000},{0,0.03971,0.03971}),"")</f>
        <v>0.03971</v>
      </c>
      <c r="P17" s="19" t="n">
        <f aca="false">IFERROR(IF(N17="",E17,N17)*O17,"")</f>
        <v>0.07942</v>
      </c>
      <c r="Q17" s="20" t="s">
        <v>97</v>
      </c>
      <c r="AB17" s="18" t="n">
        <v>5570</v>
      </c>
      <c r="AD17" s="19" t="n">
        <f aca="false">IFERROR(LOOKUP(IF(AC17="",E17,AC17),{0,1,10,100,500,1000,2000},{0,0.26,0.18,0.091,0.062,0.055,0.041}),"")</f>
        <v>0.26</v>
      </c>
      <c r="AE17" s="19" t="n">
        <f aca="false">IFERROR(IF(AC17="",E17,AC17)*AD17,"")</f>
        <v>0.52</v>
      </c>
      <c r="AF17" s="20" t="s">
        <v>98</v>
      </c>
    </row>
    <row r="18" customFormat="false" ht="15" hidden="false" customHeight="false" outlineLevel="0" collapsed="false">
      <c r="A18" s="17" t="s">
        <v>99</v>
      </c>
      <c r="B18" s="17" t="s">
        <v>30</v>
      </c>
      <c r="C18" s="17" t="s">
        <v>57</v>
      </c>
      <c r="D18" s="17" t="s">
        <v>100</v>
      </c>
      <c r="E18" s="18" t="n">
        <f aca="false">BoardQty*44</f>
        <v>44</v>
      </c>
      <c r="F18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0.0109290444258173</v>
      </c>
      <c r="G18" s="19" t="n">
        <f aca="false">IFERROR(E18*F18,"")</f>
        <v>0.48087795473596</v>
      </c>
      <c r="M18" s="18" t="n">
        <v>11525884</v>
      </c>
      <c r="O18" s="19" t="n">
        <f aca="false">IFERROR(LOOKUP(IF(N18="",E18,N18),{0,1,10,100,500,1000,2500,5000,10000,20000},{0,0.1,0.035,0.0155,0.01108,0.00871,0.00792,0.00729,0.00525,0.005}),"")</f>
        <v>0.035</v>
      </c>
      <c r="P18" s="19" t="n">
        <f aca="false">IFERROR(IF(N18="",E18,N18)*O18,"")</f>
        <v>1.54</v>
      </c>
      <c r="Q18" s="20" t="s">
        <v>101</v>
      </c>
      <c r="R18" s="18" t="n">
        <v>390000</v>
      </c>
      <c r="T18" s="19" t="n">
        <f aca="false">IFERROR(USD_GBP*LOOKUP(IF(S18="",E18,S18),{0,1,10,100,150,500,2500,5000,10000,50000},{0,0.0366,0.0366,0.0192,0.0192,0.012,0.008,0.0069,0.0059,0.0041}),"")</f>
        <v>0.0473376362112322</v>
      </c>
      <c r="U18" s="19" t="n">
        <f aca="false">IFERROR(IF(S18="",E18,S18)*T18,"")</f>
        <v>2.08285599329422</v>
      </c>
      <c r="V18" s="20" t="s">
        <v>102</v>
      </c>
      <c r="AB18" s="18" t="n">
        <v>1361927</v>
      </c>
      <c r="AD18" s="19" t="n">
        <f aca="false">IFERROR(LOOKUP(IF(AC18="",E18,AC18),{0,1,10,100,500,1000,2500},{0,0.1,0.038,0.016,0.011,0.008,0.007}),"")</f>
        <v>0.038</v>
      </c>
      <c r="AE18" s="19" t="n">
        <f aca="false">IFERROR(IF(AC18="",E18,AC18)*AD18,"")</f>
        <v>1.672</v>
      </c>
      <c r="AF18" s="20" t="s">
        <v>103</v>
      </c>
      <c r="AG18" s="18" t="n">
        <v>380000</v>
      </c>
      <c r="AI18" s="19" t="n">
        <f aca="false">IFERROR(LOOKUP(IF(AH18="",E18,AH18),{0,1,10,25,100,250,500,1000,2500,5000,10000,20000},{0,0.125,0.125,0.048,0.02,0.018,0.014,0.01,0.009,0.008,0.008,0.006}),"")</f>
        <v>0.048</v>
      </c>
      <c r="AJ18" s="19" t="n">
        <f aca="false">IFERROR(IF(AH18="",E18,AH18)*AI18,"")</f>
        <v>2.112</v>
      </c>
      <c r="AK18" s="20" t="s">
        <v>104</v>
      </c>
      <c r="AL18" s="18" t="n">
        <v>220500</v>
      </c>
      <c r="AN18" s="19" t="n">
        <f aca="false">IFERROR(USD_GBP*LOOKUP(IF(AM18="",E18,AM18),{0,1,100,500,1000,2000,2500,5000,10000},{0,0.012,0.012,0.014,0.006,0.006,0.012,0.012,0.005}),"")</f>
        <v>0.0155205364626991</v>
      </c>
      <c r="AO18" s="19" t="n">
        <f aca="false">IFERROR(IF(AM18="",E18,AM18)*AN18,"")</f>
        <v>0.68290360435876</v>
      </c>
      <c r="AP18" s="20" t="s">
        <v>105</v>
      </c>
      <c r="AQ18" s="18" t="n">
        <v>19400</v>
      </c>
      <c r="AS18" s="19" t="n">
        <f aca="false">IFERROR(USD_GBP*LOOKUP(IF(AR18="",E18,AR18),{0,1,100,1000,10000},{0,0.00845,0.00845,0.00466,0.00393}),"")</f>
        <v>0.0109290444258173</v>
      </c>
      <c r="AT18" s="19" t="n">
        <f aca="false">IFERROR(IF(AR18="",E18,AR18)*AS18,"")</f>
        <v>0.48087795473596</v>
      </c>
      <c r="AU18" s="20" t="s">
        <v>100</v>
      </c>
    </row>
    <row r="19" customFormat="false" ht="15" hidden="false" customHeight="false" outlineLevel="0" collapsed="false">
      <c r="A19" s="17" t="s">
        <v>106</v>
      </c>
      <c r="B19" s="17" t="s">
        <v>107</v>
      </c>
      <c r="C19" s="17" t="s">
        <v>39</v>
      </c>
      <c r="D19" s="17" t="s">
        <v>108</v>
      </c>
      <c r="E19" s="18" t="n">
        <f aca="false">BoardQty*16</f>
        <v>16</v>
      </c>
      <c r="F19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0.472</v>
      </c>
      <c r="G19" s="19" t="n">
        <f aca="false">IFERROR(E19*F19,"")</f>
        <v>7.552</v>
      </c>
      <c r="M19" s="18" t="n">
        <v>1007</v>
      </c>
      <c r="O19" s="19" t="n">
        <f aca="false">IFERROR(LOOKUP(IF(N19="",E19,N19),{0,1,10,100,500,1000,2000,4000},{0,0.73,0.519,0.3416,0.253,0.21505,0.16,0.15}),"")</f>
        <v>0.519</v>
      </c>
      <c r="P19" s="19" t="n">
        <f aca="false">IFERROR(IF(N19="",E19,N19)*O19,"")</f>
        <v>8.304</v>
      </c>
      <c r="Q19" s="20" t="s">
        <v>109</v>
      </c>
      <c r="AB19" s="18" t="n">
        <v>21862</v>
      </c>
      <c r="AD19" s="19" t="n">
        <f aca="false">IFERROR(LOOKUP(IF(AC19="",E19,AC19),{0,1,10,100,500,1000,2000},{0,0.67,0.472,0.31,0.23,0.195,0.16}),"")</f>
        <v>0.472</v>
      </c>
      <c r="AE19" s="19" t="n">
        <f aca="false">IFERROR(IF(AC19="",E19,AC19)*AD19,"")</f>
        <v>7.552</v>
      </c>
      <c r="AF19" s="20" t="s">
        <v>110</v>
      </c>
      <c r="AG19" s="21" t="s">
        <v>45</v>
      </c>
      <c r="AI19" s="19" t="n">
        <f aca="false">IFERROR(LOOKUP(IF(AH19="",E19,AH19),{0,1,2000,4000,6000,10000},{0,0.48,0.48,0.432,0.416,0.407}),"")</f>
        <v>0.48</v>
      </c>
      <c r="AJ19" s="19" t="n">
        <f aca="false">IFERROR(IF(AH19="",E19,AH19)*AI19,"")</f>
        <v>7.68</v>
      </c>
      <c r="AK19" s="20" t="s">
        <v>111</v>
      </c>
    </row>
    <row r="20" customFormat="false" ht="15" hidden="false" customHeight="false" outlineLevel="0" collapsed="false">
      <c r="A20" s="17" t="s">
        <v>112</v>
      </c>
      <c r="B20" s="17" t="s">
        <v>50</v>
      </c>
      <c r="C20" s="17" t="s">
        <v>113</v>
      </c>
      <c r="D20" s="17" t="s">
        <v>114</v>
      </c>
      <c r="E20" s="18" t="n">
        <f aca="false">BoardQty*4</f>
        <v>4</v>
      </c>
      <c r="F20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0.569086336965633</v>
      </c>
      <c r="G20" s="19" t="n">
        <f aca="false">IFERROR(E20*F20,"")</f>
        <v>2.27634534786253</v>
      </c>
      <c r="M20" s="18" t="n">
        <v>42715</v>
      </c>
      <c r="O20" s="19" t="n">
        <f aca="false">IFERROR(LOOKUP(IF(N20="",E20,N20),{0,1,10,100,500,1000,2500,5000,10000,20000},{0,0.88,0.646,0.443,0.35068,0.29531,0.27685,0.2584,0.19777,0.19484}),"")</f>
        <v>0.88</v>
      </c>
      <c r="P20" s="19" t="n">
        <f aca="false">IFERROR(IF(N20="",E20,N20)*O20,"")</f>
        <v>3.52</v>
      </c>
      <c r="Q20" s="20" t="s">
        <v>115</v>
      </c>
      <c r="R20" s="21" t="s">
        <v>45</v>
      </c>
      <c r="T20" s="19" t="n">
        <f aca="false">IFERROR(USD_GBP*LOOKUP(IF(S20="",E20,S20),{0,1,25,100,250,500,1000},{0,0.44,0.328,0.225,0.201,0.187,0.182}),"")</f>
        <v>0.569086336965633</v>
      </c>
      <c r="U20" s="19" t="n">
        <f aca="false">IFERROR(IF(S20="",E20,S20)*T20,"")</f>
        <v>2.27634534786253</v>
      </c>
      <c r="V20" s="20" t="s">
        <v>116</v>
      </c>
      <c r="AB20" s="18" t="n">
        <v>14122</v>
      </c>
      <c r="AD20" s="19" t="n">
        <f aca="false">IFERROR(LOOKUP(IF(AC20="",E20,AC20),{0,1,10,100,500,1000,2500},{0,0.87,0.646,0.443,0.35,0.295,0.276}),"")</f>
        <v>0.87</v>
      </c>
      <c r="AE20" s="19" t="n">
        <f aca="false">IFERROR(IF(AC20="",E20,AC20)*AD20,"")</f>
        <v>3.48</v>
      </c>
      <c r="AF20" s="20" t="s">
        <v>117</v>
      </c>
      <c r="AG20" s="21" t="s">
        <v>45</v>
      </c>
      <c r="AI20" s="19" t="n">
        <f aca="false">IFERROR(LOOKUP(IF(AH20="",E20,AH20),{0,1,25,100,250,500,1000,2500,5000,10000,20000,30000,50000},{0,1.04,0.775,0.532,0.476,0.42,0.354,0.331,0.305,0.227,0.212,0.197,0.189}),"")</f>
        <v>1.04</v>
      </c>
      <c r="AJ20" s="19" t="n">
        <f aca="false">IFERROR(IF(AH20="",E20,AH20)*AI20,"")</f>
        <v>4.16</v>
      </c>
      <c r="AK20" s="20" t="s">
        <v>118</v>
      </c>
    </row>
    <row r="21" customFormat="false" ht="15" hidden="false" customHeight="false" outlineLevel="0" collapsed="false">
      <c r="A21" s="17" t="s">
        <v>119</v>
      </c>
      <c r="B21" s="17" t="s">
        <v>120</v>
      </c>
      <c r="C21" s="17" t="s">
        <v>121</v>
      </c>
      <c r="D21" s="17" t="s">
        <v>120</v>
      </c>
      <c r="E21" s="18" t="n">
        <f aca="false">BoardQty*1</f>
        <v>1</v>
      </c>
      <c r="F21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0.0459</v>
      </c>
      <c r="G21" s="19" t="n">
        <f aca="false">IFERROR(E21*F21,"")</f>
        <v>0.0459</v>
      </c>
      <c r="M21" s="18" t="n">
        <v>212193</v>
      </c>
      <c r="O21" s="19" t="n">
        <f aca="false">IFERROR(LOOKUP(IF(N21="",E21,N21),{0,1,10,25,100,250,500,1000,3000,6000,15000,30000,75000,150000},{0,0.39,0.321,0.2692,0.1316,0.12948,0.10974,0.07625,0.07086,0.0613,0.05083,0.04993,0.04485,0.04186}),"")</f>
        <v>0.39</v>
      </c>
      <c r="P21" s="19" t="n">
        <f aca="false">IFERROR(IF(N21="",E21,N21)*O21,"")</f>
        <v>0.39</v>
      </c>
      <c r="Q21" s="20" t="s">
        <v>122</v>
      </c>
      <c r="R21" s="18" t="n">
        <v>59382</v>
      </c>
      <c r="T21" s="19" t="n">
        <f aca="false">IFERROR(USD_GBP*LOOKUP(IF(S21="",E21,S21),{0,1,5,25,100,150,250,500,1000,5000},{0,0.243,0.243,0.234,0.0953,0.0953,0.0896,0.0685,0.0474,0.0371}),"")</f>
        <v>0.314290863369656</v>
      </c>
      <c r="U21" s="19" t="n">
        <f aca="false">IFERROR(IF(S21="",E21,S21)*T21,"")</f>
        <v>0.314290863369656</v>
      </c>
      <c r="V21" s="20" t="s">
        <v>123</v>
      </c>
      <c r="W21" s="18" t="n">
        <v>5820</v>
      </c>
      <c r="Y21" s="19" t="n">
        <f aca="false">IFERROR(LOOKUP(IF(X21="",E21,X21),{0,1,10,100,300,1000,5000,10000},{0,0.0459,0.0459,0.03465,0.03259,0.03052,0.0296,0.02915}),"")</f>
        <v>0.0459</v>
      </c>
      <c r="Z21" s="19" t="n">
        <f aca="false">IFERROR(IF(X21="",E21,X21)*Y21,"")</f>
        <v>0.0459</v>
      </c>
      <c r="AA21" s="20" t="s">
        <v>124</v>
      </c>
      <c r="AB21" s="18" t="n">
        <v>112378</v>
      </c>
      <c r="AD21" s="19" t="n">
        <f aca="false">IFERROR(LOOKUP(IF(AC21="",E21,AC21),{0,1,10,100,1000,3000,9000,24000,45000,99000},{0,0.39,0.268,0.112,0.076,0.059,0.05,0.047,0.044,0.038}),"")</f>
        <v>0.39</v>
      </c>
      <c r="AE21" s="19" t="n">
        <f aca="false">IFERROR(IF(AC21="",E21,AC21)*AD21,"")</f>
        <v>0.39</v>
      </c>
      <c r="AF21" s="20" t="s">
        <v>125</v>
      </c>
      <c r="AG21" s="18" t="n">
        <v>264000</v>
      </c>
      <c r="AI21" s="19" t="n">
        <f aca="false">IFERROR(LOOKUP(IF(AH21="",E21,AH21),{0,1,5,25,50,100,250,500,1000,3000,6000,12000,18000,30000},{0,0.39,0.39,0.268,0.19,0.112,0.1,0.088,0.076,0.037,0.037,0.037,0.037,0.037}),"")</f>
        <v>0.39</v>
      </c>
      <c r="AJ21" s="19" t="n">
        <f aca="false">IFERROR(IF(AH21="",E21,AH21)*AI21,"")</f>
        <v>0.39</v>
      </c>
      <c r="AK21" s="20" t="s">
        <v>126</v>
      </c>
      <c r="AL21" s="18" t="n">
        <v>64890</v>
      </c>
      <c r="AN21" s="19" t="n">
        <f aca="false">IFERROR(USD_GBP*LOOKUP(IF(AM21="",E21,AM21),{0,1,10,50,100,250,500,3000},{0,0.204,0.204,0.194,0.163,0.153,0.143,0.045}),"")</f>
        <v>0.263849119865884</v>
      </c>
      <c r="AO21" s="19" t="n">
        <f aca="false">IFERROR(IF(AM21="",E21,AM21)*AN21,"")</f>
        <v>0.263849119865884</v>
      </c>
      <c r="AP21" s="20" t="s">
        <v>127</v>
      </c>
      <c r="AQ21" s="18" t="n">
        <v>17730</v>
      </c>
      <c r="AS21" s="19" t="n">
        <f aca="false">IFERROR(USD_GBP*LOOKUP(IF(AR21="",E21,AR21),{0,1,10,50,250,1000,3000},{0,0.0614,0.0614,0.0476,0.0421,0.0378,0.0353}),"")</f>
        <v>0.079413411567477</v>
      </c>
      <c r="AT21" s="19" t="n">
        <f aca="false">IFERROR(IF(AR21="",E21,AR21)*AS21,"")</f>
        <v>0.079413411567477</v>
      </c>
      <c r="AU21" s="20" t="s">
        <v>128</v>
      </c>
    </row>
    <row r="22" customFormat="false" ht="15" hidden="false" customHeight="false" outlineLevel="0" collapsed="false">
      <c r="A22" s="17" t="s">
        <v>129</v>
      </c>
      <c r="B22" s="17" t="s">
        <v>130</v>
      </c>
      <c r="C22" s="17" t="s">
        <v>131</v>
      </c>
      <c r="D22" s="17" t="s">
        <v>132</v>
      </c>
      <c r="E22" s="18" t="n">
        <f aca="false">BoardQty*1</f>
        <v>1</v>
      </c>
      <c r="F22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0.14</v>
      </c>
      <c r="G22" s="19" t="n">
        <f aca="false">IFERROR(E22*F22,"")</f>
        <v>0.14</v>
      </c>
      <c r="M22" s="18" t="n">
        <v>5486</v>
      </c>
      <c r="O22" s="19" t="n">
        <f aca="false">IFERROR(LOOKUP(IF(N22="",E22,N22),{0,1,50,100,500,4000},{0,0.14,0.133,0.114,0.099,0.099}),"")</f>
        <v>0.14</v>
      </c>
      <c r="P22" s="19" t="n">
        <f aca="false">IFERROR(IF(N22="",E22,N22)*O22,"")</f>
        <v>0.14</v>
      </c>
      <c r="Q22" s="20" t="s">
        <v>133</v>
      </c>
      <c r="R22" s="21" t="s">
        <v>45</v>
      </c>
      <c r="T22" s="19" t="n">
        <f aca="false">IFERROR(USD_GBP*LOOKUP(IF(S22="",E22,S22),{0,1,5,25,100,150,250,500,1000},{0,0.137,0.137,0.126,0.103,0.103,0.0975,0.0894,0.0743}),"")</f>
        <v>0.177192791282481</v>
      </c>
      <c r="U22" s="19" t="n">
        <f aca="false">IFERROR(IF(S22="",E22,S22)*T22,"")</f>
        <v>0.177192791282481</v>
      </c>
      <c r="V22" s="20" t="s">
        <v>134</v>
      </c>
      <c r="AB22" s="21" t="s">
        <v>45</v>
      </c>
      <c r="AD22" s="19" t="n">
        <f aca="false">IFERROR(LOOKUP(IF(AC22="",E22,AC22),{0,1,10,25,50,100,250},{0,0.15,0.142,0.142,0.133,0.114,0.114}),"")</f>
        <v>0.15</v>
      </c>
      <c r="AE22" s="19" t="n">
        <f aca="false">IFERROR(IF(AC22="",E22,AC22)*AD22,"")</f>
        <v>0.15</v>
      </c>
      <c r="AF22" s="20" t="s">
        <v>135</v>
      </c>
      <c r="AG22" s="21" t="s">
        <v>45</v>
      </c>
      <c r="AI22" s="19" t="n">
        <f aca="false">IFERROR(LOOKUP(IF(AH22="",E22,AH22),{0,1,5,10,25,50,100,250,500},{0,0.15,0.15,0.142,0.138,0.133,0.114,0.107,0.099}),"")</f>
        <v>0.15</v>
      </c>
      <c r="AJ22" s="19" t="n">
        <f aca="false">IFERROR(IF(AH22="",E22,AH22)*AI22,"")</f>
        <v>0.15</v>
      </c>
      <c r="AK22" s="20" t="s">
        <v>136</v>
      </c>
      <c r="AL22" s="18" t="n">
        <v>2850</v>
      </c>
      <c r="AN22" s="19" t="n">
        <f aca="false">IFERROR(USD_GBP*LOOKUP(IF(AM22="",E22,AM22),{0,1,50,250,500,1000,2000,4000,8000,12000},{0,0.119,0.119,0.111,0.102,0.095,0.089,0.075,0.073,0.073}),"")</f>
        <v>0.153911986588433</v>
      </c>
      <c r="AO22" s="19" t="n">
        <f aca="false">IFERROR(IF(AM22="",E22,AM22)*AN22,"")</f>
        <v>0.153911986588433</v>
      </c>
      <c r="AP22" s="20" t="s">
        <v>137</v>
      </c>
    </row>
    <row r="23" customFormat="false" ht="15" hidden="false" customHeight="false" outlineLevel="0" collapsed="false">
      <c r="A23" s="17" t="s">
        <v>138</v>
      </c>
      <c r="B23" s="17" t="s">
        <v>139</v>
      </c>
      <c r="C23" s="17" t="s">
        <v>140</v>
      </c>
      <c r="D23" s="17" t="s">
        <v>139</v>
      </c>
      <c r="E23" s="18" t="n">
        <f aca="false">BoardQty*3</f>
        <v>3</v>
      </c>
      <c r="F23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0.0310410729253982</v>
      </c>
      <c r="G23" s="19" t="n">
        <f aca="false">IFERROR(E23*F23,"")</f>
        <v>0.0931232187761945</v>
      </c>
      <c r="M23" s="21" t="s">
        <v>45</v>
      </c>
      <c r="O23" s="19" t="n">
        <f aca="false">IFERROR(LOOKUP(IF(N23="",E23,N23),{0,1,10,25,100,250,500,1000,3000,6000,15000,30000,75000,150000},{0,0.37,0.275,0.248,0.1308,0.12944,0.1159,0.0902,0.08253,0.07893,0.06991,0.069,0.05863,0.05638}),"")</f>
        <v>0.37</v>
      </c>
      <c r="P23" s="19" t="n">
        <f aca="false">IFERROR(IF(N23="",E23,N23)*O23,"")</f>
        <v>1.11</v>
      </c>
      <c r="Q23" s="20" t="s">
        <v>141</v>
      </c>
      <c r="R23" s="21" t="s">
        <v>45</v>
      </c>
      <c r="T23" s="19" t="n">
        <f aca="false">IFERROR(USD_GBP*LOOKUP(IF(S23="",E23,S23),{0,1,25,100,250,500,2000,6000,20000},{0,0.34,0.28,0.211,0.167,0.139,0.125,0.0345,0.034}),"")</f>
        <v>0.439748533109807</v>
      </c>
      <c r="U23" s="19" t="n">
        <f aca="false">IFERROR(IF(S23="",E23,S23)*T23,"")</f>
        <v>1.31924559932942</v>
      </c>
      <c r="V23" s="20" t="s">
        <v>142</v>
      </c>
      <c r="AB23" s="21" t="s">
        <v>45</v>
      </c>
      <c r="AD23" s="19" t="n">
        <f aca="false">IFERROR(LOOKUP(IF(AC23="",E23,AC23),{0,1,10,100,1000,3000,9000},{0,0.37,0.256,0.118,0.091,0.077,0.07}),"")</f>
        <v>0.37</v>
      </c>
      <c r="AE23" s="19" t="n">
        <f aca="false">IFERROR(IF(AC23="",E23,AC23)*AD23,"")</f>
        <v>1.11</v>
      </c>
      <c r="AF23" s="20" t="s">
        <v>143</v>
      </c>
      <c r="AG23" s="21" t="s">
        <v>45</v>
      </c>
      <c r="AI23" s="19" t="n">
        <f aca="false">IFERROR(LOOKUP(IF(AH23="",E23,AH23),{0,1,9000,12000,15000,18000,30000},{0,0.139,0.139,0.124,0.132,0.114,0.104}),"")</f>
        <v>0.139</v>
      </c>
      <c r="AJ23" s="19" t="n">
        <f aca="false">IFERROR(IF(AH23="",E23,AH23)*AI23,"")</f>
        <v>0.417</v>
      </c>
      <c r="AK23" s="20" t="s">
        <v>144</v>
      </c>
      <c r="AL23" s="18" t="n">
        <v>750</v>
      </c>
      <c r="AN23" s="19" t="n">
        <f aca="false">IFERROR(USD_GBP*LOOKUP(IF(AM23="",E23,AM23),{0,1,50,3000},{0,0.024,0.024,0.025}),"")</f>
        <v>0.0310410729253982</v>
      </c>
      <c r="AO23" s="19" t="n">
        <f aca="false">IFERROR(IF(AM23="",E23,AM23)*AN23,"")</f>
        <v>0.0931232187761945</v>
      </c>
      <c r="AP23" s="20" t="s">
        <v>145</v>
      </c>
      <c r="AQ23" s="18" t="n">
        <v>725</v>
      </c>
      <c r="AS23" s="19" t="n">
        <f aca="false">IFERROR(USD_GBP*LOOKUP(IF(AR23="",E23,AR23),{0,1,5,25,100,500,3000},{0,0.08778,0.08778,0.04389,0.0395,0.03292,0.02765}),"")</f>
        <v>0.113532724224644</v>
      </c>
      <c r="AT23" s="19" t="n">
        <f aca="false">IFERROR(IF(AR23="",E23,AR23)*AS23,"")</f>
        <v>0.340598172673931</v>
      </c>
      <c r="AU23" s="20" t="s">
        <v>146</v>
      </c>
    </row>
    <row r="24" customFormat="false" ht="15" hidden="false" customHeight="false" outlineLevel="0" collapsed="false">
      <c r="A24" s="17" t="s">
        <v>147</v>
      </c>
      <c r="B24" s="17" t="s">
        <v>148</v>
      </c>
      <c r="C24" s="17" t="s">
        <v>149</v>
      </c>
      <c r="D24" s="17" t="s">
        <v>148</v>
      </c>
      <c r="E24" s="18" t="n">
        <f aca="false">BoardQty*4</f>
        <v>4</v>
      </c>
      <c r="F24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0.006</v>
      </c>
      <c r="G24" s="19" t="n">
        <f aca="false">IFERROR(E24*F24,"")</f>
        <v>0.024</v>
      </c>
      <c r="M24" s="18" t="n">
        <v>27429</v>
      </c>
      <c r="O24" s="19" t="n">
        <f aca="false">IFERROR(LOOKUP(IF(N24="",E24,N24),{0,1,10,25,50,100,250,500,1000,5000,10000,20000,30000,50000},{0,0.12,0.096,0.0868,0.0636,0.0549,0.04332,0.03658,0.0308,0.02743,0.0245,0.02275,0.02249,0.02188}),"")</f>
        <v>0.12</v>
      </c>
      <c r="P24" s="19" t="n">
        <f aca="false">IFERROR(IF(N24="",E24,N24)*O24,"")</f>
        <v>0.48</v>
      </c>
      <c r="Q24" s="20" t="s">
        <v>150</v>
      </c>
      <c r="R24" s="18" t="n">
        <v>9484</v>
      </c>
      <c r="T24" s="19" t="n">
        <f aca="false">IFERROR(USD_GBP*LOOKUP(IF(S24="",E24,S24),{0,1,10,100,150,500,2500,5000},{0,0.0269,0.0269,0.0194,0.0194,0.0146,0.0109,0.009}),"")</f>
        <v>0.0347918692372171</v>
      </c>
      <c r="U24" s="19" t="n">
        <f aca="false">IFERROR(IF(S24="",E24,S24)*T24,"")</f>
        <v>0.139167476948868</v>
      </c>
      <c r="V24" s="20" t="s">
        <v>151</v>
      </c>
      <c r="W24" s="18" t="n">
        <v>10050</v>
      </c>
      <c r="Y24" s="19" t="n">
        <f aca="false">IFERROR(LOOKUP(IF(X24="",E24,X24),{0,1,50,500,1500,5000,25000,50000},{0,0.006,0.006,0.00444,0.00415,0.00386,0.00374,0.00367}),"")</f>
        <v>0.006</v>
      </c>
      <c r="Z24" s="19" t="n">
        <f aca="false">IFERROR(IF(X24="",E24,X24)*Y24,"")</f>
        <v>0.024</v>
      </c>
      <c r="AA24" s="20" t="s">
        <v>152</v>
      </c>
      <c r="AB24" s="18" t="n">
        <v>7612</v>
      </c>
      <c r="AD24" s="19" t="n">
        <f aca="false">IFERROR(LOOKUP(IF(AC24="",E24,AC24),{0,1,10,100,500,1000,2500,5000,10000,20000},{0,0.11,0.063,0.043,0.036,0.03,0.028,0.026,0.023,0.022}),"")</f>
        <v>0.11</v>
      </c>
      <c r="AE24" s="19" t="n">
        <f aca="false">IFERROR(IF(AC24="",E24,AC24)*AD24,"")</f>
        <v>0.44</v>
      </c>
      <c r="AF24" s="20" t="s">
        <v>153</v>
      </c>
      <c r="AG24" s="18" t="n">
        <v>9764</v>
      </c>
      <c r="AI24" s="19" t="n">
        <f aca="false">IFERROR(LOOKUP(IF(AH24="",E24,AH24),{0,1,10,25,50,100,250,500,1000},{0,0.11,0.063,0.056,0.05,0.043,0.04,0.036,0.03}),"")</f>
        <v>0.11</v>
      </c>
      <c r="AJ24" s="19" t="n">
        <f aca="false">IFERROR(IF(AH24="",E24,AH24)*AI24,"")</f>
        <v>0.44</v>
      </c>
      <c r="AK24" s="20" t="s">
        <v>154</v>
      </c>
      <c r="AL24" s="18" t="n">
        <v>9200</v>
      </c>
      <c r="AN24" s="19" t="n">
        <f aca="false">IFERROR(USD_GBP*LOOKUP(IF(AM24="",E24,AM24),{0,1,100,10000,20000,30000},{0,0.015,0.015,0.005,0.005,0.005}),"")</f>
        <v>0.0194006705783739</v>
      </c>
      <c r="AO24" s="19" t="n">
        <f aca="false">IFERROR(IF(AM24="",E24,AM24)*AN24,"")</f>
        <v>0.0776026823134954</v>
      </c>
      <c r="AP24" s="20" t="s">
        <v>155</v>
      </c>
    </row>
    <row r="25" customFormat="false" ht="15" hidden="false" customHeight="false" outlineLevel="0" collapsed="false">
      <c r="A25" s="17" t="s">
        <v>156</v>
      </c>
      <c r="B25" s="17" t="s">
        <v>157</v>
      </c>
      <c r="C25" s="17" t="s">
        <v>158</v>
      </c>
      <c r="D25" s="17" t="s">
        <v>157</v>
      </c>
      <c r="E25" s="18" t="n">
        <f aca="false">BoardQty*2</f>
        <v>2</v>
      </c>
      <c r="F25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7.88</v>
      </c>
      <c r="G25" s="19" t="n">
        <f aca="false">IFERROR(E25*F25,"")</f>
        <v>15.76</v>
      </c>
      <c r="M25" s="21" t="s">
        <v>45</v>
      </c>
      <c r="O25" s="19" t="n">
        <f aca="false">IFERROR(LOOKUP(IF(N25="",E25,N25),{0,1},{0,8.17}),"")</f>
        <v>8.17</v>
      </c>
      <c r="P25" s="19" t="n">
        <f aca="false">IFERROR(IF(N25="",E25,N25)*O25,"")</f>
        <v>16.34</v>
      </c>
      <c r="Q25" s="20" t="s">
        <v>159</v>
      </c>
      <c r="AB25" s="18" t="n">
        <v>100</v>
      </c>
      <c r="AD25" s="19" t="n">
        <f aca="false">IFERROR(LOOKUP(IF(AC25="",E25,AC25),{0,1,10,25,100,250,500},{0,7.88,7.17,6.71,5.82,4.96,4.75}),"")</f>
        <v>7.88</v>
      </c>
      <c r="AE25" s="19" t="n">
        <f aca="false">IFERROR(IF(AC25="",E25,AC25)*AD25,"")</f>
        <v>15.76</v>
      </c>
      <c r="AF25" s="20" t="s">
        <v>160</v>
      </c>
    </row>
    <row r="26" customFormat="false" ht="15" hidden="false" customHeight="false" outlineLevel="0" collapsed="false">
      <c r="A26" s="17" t="s">
        <v>161</v>
      </c>
      <c r="B26" s="17" t="s">
        <v>162</v>
      </c>
      <c r="C26" s="17" t="s">
        <v>163</v>
      </c>
      <c r="D26" s="17" t="s">
        <v>164</v>
      </c>
      <c r="E26" s="18" t="n">
        <f aca="false">BoardQty*1</f>
        <v>1</v>
      </c>
      <c r="F26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1.01</v>
      </c>
      <c r="G26" s="19" t="n">
        <f aca="false">IFERROR(E26*F26,"")</f>
        <v>1.01</v>
      </c>
      <c r="AB26" s="18" t="n">
        <v>661</v>
      </c>
      <c r="AD26" s="19" t="n">
        <f aca="false">IFERROR(LOOKUP(IF(AC26="",E26,AC26),{0,1,10,100,250,500,1000},{0,1.01,0.804,0.769,0.7,0.629,0.56}),"")</f>
        <v>1.01</v>
      </c>
      <c r="AE26" s="19" t="n">
        <f aca="false">IFERROR(IF(AC26="",E26,AC26)*AD26,"")</f>
        <v>1.01</v>
      </c>
      <c r="AF26" s="20" t="s">
        <v>165</v>
      </c>
    </row>
    <row r="27" customFormat="false" ht="15" hidden="false" customHeight="false" outlineLevel="0" collapsed="false">
      <c r="A27" s="17" t="s">
        <v>166</v>
      </c>
      <c r="B27" s="17" t="s">
        <v>167</v>
      </c>
      <c r="C27" s="17" t="s">
        <v>168</v>
      </c>
      <c r="D27" s="17" t="s">
        <v>169</v>
      </c>
      <c r="E27" s="18" t="n">
        <f aca="false">BoardQty*2</f>
        <v>2</v>
      </c>
      <c r="F27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0.81</v>
      </c>
      <c r="G27" s="19" t="n">
        <f aca="false">IFERROR(E27*F27,"")</f>
        <v>1.62</v>
      </c>
      <c r="M27" s="18" t="n">
        <v>369</v>
      </c>
      <c r="O27" s="19" t="n">
        <f aca="false">IFERROR(LOOKUP(IF(N27="",E27,N27),{0,1,10,25,50,100,250,500,1000,5000},{0,0.81,0.505,0.4324,0.3888,0.3807,0.324,0.3078,0.2754,0.21546}),"")</f>
        <v>0.81</v>
      </c>
      <c r="P27" s="19" t="n">
        <f aca="false">IFERROR(IF(N27="",E27,N27)*O27,"")</f>
        <v>1.62</v>
      </c>
      <c r="Q27" s="20" t="s">
        <v>170</v>
      </c>
      <c r="AB27" s="18" t="n">
        <v>2904</v>
      </c>
      <c r="AD27" s="19" t="n">
        <f aca="false">IFERROR(LOOKUP(IF(AC27="",E27,AC27),{0,1,10,100,500,1000,2500},{0,0.81,0.388,0.324,0.307,0.275,0.242}),"")</f>
        <v>0.81</v>
      </c>
      <c r="AE27" s="19" t="n">
        <f aca="false">IFERROR(IF(AC27="",E27,AC27)*AD27,"")</f>
        <v>1.62</v>
      </c>
      <c r="AF27" s="20" t="s">
        <v>171</v>
      </c>
    </row>
    <row r="28" customFormat="false" ht="15" hidden="false" customHeight="false" outlineLevel="0" collapsed="false">
      <c r="A28" s="17" t="s">
        <v>172</v>
      </c>
      <c r="B28" s="17" t="s">
        <v>173</v>
      </c>
      <c r="C28" s="17" t="s">
        <v>174</v>
      </c>
      <c r="D28" s="17" t="s">
        <v>175</v>
      </c>
      <c r="E28" s="18" t="n">
        <f aca="false">BoardQty*4</f>
        <v>4</v>
      </c>
      <c r="F28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0.304</v>
      </c>
      <c r="G28" s="19" t="n">
        <f aca="false">IFERROR(E28*F28,"")</f>
        <v>1.216</v>
      </c>
      <c r="M28" s="18" t="n">
        <v>4399</v>
      </c>
      <c r="O28" s="19" t="n">
        <f aca="false">IFERROR(LOOKUP(IF(N28="",E28,N28),{0,1,10,100,500,1000,5000,10000},{0,0.54,0.502,0.3846,0.3344,0.27588,0.24244,0.22572}),"")</f>
        <v>0.54</v>
      </c>
      <c r="P28" s="19" t="n">
        <f aca="false">IFERROR(IF(N28="",E28,N28)*O28,"")</f>
        <v>2.16</v>
      </c>
      <c r="Q28" s="20" t="s">
        <v>176</v>
      </c>
      <c r="R28" s="18" t="n">
        <v>5773</v>
      </c>
      <c r="T28" s="19" t="n">
        <f aca="false">IFERROR(USD_GBP*LOOKUP(IF(S28="",E28,S28),{0,1,10,25,50,100,250,500},{0,0.515,0.423,0.404,0.386,0.369,0.344,0.32}),"")</f>
        <v>0.666089689857502</v>
      </c>
      <c r="U28" s="19" t="n">
        <f aca="false">IFERROR(IF(S28="",E28,S28)*T28,"")</f>
        <v>2.66435875943001</v>
      </c>
      <c r="V28" s="20" t="s">
        <v>177</v>
      </c>
      <c r="AB28" s="18" t="n">
        <v>2889</v>
      </c>
      <c r="AD28" s="19" t="n">
        <f aca="false">IFERROR(LOOKUP(IF(AC28="",E28,AC28),{0,1,10,100,500,1000,3000},{0,0.53,0.452,0.351,0.334,0.275,0.242}),"")</f>
        <v>0.53</v>
      </c>
      <c r="AE28" s="19" t="n">
        <f aca="false">IFERROR(IF(AC28="",E28,AC28)*AD28,"")</f>
        <v>2.12</v>
      </c>
      <c r="AF28" s="20" t="s">
        <v>178</v>
      </c>
      <c r="AG28" s="18" t="n">
        <v>5773</v>
      </c>
      <c r="AI28" s="19" t="n">
        <f aca="false">IFERROR(LOOKUP(IF(AH28="",E28,AH28),{0,1,10,25,50,100,250,500,1000},{0,0.304,0.304,0.279,0.279,0.279,0.279,0.258,0.258}),"")</f>
        <v>0.304</v>
      </c>
      <c r="AJ28" s="19" t="n">
        <f aca="false">IFERROR(IF(AH28="",E28,AH28)*AI28,"")</f>
        <v>1.216</v>
      </c>
      <c r="AK28" s="20" t="s">
        <v>179</v>
      </c>
    </row>
    <row r="29" customFormat="false" ht="15" hidden="false" customHeight="false" outlineLevel="0" collapsed="false">
      <c r="A29" s="17" t="s">
        <v>180</v>
      </c>
      <c r="B29" s="17" t="s">
        <v>181</v>
      </c>
      <c r="C29" s="17" t="s">
        <v>182</v>
      </c>
      <c r="D29" s="17" t="s">
        <v>181</v>
      </c>
      <c r="E29" s="18" t="n">
        <f aca="false">BoardQty*2</f>
        <v>2</v>
      </c>
      <c r="F29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0.611</v>
      </c>
      <c r="G29" s="19" t="n">
        <f aca="false">IFERROR(E29*F29,"")</f>
        <v>1.222</v>
      </c>
      <c r="M29" s="18" t="n">
        <v>7053</v>
      </c>
      <c r="O29" s="19" t="n">
        <f aca="false">IFERROR(LOOKUP(IF(N29="",E29,N29),{0,1,10,100,500,1000,2000,4000,6000,10000,50000},{0,2.39,2.208,1.5456,1.2512,1.1408,0.992,0.96,0.928,0.896,0.8512}),"")</f>
        <v>2.39</v>
      </c>
      <c r="P29" s="19" t="n">
        <f aca="false">IFERROR(IF(N29="",E29,N29)*O29,"")</f>
        <v>4.78</v>
      </c>
      <c r="Q29" s="20" t="s">
        <v>183</v>
      </c>
      <c r="R29" s="18" t="n">
        <v>1827</v>
      </c>
      <c r="T29" s="19" t="n">
        <f aca="false">IFERROR(USD_GBP*LOOKUP(IF(S29="",E29,S29),{0,1,5,10,25,50,100,250,500,1000,2000,10000},{0,2.12,1.46,1.62,1.52,0.734,1.32,0.724,0.584,0.559,0.534,0.467}),"")</f>
        <v>2.7419614417435</v>
      </c>
      <c r="U29" s="19" t="n">
        <f aca="false">IFERROR(IF(S29="",E29,S29)*T29,"")</f>
        <v>5.48392288348701</v>
      </c>
      <c r="V29" s="20" t="s">
        <v>184</v>
      </c>
      <c r="AB29" s="21" t="s">
        <v>45</v>
      </c>
      <c r="AD29" s="19" t="n">
        <f aca="false">IFERROR(LOOKUP(IF(AC29="",E29,AC29),{0,1,10,100,1000,2000,10000,24000,50000,100000},{0,1.84,1.7,0.948,0.854,0.69,0.666,0.47,0.453,0.404}),"")</f>
        <v>1.84</v>
      </c>
      <c r="AE29" s="19" t="n">
        <f aca="false">IFERROR(IF(AC29="",E29,AC29)*AD29,"")</f>
        <v>3.68</v>
      </c>
      <c r="AF29" s="20" t="s">
        <v>185</v>
      </c>
      <c r="AG29" s="18" t="n">
        <v>1827</v>
      </c>
      <c r="AI29" s="19" t="n">
        <f aca="false">IFERROR(LOOKUP(IF(AH29="",E29,AH29),{0,1,10,25,50,100,500,1000},{0,0.611,0.611,0.611,0.611,0.611,0.611,0.611}),"")</f>
        <v>0.611</v>
      </c>
      <c r="AJ29" s="19" t="n">
        <f aca="false">IFERROR(IF(AH29="",E29,AH29)*AI29,"")</f>
        <v>1.222</v>
      </c>
      <c r="AK29" s="20" t="s">
        <v>186</v>
      </c>
    </row>
    <row r="30" customFormat="false" ht="15" hidden="false" customHeight="false" outlineLevel="0" collapsed="false">
      <c r="A30" s="17" t="s">
        <v>187</v>
      </c>
      <c r="B30" s="17" t="s">
        <v>188</v>
      </c>
      <c r="C30" s="17" t="s">
        <v>189</v>
      </c>
      <c r="D30" s="17" t="s">
        <v>188</v>
      </c>
      <c r="E30" s="18" t="n">
        <f aca="false">BoardQty*1</f>
        <v>1</v>
      </c>
      <c r="F30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1.08</v>
      </c>
      <c r="G30" s="19" t="n">
        <f aca="false">IFERROR(E30*F30,"")</f>
        <v>1.08</v>
      </c>
      <c r="R30" s="18" t="n">
        <v>11260</v>
      </c>
      <c r="T30" s="19" t="n">
        <f aca="false">IFERROR(USD_GBP*LOOKUP(IF(S30="",E30,S30),{0,1,10,50,100,250,500},{0,1.36,1.36,0.779,0.698,0.618,0.537}),"")</f>
        <v>1.75899413243923</v>
      </c>
      <c r="U30" s="19" t="n">
        <f aca="false">IFERROR(IF(S30="",E30,S30)*T30,"")</f>
        <v>1.75899413243923</v>
      </c>
      <c r="V30" s="20" t="s">
        <v>190</v>
      </c>
      <c r="AB30" s="18" t="n">
        <v>8145</v>
      </c>
      <c r="AD30" s="19" t="n">
        <f aca="false">IFERROR(LOOKUP(IF(AC30="",E30,AC30),{0,1,10,50,100,200,500},{0,1.08,0.904,0.89,0.89,0.89,0.612}),"")</f>
        <v>1.08</v>
      </c>
      <c r="AE30" s="19" t="n">
        <f aca="false">IFERROR(IF(AC30="",E30,AC30)*AD30,"")</f>
        <v>1.08</v>
      </c>
      <c r="AF30" s="20" t="s">
        <v>191</v>
      </c>
    </row>
    <row r="31" customFormat="false" ht="15" hidden="false" customHeight="false" outlineLevel="0" collapsed="false">
      <c r="A31" s="17" t="s">
        <v>192</v>
      </c>
      <c r="B31" s="17" t="s">
        <v>193</v>
      </c>
      <c r="C31" s="17" t="s">
        <v>194</v>
      </c>
      <c r="D31" s="17" t="s">
        <v>193</v>
      </c>
      <c r="E31" s="18" t="n">
        <f aca="false">BoardQty*1</f>
        <v>1</v>
      </c>
      <c r="F31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2.77</v>
      </c>
      <c r="G31" s="19" t="n">
        <f aca="false">IFERROR(E31*F31,"")</f>
        <v>2.77</v>
      </c>
      <c r="R31" s="21" t="s">
        <v>45</v>
      </c>
      <c r="T31" s="19" t="n">
        <f aca="false">IFERROR(USD_GBP*LOOKUP(IF(S31="",E31,S31),{0,1,10,21,50,100,200,400,2000},{0,3.44,2.21,2.21,1.94,1.73,1.51,1.29,1.16}),"")</f>
        <v>4.4492204526404</v>
      </c>
      <c r="U31" s="19" t="n">
        <f aca="false">IFERROR(IF(S31="",E31,S31)*T31,"")</f>
        <v>4.4492204526404</v>
      </c>
      <c r="V31" s="20" t="s">
        <v>195</v>
      </c>
      <c r="AB31" s="18" t="n">
        <v>171</v>
      </c>
      <c r="AD31" s="19" t="n">
        <f aca="false">IFERROR(LOOKUP(IF(AC31="",E31,AC31),{0,1,10,50,100,200,400},{0,2.77,2.47,2.22,1.98,1.73,1.55}),"")</f>
        <v>2.77</v>
      </c>
      <c r="AE31" s="19" t="n">
        <f aca="false">IFERROR(IF(AC31="",E31,AC31)*AD31,"")</f>
        <v>2.77</v>
      </c>
      <c r="AF31" s="20" t="s">
        <v>196</v>
      </c>
    </row>
    <row r="32" customFormat="false" ht="15" hidden="false" customHeight="false" outlineLevel="0" collapsed="false">
      <c r="A32" s="17" t="s">
        <v>197</v>
      </c>
      <c r="B32" s="17" t="s">
        <v>198</v>
      </c>
      <c r="C32" s="17" t="s">
        <v>199</v>
      </c>
      <c r="D32" s="17" t="s">
        <v>198</v>
      </c>
      <c r="E32" s="18" t="n">
        <f aca="false">BoardQty*1</f>
        <v>1</v>
      </c>
      <c r="F32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0.14764</v>
      </c>
      <c r="G32" s="19" t="n">
        <f aca="false">IFERROR(E32*F32,"")</f>
        <v>0.14764</v>
      </c>
      <c r="M32" s="18" t="n">
        <v>25361</v>
      </c>
      <c r="O32" s="19" t="n">
        <f aca="false">IFERROR(LOOKUP(IF(N32="",E32,N32),{0,1,10,25,100,250,500,1000,2500,5000},{0,0.36,0.29,0.2648,0.1663,0.16448,0.154,0.10472,0.10041,0.0924}),"")</f>
        <v>0.36</v>
      </c>
      <c r="P32" s="19" t="n">
        <f aca="false">IFERROR(IF(N32="",E32,N32)*O32,"")</f>
        <v>0.36</v>
      </c>
      <c r="Q32" s="20" t="s">
        <v>200</v>
      </c>
      <c r="R32" s="18" t="n">
        <v>97595</v>
      </c>
      <c r="T32" s="19" t="n">
        <f aca="false">IFERROR(USD_GBP*LOOKUP(IF(S32="",E32,S32),{0,1,5,25,100,250,500,1000,5000},{0,0.24,0.24,0.231,0.118,0.114,0.094,0.074,0.069}),"")</f>
        <v>0.310410729253982</v>
      </c>
      <c r="U32" s="19" t="n">
        <f aca="false">IFERROR(IF(S32="",E32,S32)*T32,"")</f>
        <v>0.310410729253982</v>
      </c>
      <c r="V32" s="20" t="s">
        <v>201</v>
      </c>
      <c r="W32" s="18" t="n">
        <v>9812</v>
      </c>
      <c r="Y32" s="19" t="n">
        <f aca="false">IFERROR(LOOKUP(IF(X32="",E32,X32),{0,1,10,30,100,500,1000},{0,0.14764,0.11251,0.10606,0.0996,0.09673,0.09532}),"")</f>
        <v>0.14764</v>
      </c>
      <c r="Z32" s="19" t="n">
        <f aca="false">IFERROR(IF(X32="",E32,X32)*Y32,"")</f>
        <v>0.14764</v>
      </c>
      <c r="AA32" s="20" t="s">
        <v>202</v>
      </c>
      <c r="AB32" s="18" t="n">
        <v>63585</v>
      </c>
      <c r="AD32" s="19" t="n">
        <f aca="false">IFERROR(LOOKUP(IF(AC32="",E32,AC32),{0,1,10,100,1000,2500,10000},{0,0.35,0.272,0.147,0.11,0.095,0.089}),"")</f>
        <v>0.35</v>
      </c>
      <c r="AE32" s="19" t="n">
        <f aca="false">IFERROR(IF(AC32="",E32,AC32)*AD32,"")</f>
        <v>0.35</v>
      </c>
      <c r="AF32" s="20" t="s">
        <v>203</v>
      </c>
      <c r="AG32" s="18" t="n">
        <v>66801</v>
      </c>
      <c r="AI32" s="19" t="n">
        <f aca="false">IFERROR(LOOKUP(IF(AH32="",E32,AH32),{0,1,5,10,25,50,100,500,1000,2500,10000,25000},{0,0.397,0.38,0.256,0.092,0.091,0.114,0.102,0.089,0.083,0.081,0.079}),"")</f>
        <v>0.397</v>
      </c>
      <c r="AJ32" s="19" t="n">
        <f aca="false">IFERROR(IF(AH32="",E32,AH32)*AI32,"")</f>
        <v>0.397</v>
      </c>
      <c r="AK32" s="20" t="s">
        <v>204</v>
      </c>
      <c r="AL32" s="18" t="n">
        <v>19160</v>
      </c>
      <c r="AN32" s="19" t="n">
        <f aca="false">IFERROR(USD_GBP*LOOKUP(IF(AM32="",E32,AM32),{0,1,20,40,100,200,400,10000,30000},{0,0.216,0.216,0.167,0.147,0.127,0.125,0.068,0.066}),"")</f>
        <v>0.279369656328583</v>
      </c>
      <c r="AO32" s="19" t="n">
        <f aca="false">IFERROR(IF(AM32="",E32,AM32)*AN32,"")</f>
        <v>0.279369656328583</v>
      </c>
      <c r="AP32" s="20" t="s">
        <v>205</v>
      </c>
      <c r="AQ32" s="18" t="n">
        <v>2953</v>
      </c>
      <c r="AS32" s="19" t="n">
        <f aca="false">IFERROR(USD_GBP*LOOKUP(IF(AR32="",E32,AR32),{0,1,10,50,100,500,2000},{0,0.1229,0.1229,0.1062,0.0851,0.0789,0.0713}),"")</f>
        <v>0.15895616093881</v>
      </c>
      <c r="AT32" s="19" t="n">
        <f aca="false">IFERROR(IF(AR32="",E32,AR32)*AS32,"")</f>
        <v>0.15895616093881</v>
      </c>
      <c r="AU32" s="20" t="s">
        <v>206</v>
      </c>
    </row>
    <row r="33" customFormat="false" ht="15" hidden="false" customHeight="false" outlineLevel="0" collapsed="false">
      <c r="A33" s="17" t="s">
        <v>207</v>
      </c>
      <c r="B33" s="17" t="s">
        <v>208</v>
      </c>
      <c r="C33" s="17" t="s">
        <v>209</v>
      </c>
      <c r="D33" s="17" t="s">
        <v>210</v>
      </c>
      <c r="E33" s="18" t="n">
        <f aca="false">BoardQty*1</f>
        <v>1</v>
      </c>
      <c r="F33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0.01</v>
      </c>
      <c r="G33" s="19" t="n">
        <f aca="false">IFERROR(E33*F33,"")</f>
        <v>0.01</v>
      </c>
      <c r="M33" s="18" t="n">
        <v>169175</v>
      </c>
      <c r="O33" s="19" t="n">
        <f aca="false">IFERROR(LOOKUP(IF(N33="",E33,N33),{0,1,10,100,1000,2500,5000,10000},{0,0.1,0.038,0.0156,0.007,0.00607,0.00456,0.00396}),"")</f>
        <v>0.1</v>
      </c>
      <c r="P33" s="19" t="n">
        <f aca="false">IFERROR(IF(N33="",E33,N33)*O33,"")</f>
        <v>0.1</v>
      </c>
      <c r="Q33" s="20" t="s">
        <v>211</v>
      </c>
      <c r="AB33" s="18" t="n">
        <v>191061</v>
      </c>
      <c r="AD33" s="19" t="n">
        <f aca="false">IFERROR(LOOKUP(IF(AC33="",E33,AC33),{0,1,10,100,1000,5000,10000,25000},{0,0.1,0.039,0.015,0.006,0.004,0.004,0.003}),"")</f>
        <v>0.1</v>
      </c>
      <c r="AE33" s="19" t="n">
        <f aca="false">IFERROR(IF(AC33="",E33,AC33)*AD33,"")</f>
        <v>0.1</v>
      </c>
      <c r="AF33" s="20" t="s">
        <v>212</v>
      </c>
      <c r="AG33" s="21" t="s">
        <v>45</v>
      </c>
      <c r="AI33" s="19" t="n">
        <f aca="false">IFERROR(LOOKUP(IF(AH33="",E33,AH33),{0,1,5000,10000},{0,0.01,0.009,0.007}),"")</f>
        <v>0.01</v>
      </c>
      <c r="AJ33" s="19" t="n">
        <f aca="false">IFERROR(IF(AH33="",E33,AH33)*AI33,"")</f>
        <v>0.01</v>
      </c>
      <c r="AK33" s="20" t="s">
        <v>213</v>
      </c>
    </row>
    <row r="34" customFormat="false" ht="15" hidden="false" customHeight="false" outlineLevel="0" collapsed="false">
      <c r="A34" s="17" t="s">
        <v>214</v>
      </c>
      <c r="B34" s="17" t="s">
        <v>208</v>
      </c>
      <c r="C34" s="17" t="s">
        <v>215</v>
      </c>
      <c r="D34" s="17" t="s">
        <v>216</v>
      </c>
      <c r="E34" s="18" t="n">
        <f aca="false">BoardQty*12</f>
        <v>12</v>
      </c>
      <c r="F34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0.008</v>
      </c>
      <c r="G34" s="19" t="n">
        <f aca="false">IFERROR(E34*F34,"")</f>
        <v>0.096</v>
      </c>
      <c r="M34" s="18" t="n">
        <v>1592545</v>
      </c>
      <c r="O34" s="19" t="n">
        <f aca="false">IFERROR(LOOKUP(IF(N34="",E34,N34),{0,1,10,100,1000,2500,5000,10000},{0,0.1,0.028,0.0114,0.00511,0.00444,0.00333,0.00289}),"")</f>
        <v>0.028</v>
      </c>
      <c r="P34" s="19" t="n">
        <f aca="false">IFERROR(IF(N34="",E34,N34)*O34,"")</f>
        <v>0.336</v>
      </c>
      <c r="Q34" s="20" t="s">
        <v>217</v>
      </c>
      <c r="AB34" s="18" t="n">
        <v>575403</v>
      </c>
      <c r="AD34" s="19" t="n">
        <f aca="false">IFERROR(LOOKUP(IF(AC34="",E34,AC34),{0,1,10,100,1000,5000,10000},{0,0.1,0.029,0.012,0.004,0.003,0.003}),"")</f>
        <v>0.029</v>
      </c>
      <c r="AE34" s="19" t="n">
        <f aca="false">IFERROR(IF(AC34="",E34,AC34)*AD34,"")</f>
        <v>0.348</v>
      </c>
      <c r="AF34" s="20" t="s">
        <v>218</v>
      </c>
      <c r="AG34" s="21" t="s">
        <v>45</v>
      </c>
      <c r="AI34" s="19" t="n">
        <f aca="false">IFERROR(LOOKUP(IF(AH34="",E34,AH34),{0,1,5000,10000},{0,0.008,0.007,0.005}),"")</f>
        <v>0.008</v>
      </c>
      <c r="AJ34" s="19" t="n">
        <f aca="false">IFERROR(IF(AH34="",E34,AH34)*AI34,"")</f>
        <v>0.096</v>
      </c>
      <c r="AK34" s="20" t="s">
        <v>219</v>
      </c>
    </row>
    <row r="35" customFormat="false" ht="15" hidden="false" customHeight="false" outlineLevel="0" collapsed="false">
      <c r="A35" s="17" t="s">
        <v>220</v>
      </c>
      <c r="B35" s="17" t="s">
        <v>221</v>
      </c>
      <c r="C35" s="17" t="s">
        <v>215</v>
      </c>
      <c r="D35" s="17" t="s">
        <v>222</v>
      </c>
      <c r="E35" s="18" t="n">
        <f aca="false">BoardQty*4</f>
        <v>4</v>
      </c>
      <c r="F35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0.003</v>
      </c>
      <c r="G35" s="19" t="n">
        <f aca="false">IFERROR(E35*F35,"")</f>
        <v>0.012</v>
      </c>
      <c r="M35" s="18" t="n">
        <v>1044357</v>
      </c>
      <c r="O35" s="19" t="n">
        <f aca="false">IFERROR(LOOKUP(IF(N35="",E35,N35),{0,1,10,100,1000,2500,5000,10000},{0,0.1,0.034,0.0139,0.00623,0.0054,0.00407,0.00353}),"")</f>
        <v>0.1</v>
      </c>
      <c r="P35" s="19" t="n">
        <f aca="false">IFERROR(IF(N35="",E35,N35)*O35,"")</f>
        <v>0.4</v>
      </c>
      <c r="Q35" s="20" t="s">
        <v>223</v>
      </c>
      <c r="R35" s="18" t="n">
        <v>2695000</v>
      </c>
      <c r="T35" s="19" t="n">
        <f aca="false">IFERROR(USD_GBP*LOOKUP(IF(S35="",E35,S35),{0,1,10,150,250,1000,5000,10000,20000,100000},{0,0.0137,0.0137,0.0137,0.0129,0.0048,0.0035,0.003,0.0028,0.0025}),"")</f>
        <v>0.0177192791282481</v>
      </c>
      <c r="U35" s="19" t="n">
        <f aca="false">IFERROR(IF(S35="",E35,S35)*T35,"")</f>
        <v>0.0708771165129925</v>
      </c>
      <c r="V35" s="20" t="s">
        <v>224</v>
      </c>
      <c r="AB35" s="21" t="s">
        <v>45</v>
      </c>
      <c r="AD35" s="19" t="n">
        <f aca="false">IFERROR(LOOKUP(IF(AC35="",E35,AC35),{0,1,10,100,500,1000,5000,10000},{0,0.1,0.034,0.013,0.01,0.005,0.004,0.003}),"")</f>
        <v>0.1</v>
      </c>
      <c r="AE35" s="19" t="n">
        <f aca="false">IFERROR(IF(AC35="",E35,AC35)*AD35,"")</f>
        <v>0.4</v>
      </c>
      <c r="AF35" s="20" t="s">
        <v>225</v>
      </c>
      <c r="AG35" s="18" t="n">
        <v>1440000</v>
      </c>
      <c r="AI35" s="19" t="n">
        <f aca="false">IFERROR(LOOKUP(IF(AH35="",E35,AH35),{0,1,10,25,50,100,250,500,1000,5000,10000},{0,0.003,0.04,0.036,0.032,0.028,0.022,0.016,0.011,0.003,0.003}),"")</f>
        <v>0.003</v>
      </c>
      <c r="AJ35" s="19" t="n">
        <f aca="false">IFERROR(IF(AH35="",E35,AH35)*AI35,"")</f>
        <v>0.012</v>
      </c>
      <c r="AK35" s="20" t="s">
        <v>226</v>
      </c>
      <c r="AL35" s="18" t="n">
        <v>35000</v>
      </c>
      <c r="AN35" s="19" t="n">
        <f aca="false">IFERROR(USD_GBP*LOOKUP(IF(AM35="",E35,AM35),{0,1,50,500,1000,1250,2500,5000,10000},{0,0.032,0.032,0.013,0.006,0.006,0.005,0.01,0.008}),"")</f>
        <v>0.0413880972338642</v>
      </c>
      <c r="AO35" s="19" t="n">
        <f aca="false">IFERROR(IF(AM35="",E35,AM35)*AN35,"")</f>
        <v>0.165552388935457</v>
      </c>
      <c r="AP35" s="20" t="s">
        <v>227</v>
      </c>
    </row>
    <row r="36" customFormat="false" ht="15" hidden="false" customHeight="false" outlineLevel="0" collapsed="false">
      <c r="A36" s="17" t="s">
        <v>228</v>
      </c>
      <c r="B36" s="17" t="s">
        <v>229</v>
      </c>
      <c r="C36" s="17" t="s">
        <v>215</v>
      </c>
      <c r="D36" s="17" t="s">
        <v>230</v>
      </c>
      <c r="E36" s="18" t="n">
        <f aca="false">BoardQty*4</f>
        <v>4</v>
      </c>
      <c r="F36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0.029</v>
      </c>
      <c r="G36" s="19" t="n">
        <f aca="false">IFERROR(E36*F36,"")</f>
        <v>0.116</v>
      </c>
      <c r="M36" s="21" t="s">
        <v>45</v>
      </c>
      <c r="O36" s="19" t="n">
        <f aca="false">IFERROR(LOOKUP(IF(N36="",E36,N36),{0,1,10,100,1000,2500,5000,10000},{0,0.1,0.034,0.0139,0.00623,0.0054,0.00407,0.00353}),"")</f>
        <v>0.1</v>
      </c>
      <c r="P36" s="19" t="n">
        <f aca="false">IFERROR(IF(N36="",E36,N36)*O36,"")</f>
        <v>0.4</v>
      </c>
      <c r="Q36" s="20" t="s">
        <v>231</v>
      </c>
      <c r="R36" s="18" t="n">
        <v>1400000</v>
      </c>
      <c r="T36" s="19" t="n">
        <f aca="false">IFERROR(USD_GBP*LOOKUP(IF(S36="",E36,S36),{0,1,10,100,150,500,1000,2500,5000},{0,0.0353,0.0353,0.0141,0.0141,0.0124,0.0056,0.005,0.0035}),"")</f>
        <v>0.0456562447611065</v>
      </c>
      <c r="U36" s="19" t="n">
        <f aca="false">IFERROR(IF(S36="",E36,S36)*T36,"")</f>
        <v>0.182624979044426</v>
      </c>
      <c r="V36" s="20" t="s">
        <v>232</v>
      </c>
      <c r="AB36" s="18" t="n">
        <v>177365</v>
      </c>
      <c r="AD36" s="19" t="n">
        <f aca="false">IFERROR(LOOKUP(IF(AC36="",E36,AC36),{0,1,10,100,500,1000,5000},{0,0.1,0.037,0.026,0.015,0.006,0.005}),"")</f>
        <v>0.1</v>
      </c>
      <c r="AE36" s="19" t="n">
        <f aca="false">IFERROR(IF(AC36="",E36,AC36)*AD36,"")</f>
        <v>0.4</v>
      </c>
      <c r="AF36" s="20" t="s">
        <v>233</v>
      </c>
      <c r="AG36" s="18" t="n">
        <v>123903</v>
      </c>
      <c r="AI36" s="19" t="n">
        <f aca="false">IFERROR(LOOKUP(IF(AH36="",E36,AH36),{0,1,10,25,50,100,250,500,1000},{0,0.029,0.037,0.029,0.025,0.021,0.018,0.015,0.006}),"")</f>
        <v>0.029</v>
      </c>
      <c r="AJ36" s="19" t="n">
        <f aca="false">IFERROR(IF(AH36="",E36,AH36)*AI36,"")</f>
        <v>0.116</v>
      </c>
      <c r="AK36" s="20" t="s">
        <v>234</v>
      </c>
      <c r="AL36" s="18" t="n">
        <v>4394</v>
      </c>
      <c r="AN36" s="19" t="n">
        <f aca="false">IFERROR(USD_GBP*LOOKUP(IF(AM36="",E36,AM36),{0,1,200},{0,0.08,0.02}),"")</f>
        <v>0.103470243084661</v>
      </c>
      <c r="AO36" s="19" t="n">
        <f aca="false">IFERROR(IF(AM36="",E36,AM36)*AN36,"")</f>
        <v>0.413880972338642</v>
      </c>
      <c r="AP36" s="20" t="s">
        <v>235</v>
      </c>
    </row>
    <row r="37" customFormat="false" ht="15" hidden="false" customHeight="false" outlineLevel="0" collapsed="false">
      <c r="A37" s="17" t="s">
        <v>236</v>
      </c>
      <c r="B37" s="17" t="s">
        <v>237</v>
      </c>
      <c r="C37" s="17" t="s">
        <v>215</v>
      </c>
      <c r="D37" s="17" t="s">
        <v>238</v>
      </c>
      <c r="E37" s="18" t="n">
        <f aca="false">BoardQty*2</f>
        <v>2</v>
      </c>
      <c r="F37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0.002</v>
      </c>
      <c r="G37" s="19" t="n">
        <f aca="false">IFERROR(E37*F37,"")</f>
        <v>0.004</v>
      </c>
      <c r="M37" s="18" t="n">
        <v>25861</v>
      </c>
      <c r="O37" s="19" t="n">
        <f aca="false">IFERROR(LOOKUP(IF(N37="",E37,N37),{0,1,10,100,1000,2500,5000,10000},{0,0.1,0.034,0.0139,0.00623,0.0054,0.00407,0.00353}),"")</f>
        <v>0.1</v>
      </c>
      <c r="P37" s="19" t="n">
        <f aca="false">IFERROR(IF(N37="",E37,N37)*O37,"")</f>
        <v>0.2</v>
      </c>
      <c r="Q37" s="20" t="s">
        <v>239</v>
      </c>
      <c r="R37" s="18" t="n">
        <v>100000</v>
      </c>
      <c r="T37" s="19" t="n">
        <f aca="false">IFERROR(USD_GBP*LOOKUP(IF(S37="",E37,S37),{0,1,10,100,150,500,1000,2500,5000,25000,50000},{0,0.0353,0.0353,0.0141,0.0141,0.0124,0.0059,0.0053,0.0034,0.0028,0.0026}),"")</f>
        <v>0.0456562447611065</v>
      </c>
      <c r="U37" s="19" t="n">
        <f aca="false">IFERROR(IF(S37="",E37,S37)*T37,"")</f>
        <v>0.091312489522213</v>
      </c>
      <c r="V37" s="20" t="s">
        <v>240</v>
      </c>
      <c r="AB37" s="18" t="n">
        <v>48210</v>
      </c>
      <c r="AD37" s="19" t="n">
        <f aca="false">IFERROR(LOOKUP(IF(AC37="",E37,AC37),{0,1,10,100,500,1000,5000},{0,0.1,0.037,0.026,0.015,0.006,0.005}),"")</f>
        <v>0.1</v>
      </c>
      <c r="AE37" s="19" t="n">
        <f aca="false">IFERROR(IF(AC37="",E37,AC37)*AD37,"")</f>
        <v>0.2</v>
      </c>
      <c r="AF37" s="20" t="s">
        <v>241</v>
      </c>
      <c r="AG37" s="18" t="n">
        <v>55257</v>
      </c>
      <c r="AI37" s="19" t="n">
        <f aca="false">IFERROR(LOOKUP(IF(AH37="",E37,AH37),{0,1,10,25,50,100,250,500,1000},{0,0.002,0.1,0.037,0.032,0.026,0.021,0.015,0.006}),"")</f>
        <v>0.002</v>
      </c>
      <c r="AJ37" s="19" t="n">
        <f aca="false">IFERROR(IF(AH37="",E37,AH37)*AI37,"")</f>
        <v>0.004</v>
      </c>
      <c r="AK37" s="20" t="s">
        <v>242</v>
      </c>
      <c r="AL37" s="18" t="n">
        <v>59050</v>
      </c>
      <c r="AN37" s="19" t="n">
        <f aca="false">IFERROR(USD_GBP*LOOKUP(IF(AM37="",E37,AM37),{0,1,50,1000,2000,5000,10000},{0,0.009,0.009,0.008,0.007,0.006,0.005}),"")</f>
        <v>0.0116404023470243</v>
      </c>
      <c r="AO37" s="19" t="n">
        <f aca="false">IFERROR(IF(AM37="",E37,AM37)*AN37,"")</f>
        <v>0.0232808046940486</v>
      </c>
      <c r="AP37" s="20" t="s">
        <v>243</v>
      </c>
    </row>
    <row r="38" customFormat="false" ht="15" hidden="false" customHeight="false" outlineLevel="0" collapsed="false">
      <c r="A38" s="17" t="s">
        <v>244</v>
      </c>
      <c r="B38" s="17" t="s">
        <v>245</v>
      </c>
      <c r="C38" s="17" t="s">
        <v>215</v>
      </c>
      <c r="D38" s="17" t="s">
        <v>246</v>
      </c>
      <c r="E38" s="18" t="n">
        <f aca="false">BoardQty*7</f>
        <v>7</v>
      </c>
      <c r="F38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0.003</v>
      </c>
      <c r="G38" s="19" t="n">
        <f aca="false">IFERROR(E38*F38,"")</f>
        <v>0.021</v>
      </c>
      <c r="M38" s="18" t="n">
        <v>12783</v>
      </c>
      <c r="O38" s="19" t="n">
        <f aca="false">IFERROR(LOOKUP(IF(N38="",E38,N38),{0,1,10,100,1000,2500,5000,10000},{0,0.1,0.034,0.0139,0.00623,0.0054,0.00407,0.00353}),"")</f>
        <v>0.1</v>
      </c>
      <c r="P38" s="19" t="n">
        <f aca="false">IFERROR(IF(N38="",E38,N38)*O38,"")</f>
        <v>0.7</v>
      </c>
      <c r="Q38" s="20" t="s">
        <v>247</v>
      </c>
      <c r="R38" s="18" t="n">
        <v>16310</v>
      </c>
      <c r="T38" s="19" t="n">
        <f aca="false">IFERROR(USD_GBP*LOOKUP(IF(S38="",E38,S38),{0,1,10,100,150,500,1000,2500,20000,100000},{0,0.0353,0.0353,0.0141,0.0141,0.0124,0.0056,0.005,0.0033,0.003}),"")</f>
        <v>0.0456562447611065</v>
      </c>
      <c r="U38" s="19" t="n">
        <f aca="false">IFERROR(IF(S38="",E38,S38)*T38,"")</f>
        <v>0.319593713327745</v>
      </c>
      <c r="V38" s="20" t="s">
        <v>248</v>
      </c>
      <c r="AB38" s="18" t="n">
        <v>23257</v>
      </c>
      <c r="AD38" s="19" t="n">
        <f aca="false">IFERROR(LOOKUP(IF(AC38="",E38,AC38),{0,1,10,100,500,1000,5000},{0,0.1,0.037,0.026,0.015,0.006,0.005}),"")</f>
        <v>0.1</v>
      </c>
      <c r="AE38" s="19" t="n">
        <f aca="false">IFERROR(IF(AC38="",E38,AC38)*AD38,"")</f>
        <v>0.7</v>
      </c>
      <c r="AF38" s="20" t="s">
        <v>249</v>
      </c>
      <c r="AG38" s="18" t="n">
        <v>35000</v>
      </c>
      <c r="AI38" s="19" t="n">
        <f aca="false">IFERROR(LOOKUP(IF(AH38="",E38,AH38),{0,1,10,25,50,100,250,500,1000},{0,0.003,0.1,0.003,0.003,0.003,0.003,0.003,0.003}),"")</f>
        <v>0.003</v>
      </c>
      <c r="AJ38" s="19" t="n">
        <f aca="false">IFERROR(IF(AH38="",E38,AH38)*AI38,"")</f>
        <v>0.021</v>
      </c>
      <c r="AK38" s="20" t="s">
        <v>250</v>
      </c>
      <c r="AL38" s="18" t="n">
        <v>40600</v>
      </c>
      <c r="AN38" s="19" t="n">
        <f aca="false">IFERROR(USD_GBP*LOOKUP(IF(AM38="",E38,AM38),{0,1,50,500,1250,2500,5000,10000},{0,0.018,0.018,0.012,0.005,0.005,0.005,0.004}),"")</f>
        <v>0.0232808046940486</v>
      </c>
      <c r="AO38" s="19" t="n">
        <f aca="false">IFERROR(IF(AM38="",E38,AM38)*AN38,"")</f>
        <v>0.16296563285834</v>
      </c>
      <c r="AP38" s="20" t="s">
        <v>251</v>
      </c>
    </row>
    <row r="39" customFormat="false" ht="15" hidden="false" customHeight="false" outlineLevel="0" collapsed="false">
      <c r="A39" s="17" t="s">
        <v>252</v>
      </c>
      <c r="B39" s="17" t="s">
        <v>253</v>
      </c>
      <c r="C39" s="17" t="s">
        <v>215</v>
      </c>
      <c r="D39" s="17" t="s">
        <v>254</v>
      </c>
      <c r="E39" s="18" t="n">
        <f aca="false">BoardQty*14</f>
        <v>14</v>
      </c>
      <c r="F39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0.003</v>
      </c>
      <c r="G39" s="19" t="n">
        <f aca="false">IFERROR(E39*F39,"")</f>
        <v>0.042</v>
      </c>
      <c r="M39" s="18" t="n">
        <v>22168</v>
      </c>
      <c r="O39" s="19" t="n">
        <f aca="false">IFERROR(LOOKUP(IF(N39="",E39,N39),{0,1,10,100,1000,2500,5000,10000},{0,0.1,0.034,0.0139,0.00623,0.0054,0.00407,0.00353}),"")</f>
        <v>0.034</v>
      </c>
      <c r="P39" s="19" t="n">
        <f aca="false">IFERROR(IF(N39="",E39,N39)*O39,"")</f>
        <v>0.476</v>
      </c>
      <c r="Q39" s="20" t="s">
        <v>255</v>
      </c>
      <c r="R39" s="18" t="n">
        <v>8620</v>
      </c>
      <c r="T39" s="19" t="n">
        <f aca="false">IFERROR(USD_GBP*LOOKUP(IF(S39="",E39,S39),{0,1,25,50,100,250,500,5000,25000,50000},{0,0.0813,0.0301,0.026,0.0212,0.0171,0.0122,0.0016,0.0014,0.0012}),"")</f>
        <v>0.105151634534786</v>
      </c>
      <c r="U39" s="19" t="n">
        <f aca="false">IFERROR(IF(S39="",E39,S39)*T39,"")</f>
        <v>1.47212288348701</v>
      </c>
      <c r="V39" s="20" t="s">
        <v>256</v>
      </c>
      <c r="AB39" s="18" t="n">
        <v>22414</v>
      </c>
      <c r="AD39" s="19" t="n">
        <f aca="false">IFERROR(LOOKUP(IF(AC39="",E39,AC39),{0,1,10,100,500,1000,5000},{0,0.1,0.037,0.026,0.015,0.006,0.005}),"")</f>
        <v>0.037</v>
      </c>
      <c r="AE39" s="19" t="n">
        <f aca="false">IFERROR(IF(AC39="",E39,AC39)*AD39,"")</f>
        <v>0.518</v>
      </c>
      <c r="AF39" s="20" t="s">
        <v>257</v>
      </c>
      <c r="AG39" s="18" t="n">
        <v>35000</v>
      </c>
      <c r="AI39" s="19" t="n">
        <f aca="false">IFERROR(LOOKUP(IF(AH39="",E39,AH39),{0,1,25,50,100,250,500,1000,5000,10000},{0,0.003,0.003,0.003,0.003,0.003,0.003,0.003,0.005,0.004}),"")</f>
        <v>0.003</v>
      </c>
      <c r="AJ39" s="19" t="n">
        <f aca="false">IFERROR(IF(AH39="",E39,AH39)*AI39,"")</f>
        <v>0.042</v>
      </c>
      <c r="AK39" s="20" t="s">
        <v>258</v>
      </c>
      <c r="AL39" s="21" t="s">
        <v>45</v>
      </c>
      <c r="AN39" s="19" t="n">
        <f aca="false">IFERROR(USD_GBP*LOOKUP(IF(AM39="",E39,AM39),{0,1,10,750,1500,3000},{0,0.1,0.1,0.014,0.008,0.006}),"")</f>
        <v>0.129337803855826</v>
      </c>
      <c r="AO39" s="19" t="n">
        <f aca="false">IFERROR(IF(AM39="",E39,AM39)*AN39,"")</f>
        <v>1.81072925398156</v>
      </c>
      <c r="AP39" s="20" t="s">
        <v>259</v>
      </c>
    </row>
    <row r="40" customFormat="false" ht="15" hidden="false" customHeight="false" outlineLevel="0" collapsed="false">
      <c r="A40" s="17" t="s">
        <v>260</v>
      </c>
      <c r="B40" s="17" t="s">
        <v>261</v>
      </c>
      <c r="C40" s="17" t="s">
        <v>215</v>
      </c>
      <c r="D40" s="17" t="s">
        <v>262</v>
      </c>
      <c r="E40" s="18" t="n">
        <f aca="false">BoardQty*2</f>
        <v>2</v>
      </c>
      <c r="F40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0.016</v>
      </c>
      <c r="G40" s="19" t="n">
        <f aca="false">IFERROR(E40*F40,"")</f>
        <v>0.032</v>
      </c>
      <c r="M40" s="18" t="n">
        <v>8850</v>
      </c>
      <c r="O40" s="19" t="n">
        <f aca="false">IFERROR(LOOKUP(IF(N40="",E40,N40),{0,1,10,100,1000,2500,5000,10000},{0,0.1,0.034,0.0139,0.00623,0.0054,0.00407,0.00353}),"")</f>
        <v>0.1</v>
      </c>
      <c r="P40" s="19" t="n">
        <f aca="false">IFERROR(IF(N40="",E40,N40)*O40,"")</f>
        <v>0.2</v>
      </c>
      <c r="Q40" s="20" t="s">
        <v>263</v>
      </c>
      <c r="R40" s="18" t="n">
        <v>105000</v>
      </c>
      <c r="T40" s="19" t="n">
        <f aca="false">IFERROR(USD_GBP*LOOKUP(IF(S40="",E40,S40),{0,1,10,100,150,500,1000,2500,20000,100000},{0,0.0353,0.0353,0.0141,0.0141,0.0124,0.0056,0.005,0.0033,0.003}),"")</f>
        <v>0.0456562447611065</v>
      </c>
      <c r="U40" s="19" t="n">
        <f aca="false">IFERROR(IF(S40="",E40,S40)*T40,"")</f>
        <v>0.091312489522213</v>
      </c>
      <c r="V40" s="20" t="s">
        <v>264</v>
      </c>
      <c r="AB40" s="18" t="n">
        <v>12388</v>
      </c>
      <c r="AD40" s="19" t="n">
        <f aca="false">IFERROR(LOOKUP(IF(AC40="",E40,AC40),{0,1,10,100,500,1000,5000},{0,0.1,0.037,0.026,0.015,0.005,0.004}),"")</f>
        <v>0.1</v>
      </c>
      <c r="AE40" s="19" t="n">
        <f aca="false">IFERROR(IF(AC40="",E40,AC40)*AD40,"")</f>
        <v>0.2</v>
      </c>
      <c r="AF40" s="20" t="s">
        <v>265</v>
      </c>
      <c r="AG40" s="18" t="n">
        <v>100000</v>
      </c>
      <c r="AI40" s="19" t="n">
        <f aca="false">IFERROR(LOOKUP(IF(AH40="",E40,AH40),{0,1,20000,30000,50000,100000,200000},{0,0.016,0.016,0.015,0.015,0.014,0.014}),"")</f>
        <v>0.016</v>
      </c>
      <c r="AJ40" s="19" t="n">
        <f aca="false">IFERROR(IF(AH40="",E40,AH40)*AI40,"")</f>
        <v>0.032</v>
      </c>
      <c r="AK40" s="20" t="s">
        <v>266</v>
      </c>
    </row>
    <row r="41" customFormat="false" ht="15" hidden="false" customHeight="false" outlineLevel="0" collapsed="false">
      <c r="A41" s="17" t="s">
        <v>267</v>
      </c>
      <c r="B41" s="17" t="s">
        <v>268</v>
      </c>
      <c r="C41" s="17" t="s">
        <v>215</v>
      </c>
      <c r="D41" s="17" t="s">
        <v>269</v>
      </c>
      <c r="E41" s="18" t="n">
        <f aca="false">BoardQty*1</f>
        <v>1</v>
      </c>
      <c r="F41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0.005</v>
      </c>
      <c r="G41" s="19" t="n">
        <f aca="false">IFERROR(E41*F41,"")</f>
        <v>0.005</v>
      </c>
      <c r="M41" s="18" t="n">
        <v>62003</v>
      </c>
      <c r="O41" s="19" t="n">
        <f aca="false">IFERROR(LOOKUP(IF(N41="",E41,N41),{0,1,10,100,1000,2500,5000,10000},{0,0.1,0.034,0.0139,0.00623,0.0054,0.00407,0.00353}),"")</f>
        <v>0.1</v>
      </c>
      <c r="P41" s="19" t="n">
        <f aca="false">IFERROR(IF(N41="",E41,N41)*O41,"")</f>
        <v>0.1</v>
      </c>
      <c r="Q41" s="20" t="s">
        <v>270</v>
      </c>
      <c r="R41" s="18" t="n">
        <v>78588</v>
      </c>
      <c r="T41" s="19" t="n">
        <f aca="false">IFERROR(USD_GBP*LOOKUP(IF(S41="",E41,S41),{0,1,10,100,150,500,1000,2500,5000,25000},{0,0.0353,0.0353,0.0141,0.0141,0.0124,0.0059,0.0053,0.0042,0.0034}),"")</f>
        <v>0.0456562447611065</v>
      </c>
      <c r="U41" s="19" t="n">
        <f aca="false">IFERROR(IF(S41="",E41,S41)*T41,"")</f>
        <v>0.0456562447611065</v>
      </c>
      <c r="V41" s="20" t="s">
        <v>271</v>
      </c>
      <c r="AB41" s="18" t="n">
        <v>18480</v>
      </c>
      <c r="AD41" s="19" t="n">
        <f aca="false">IFERROR(LOOKUP(IF(AC41="",E41,AC41),{0,1,10,100,500,1000,5000},{0,0.1,0.037,0.026,0.015,0.01,0.007}),"")</f>
        <v>0.1</v>
      </c>
      <c r="AE41" s="19" t="n">
        <f aca="false">IFERROR(IF(AC41="",E41,AC41)*AD41,"")</f>
        <v>0.1</v>
      </c>
      <c r="AF41" s="20" t="s">
        <v>272</v>
      </c>
      <c r="AG41" s="18" t="n">
        <v>55991</v>
      </c>
      <c r="AI41" s="19" t="n">
        <f aca="false">IFERROR(LOOKUP(IF(AH41="",E41,AH41),{0,1,10,25,50,100,250,500,1000,5000,10000},{0,0.005,0.1,0.037,0.032,0.026,0.021,0.015,0.01,0.003,0.003}),"")</f>
        <v>0.005</v>
      </c>
      <c r="AJ41" s="19" t="n">
        <f aca="false">IFERROR(IF(AH41="",E41,AH41)*AI41,"")</f>
        <v>0.005</v>
      </c>
      <c r="AK41" s="20" t="s">
        <v>273</v>
      </c>
      <c r="AL41" s="18" t="n">
        <v>63900</v>
      </c>
      <c r="AN41" s="19" t="n">
        <f aca="false">IFERROR(USD_GBP*LOOKUP(IF(AM41="",E41,AM41),{0,1,50,500,1000,1250,2500,5000,10000},{0,0.015,0.015,0.011,0.006,0.006,0.005,0.005,0.004}),"")</f>
        <v>0.0194006705783739</v>
      </c>
      <c r="AO41" s="19" t="n">
        <f aca="false">IFERROR(IF(AM41="",E41,AM41)*AN41,"")</f>
        <v>0.0194006705783739</v>
      </c>
      <c r="AP41" s="20" t="s">
        <v>274</v>
      </c>
    </row>
    <row r="42" customFormat="false" ht="15" hidden="false" customHeight="false" outlineLevel="0" collapsed="false">
      <c r="A42" s="17" t="s">
        <v>275</v>
      </c>
      <c r="B42" s="17" t="s">
        <v>276</v>
      </c>
      <c r="C42" s="17" t="s">
        <v>215</v>
      </c>
      <c r="D42" s="17" t="s">
        <v>277</v>
      </c>
      <c r="E42" s="18" t="n">
        <f aca="false">BoardQty*1</f>
        <v>1</v>
      </c>
      <c r="F42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0.00258675607711651</v>
      </c>
      <c r="G42" s="19" t="n">
        <f aca="false">IFERROR(E42*F42,"")</f>
        <v>0.00258675607711651</v>
      </c>
      <c r="M42" s="18" t="n">
        <v>63655</v>
      </c>
      <c r="O42" s="19" t="n">
        <f aca="false">IFERROR(LOOKUP(IF(N42="",E42,N42),{0,1,10,100,1000,2500,5000,10000},{0,0.1,0.034,0.0139,0.00623,0.0054,0.00407,0.00353}),"")</f>
        <v>0.1</v>
      </c>
      <c r="P42" s="19" t="n">
        <f aca="false">IFERROR(IF(N42="",E42,N42)*O42,"")</f>
        <v>0.1</v>
      </c>
      <c r="Q42" s="20" t="s">
        <v>278</v>
      </c>
      <c r="R42" s="18" t="n">
        <v>29909</v>
      </c>
      <c r="T42" s="19" t="n">
        <f aca="false">IFERROR(USD_GBP*LOOKUP(IF(S42="",E42,S42),{0,1,10,150,250,1000,5000,10000,25000,50000},{0,0.0123,0.0123,0.0123,0.0116,0.0042,0.0034,0.003,0.0026,0.0024}),"")</f>
        <v>0.0159085498742666</v>
      </c>
      <c r="U42" s="19" t="n">
        <f aca="false">IFERROR(IF(S42="",E42,S42)*T42,"")</f>
        <v>0.0159085498742666</v>
      </c>
      <c r="V42" s="20" t="s">
        <v>279</v>
      </c>
      <c r="AB42" s="18" t="n">
        <v>35850</v>
      </c>
      <c r="AD42" s="19" t="n">
        <f aca="false">IFERROR(LOOKUP(IF(AC42="",E42,AC42),{0,1,10,100,500,1000,5000},{0,0.1,0.04,0.028,0.016,0.006,0.005}),"")</f>
        <v>0.1</v>
      </c>
      <c r="AE42" s="19" t="n">
        <f aca="false">IFERROR(IF(AC42="",E42,AC42)*AD42,"")</f>
        <v>0.1</v>
      </c>
      <c r="AF42" s="20" t="s">
        <v>280</v>
      </c>
      <c r="AG42" s="18" t="n">
        <v>275000</v>
      </c>
      <c r="AI42" s="19" t="n">
        <f aca="false">IFERROR(LOOKUP(IF(AH42="",E42,AH42),{0,1,10,25,50,100,250,500,1000,5000,10000},{0,0.125,0.125,0.05,0.043,0.035,0.028,0.02,0.008,0.006,0.005}),"")</f>
        <v>0.125</v>
      </c>
      <c r="AJ42" s="19" t="n">
        <f aca="false">IFERROR(IF(AH42="",E42,AH42)*AI42,"")</f>
        <v>0.125</v>
      </c>
      <c r="AK42" s="20" t="s">
        <v>281</v>
      </c>
      <c r="AL42" s="18" t="n">
        <v>8300</v>
      </c>
      <c r="AN42" s="19" t="n">
        <f aca="false">IFERROR(USD_GBP*LOOKUP(IF(AM42="",E42,AM42),{0,1,50,5000,10000},{0,0.002,0.002,0.002,0.002}),"")</f>
        <v>0.00258675607711651</v>
      </c>
      <c r="AO42" s="19" t="n">
        <f aca="false">IFERROR(IF(AM42="",E42,AM42)*AN42,"")</f>
        <v>0.00258675607711651</v>
      </c>
      <c r="AP42" s="20" t="s">
        <v>282</v>
      </c>
    </row>
    <row r="43" customFormat="false" ht="15" hidden="false" customHeight="false" outlineLevel="0" collapsed="false">
      <c r="A43" s="17" t="s">
        <v>283</v>
      </c>
      <c r="B43" s="17" t="s">
        <v>284</v>
      </c>
      <c r="C43" s="17" t="s">
        <v>215</v>
      </c>
      <c r="D43" s="17" t="s">
        <v>285</v>
      </c>
      <c r="E43" s="18" t="n">
        <f aca="false">BoardQty*2</f>
        <v>2</v>
      </c>
      <c r="F43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0.0194006705783739</v>
      </c>
      <c r="G43" s="19" t="n">
        <f aca="false">IFERROR(E43*F43,"")</f>
        <v>0.0388013411567477</v>
      </c>
      <c r="M43" s="18" t="n">
        <v>99632</v>
      </c>
      <c r="O43" s="19" t="n">
        <f aca="false">IFERROR(LOOKUP(IF(N43="",E43,N43),{0,1,10,100,1000,2500,5000,10000},{0,0.1,0.034,0.0139,0.00623,0.0054,0.00407,0.00353}),"")</f>
        <v>0.1</v>
      </c>
      <c r="P43" s="19" t="n">
        <f aca="false">IFERROR(IF(N43="",E43,N43)*O43,"")</f>
        <v>0.2</v>
      </c>
      <c r="Q43" s="20" t="s">
        <v>286</v>
      </c>
      <c r="R43" s="18" t="n">
        <v>835000</v>
      </c>
      <c r="T43" s="19" t="n">
        <f aca="false">IFERROR(USD_GBP*LOOKUP(IF(S43="",E43,S43),{0,1,10,100,150,500,1000,2500,5000},{0,0.0353,0.0353,0.0141,0.0141,0.0124,0.0049,0.0045,0.0035}),"")</f>
        <v>0.0456562447611065</v>
      </c>
      <c r="U43" s="19" t="n">
        <f aca="false">IFERROR(IF(S43="",E43,S43)*T43,"")</f>
        <v>0.091312489522213</v>
      </c>
      <c r="V43" s="20" t="s">
        <v>287</v>
      </c>
      <c r="AB43" s="21" t="s">
        <v>45</v>
      </c>
      <c r="AD43" s="19" t="n">
        <f aca="false">IFERROR(LOOKUP(IF(AC43="",E43,AC43),{0,1,10,100,500,1000,5000,10000},{0,0.1,0.034,0.013,0.01,0.005,0.004,0.003}),"")</f>
        <v>0.1</v>
      </c>
      <c r="AE43" s="19" t="n">
        <f aca="false">IFERROR(IF(AC43="",E43,AC43)*AD43,"")</f>
        <v>0.2</v>
      </c>
      <c r="AF43" s="20" t="s">
        <v>288</v>
      </c>
      <c r="AG43" s="18" t="n">
        <v>95000</v>
      </c>
      <c r="AI43" s="19" t="n">
        <f aca="false">IFERROR(LOOKUP(IF(AH43="",E43,AH43),{0,1,10,25,50,100,250,500,1000,5000},{0,0.1,0.04,0.036,0.032,0.028,0.022,0.016,0.006,0.005}),"")</f>
        <v>0.1</v>
      </c>
      <c r="AJ43" s="19" t="n">
        <f aca="false">IFERROR(IF(AH43="",E43,AH43)*AI43,"")</f>
        <v>0.2</v>
      </c>
      <c r="AK43" s="20" t="s">
        <v>289</v>
      </c>
      <c r="AL43" s="18" t="n">
        <v>220550</v>
      </c>
      <c r="AN43" s="19" t="n">
        <f aca="false">IFERROR(USD_GBP*LOOKUP(IF(AM43="",E43,AM43),{0,1,50,500,1000,1250,5000,10000},{0,0.015,0.015,0.006,0.005,0.003,0.004,0.003}),"")</f>
        <v>0.0194006705783739</v>
      </c>
      <c r="AO43" s="19" t="n">
        <f aca="false">IFERROR(IF(AM43="",E43,AM43)*AN43,"")</f>
        <v>0.0388013411567477</v>
      </c>
      <c r="AP43" s="20" t="s">
        <v>290</v>
      </c>
      <c r="AQ43" s="21" t="s">
        <v>45</v>
      </c>
      <c r="AU43" s="20" t="s">
        <v>285</v>
      </c>
    </row>
    <row r="44" customFormat="false" ht="15" hidden="false" customHeight="false" outlineLevel="0" collapsed="false">
      <c r="A44" s="17" t="s">
        <v>291</v>
      </c>
      <c r="B44" s="17" t="s">
        <v>292</v>
      </c>
      <c r="C44" s="17" t="s">
        <v>293</v>
      </c>
      <c r="D44" s="17" t="s">
        <v>294</v>
      </c>
      <c r="E44" s="18" t="n">
        <f aca="false">BoardQty*1</f>
        <v>1</v>
      </c>
      <c r="F44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0.043</v>
      </c>
      <c r="G44" s="19" t="n">
        <f aca="false">IFERROR(E44*F44,"")</f>
        <v>0.043</v>
      </c>
      <c r="M44" s="18" t="n">
        <v>217683</v>
      </c>
      <c r="O44" s="19" t="n">
        <f aca="false">IFERROR(LOOKUP(IF(N44="",E44,N44),{0,1,10,25,50,100,250,500,1000,4000,8000},{0,0.29,0.242,0.176,0.1276,0.0946,0.0726,0.0572,0.0396,0.033,0.03}),"")</f>
        <v>0.29</v>
      </c>
      <c r="P44" s="19" t="n">
        <f aca="false">IFERROR(IF(N44="",E44,N44)*O44,"")</f>
        <v>0.29</v>
      </c>
      <c r="Q44" s="20" t="s">
        <v>295</v>
      </c>
      <c r="R44" s="18" t="n">
        <v>319204</v>
      </c>
      <c r="T44" s="19" t="n">
        <f aca="false">IFERROR(USD_GBP*LOOKUP(IF(S44="",E44,S44),{0,1,10,100,150,500,1000,2000},{0,0.13,0.13,0.0562,0.0562,0.0459,0.0318,0.0272}),"")</f>
        <v>0.168139145012573</v>
      </c>
      <c r="U44" s="19" t="n">
        <f aca="false">IFERROR(IF(S44="",E44,S44)*T44,"")</f>
        <v>0.168139145012573</v>
      </c>
      <c r="V44" s="20" t="s">
        <v>296</v>
      </c>
      <c r="AB44" s="18" t="n">
        <v>56157</v>
      </c>
      <c r="AD44" s="19" t="n">
        <f aca="false">IFERROR(LOOKUP(IF(AC44="",E44,AC44),{0,1,10,100,1000,4000,8000,24000},{0,0.3,0.14,0.062,0.041,0.034,0.029,0.027}),"")</f>
        <v>0.3</v>
      </c>
      <c r="AE44" s="19" t="n">
        <f aca="false">IFERROR(IF(AC44="",E44,AC44)*AD44,"")</f>
        <v>0.3</v>
      </c>
      <c r="AF44" s="20" t="s">
        <v>297</v>
      </c>
      <c r="AG44" s="18" t="n">
        <v>34460</v>
      </c>
      <c r="AI44" s="19" t="n">
        <f aca="false">IFERROR(LOOKUP(IF(AH44="",E44,AH44),{0,1,10,25,50,100,250,500,1000,4000,8000,16000,24000},{0,0.043,0.375,0.175,0.126,0.078,0.069,0.06,0.051,0.04,0.036,0.035,0.034}),"")</f>
        <v>0.043</v>
      </c>
      <c r="AJ44" s="19" t="n">
        <f aca="false">IFERROR(IF(AH44="",E44,AH44)*AI44,"")</f>
        <v>0.043</v>
      </c>
      <c r="AK44" s="20" t="s">
        <v>298</v>
      </c>
      <c r="AL44" s="21" t="s">
        <v>45</v>
      </c>
      <c r="AP44" s="20" t="s">
        <v>299</v>
      </c>
    </row>
    <row r="45" customFormat="false" ht="15" hidden="false" customHeight="false" outlineLevel="0" collapsed="false">
      <c r="A45" s="17" t="s">
        <v>300</v>
      </c>
      <c r="B45" s="17" t="s">
        <v>301</v>
      </c>
      <c r="C45" s="17" t="s">
        <v>215</v>
      </c>
      <c r="D45" s="17" t="s">
        <v>302</v>
      </c>
      <c r="E45" s="18" t="n">
        <f aca="false">BoardQty*1</f>
        <v>1</v>
      </c>
      <c r="F45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0.1</v>
      </c>
      <c r="G45" s="19" t="n">
        <f aca="false">IFERROR(E45*F45,"")</f>
        <v>0.1</v>
      </c>
      <c r="M45" s="18" t="n">
        <v>18395</v>
      </c>
      <c r="O45" s="19" t="n">
        <f aca="false">IFERROR(LOOKUP(IF(N45="",E45,N45),{0,1,10,100,1000,2500,5000,10000},{0,0.1,0.042,0.017,0.00763,0.00662,0.00498,0.00432}),"")</f>
        <v>0.1</v>
      </c>
      <c r="P45" s="19" t="n">
        <f aca="false">IFERROR(IF(N45="",E45,N45)*O45,"")</f>
        <v>0.1</v>
      </c>
      <c r="Q45" s="20" t="s">
        <v>303</v>
      </c>
      <c r="AB45" s="18" t="n">
        <v>831</v>
      </c>
      <c r="AD45" s="19" t="n">
        <f aca="false">IFERROR(LOOKUP(IF(AC45="",E45,AC45),{0,1,10,100,1000,5000,10000},{0,0.1,0.043,0.017,0.007,0.005,0.004}),"")</f>
        <v>0.1</v>
      </c>
      <c r="AE45" s="19" t="n">
        <f aca="false">IFERROR(IF(AC45="",E45,AC45)*AD45,"")</f>
        <v>0.1</v>
      </c>
      <c r="AF45" s="20" t="s">
        <v>304</v>
      </c>
      <c r="AG45" s="21" t="s">
        <v>45</v>
      </c>
      <c r="AK45" s="20" t="s">
        <v>305</v>
      </c>
    </row>
    <row r="46" customFormat="false" ht="15" hidden="false" customHeight="false" outlineLevel="0" collapsed="false">
      <c r="A46" s="17" t="s">
        <v>306</v>
      </c>
      <c r="B46" s="17" t="s">
        <v>208</v>
      </c>
      <c r="C46" s="17" t="s">
        <v>307</v>
      </c>
      <c r="D46" s="17" t="s">
        <v>308</v>
      </c>
      <c r="E46" s="18" t="n">
        <f aca="false">BoardQty*1</f>
        <v>1</v>
      </c>
      <c r="F46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0.017</v>
      </c>
      <c r="G46" s="19" t="n">
        <f aca="false">IFERROR(E46*F46,"")</f>
        <v>0.017</v>
      </c>
      <c r="M46" s="18" t="n">
        <v>513207</v>
      </c>
      <c r="O46" s="19" t="n">
        <f aca="false">IFERROR(LOOKUP(IF(N46="",E46,N46),{0,1,10,100,1000,2500,5000,10000},{0,0.1,0.069,0.0283,0.01269,0.01102,0.00827,0.00718}),"")</f>
        <v>0.1</v>
      </c>
      <c r="P46" s="19" t="n">
        <f aca="false">IFERROR(IF(N46="",E46,N46)*O46,"")</f>
        <v>0.1</v>
      </c>
      <c r="Q46" s="20" t="s">
        <v>309</v>
      </c>
      <c r="AB46" s="18" t="n">
        <v>218113</v>
      </c>
      <c r="AD46" s="19" t="n">
        <f aca="false">IFERROR(LOOKUP(IF(AC46="",E46,AC46),{0,1,10,100,1000,5000,10000,25000},{0,0.1,0.07,0.028,0.011,0.008,0.007,0.006}),"")</f>
        <v>0.1</v>
      </c>
      <c r="AE46" s="19" t="n">
        <f aca="false">IFERROR(IF(AC46="",E46,AC46)*AD46,"")</f>
        <v>0.1</v>
      </c>
      <c r="AF46" s="20" t="s">
        <v>310</v>
      </c>
      <c r="AG46" s="21" t="s">
        <v>45</v>
      </c>
      <c r="AI46" s="19" t="n">
        <f aca="false">IFERROR(LOOKUP(IF(AH46="",E46,AH46),{0,1,5000,10000},{0,0.017,0.016,0.012}),"")</f>
        <v>0.017</v>
      </c>
      <c r="AJ46" s="19" t="n">
        <f aca="false">IFERROR(IF(AH46="",E46,AH46)*AI46,"")</f>
        <v>0.017</v>
      </c>
      <c r="AK46" s="20" t="s">
        <v>311</v>
      </c>
    </row>
    <row r="47" customFormat="false" ht="15" hidden="false" customHeight="false" outlineLevel="0" collapsed="false">
      <c r="A47" s="17" t="s">
        <v>312</v>
      </c>
      <c r="B47" s="17" t="s">
        <v>313</v>
      </c>
      <c r="C47" s="17" t="s">
        <v>215</v>
      </c>
      <c r="D47" s="17" t="s">
        <v>314</v>
      </c>
      <c r="E47" s="18" t="n">
        <f aca="false">BoardQty*1</f>
        <v>1</v>
      </c>
      <c r="F47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0.003</v>
      </c>
      <c r="G47" s="19" t="n">
        <f aca="false">IFERROR(E47*F47,"")</f>
        <v>0.003</v>
      </c>
      <c r="M47" s="18" t="n">
        <v>7419</v>
      </c>
      <c r="O47" s="19" t="n">
        <f aca="false">IFERROR(LOOKUP(IF(N47="",E47,N47),{0,1,10,100,1000,2500,5000,10000},{0,0.1,0.034,0.0139,0.00623,0.0054,0.00407,0.00353}),"")</f>
        <v>0.1</v>
      </c>
      <c r="P47" s="19" t="n">
        <f aca="false">IFERROR(IF(N47="",E47,N47)*O47,"")</f>
        <v>0.1</v>
      </c>
      <c r="Q47" s="20" t="s">
        <v>315</v>
      </c>
      <c r="R47" s="18" t="n">
        <v>30000</v>
      </c>
      <c r="T47" s="19" t="n">
        <f aca="false">IFERROR(USD_GBP*LOOKUP(IF(S47="",E47,S47),{0,1,10,100,150,500,1000,2500,5000,25000},{0,0.0323,0.0323,0.0132,0.0132,0.0116,0.0058,0.0052,0.0044,0.0035}),"")</f>
        <v>0.0417761106454317</v>
      </c>
      <c r="U47" s="19" t="n">
        <f aca="false">IFERROR(IF(S47="",E47,S47)*T47,"")</f>
        <v>0.0417761106454317</v>
      </c>
      <c r="V47" s="20" t="s">
        <v>316</v>
      </c>
      <c r="AB47" s="18" t="n">
        <v>1249</v>
      </c>
      <c r="AD47" s="19" t="n">
        <f aca="false">IFERROR(LOOKUP(IF(AC47="",E47,AC47),{0,1,10,100,500,1000,5000},{0,0.1,0.037,0.026,0.015,0.006,0.005}),"")</f>
        <v>0.1</v>
      </c>
      <c r="AE47" s="19" t="n">
        <f aca="false">IFERROR(IF(AC47="",E47,AC47)*AD47,"")</f>
        <v>0.1</v>
      </c>
      <c r="AF47" s="20" t="s">
        <v>317</v>
      </c>
      <c r="AG47" s="18" t="n">
        <v>10000</v>
      </c>
      <c r="AI47" s="19" t="n">
        <f aca="false">IFERROR(LOOKUP(IF(AH47="",E47,AH47),{0,1,10,25,50,100,250,500,1000},{0,0.003,0.1,0.003,0.003,0.003,0.003,0.003,0.003}),"")</f>
        <v>0.003</v>
      </c>
      <c r="AJ47" s="19" t="n">
        <f aca="false">IFERROR(IF(AH47="",E47,AH47)*AI47,"")</f>
        <v>0.003</v>
      </c>
      <c r="AK47" s="20" t="s">
        <v>318</v>
      </c>
      <c r="AL47" s="21" t="s">
        <v>45</v>
      </c>
      <c r="AN47" s="19" t="n">
        <f aca="false">IFERROR(USD_GBP*LOOKUP(IF(AM47="",E47,AM47),{0,1,2,10},{0,19.1,15.92,14.07}),"")</f>
        <v>24.7035205364627</v>
      </c>
      <c r="AO47" s="19" t="n">
        <f aca="false">IFERROR(IF(AM47="",E47,AM47)*AN47,"")</f>
        <v>24.7035205364627</v>
      </c>
      <c r="AP47" s="20" t="s">
        <v>319</v>
      </c>
    </row>
    <row r="48" customFormat="false" ht="15" hidden="false" customHeight="false" outlineLevel="0" collapsed="false">
      <c r="A48" s="17" t="s">
        <v>320</v>
      </c>
      <c r="B48" s="17" t="s">
        <v>321</v>
      </c>
      <c r="C48" s="17" t="s">
        <v>215</v>
      </c>
      <c r="D48" s="17" t="s">
        <v>254</v>
      </c>
      <c r="E48" s="18" t="n">
        <f aca="false">BoardQty*3</f>
        <v>3</v>
      </c>
      <c r="F48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0.003</v>
      </c>
      <c r="G48" s="19" t="n">
        <f aca="false">IFERROR(E48*F48,"")</f>
        <v>0.009</v>
      </c>
      <c r="M48" s="18" t="n">
        <v>22168</v>
      </c>
      <c r="O48" s="19" t="n">
        <f aca="false">IFERROR(LOOKUP(IF(N48="",E48,N48),{0,1,10,100,1000,2500,5000,10000},{0,0.1,0.034,0.0139,0.00623,0.0054,0.00407,0.00353}),"")</f>
        <v>0.1</v>
      </c>
      <c r="P48" s="19" t="n">
        <f aca="false">IFERROR(IF(N48="",E48,N48)*O48,"")</f>
        <v>0.3</v>
      </c>
      <c r="Q48" s="20" t="s">
        <v>255</v>
      </c>
      <c r="R48" s="18" t="n">
        <v>8620</v>
      </c>
      <c r="T48" s="19" t="n">
        <f aca="false">IFERROR(USD_GBP*LOOKUP(IF(S48="",E48,S48),{0,1,25,50,100,250,500,5000,25000,50000},{0,0.0813,0.0301,0.026,0.0212,0.0171,0.0122,0.0016,0.0014,0.0012}),"")</f>
        <v>0.105151634534786</v>
      </c>
      <c r="U48" s="19" t="n">
        <f aca="false">IFERROR(IF(S48="",E48,S48)*T48,"")</f>
        <v>0.315454903604359</v>
      </c>
      <c r="V48" s="20" t="s">
        <v>256</v>
      </c>
      <c r="AB48" s="18" t="n">
        <v>22414</v>
      </c>
      <c r="AD48" s="19" t="n">
        <f aca="false">IFERROR(LOOKUP(IF(AC48="",E48,AC48),{0,1,10,100,500,1000,5000},{0,0.1,0.037,0.026,0.015,0.006,0.005}),"")</f>
        <v>0.1</v>
      </c>
      <c r="AE48" s="19" t="n">
        <f aca="false">IFERROR(IF(AC48="",E48,AC48)*AD48,"")</f>
        <v>0.3</v>
      </c>
      <c r="AF48" s="20" t="s">
        <v>257</v>
      </c>
      <c r="AG48" s="18" t="n">
        <v>35000</v>
      </c>
      <c r="AI48" s="19" t="n">
        <f aca="false">IFERROR(LOOKUP(IF(AH48="",E48,AH48),{0,1,25,50,100,250,500,1000,5000,10000},{0,0.003,0.003,0.003,0.003,0.003,0.003,0.003,0.005,0.004}),"")</f>
        <v>0.003</v>
      </c>
      <c r="AJ48" s="19" t="n">
        <f aca="false">IFERROR(IF(AH48="",E48,AH48)*AI48,"")</f>
        <v>0.009</v>
      </c>
      <c r="AK48" s="20" t="s">
        <v>258</v>
      </c>
      <c r="AL48" s="21" t="s">
        <v>45</v>
      </c>
      <c r="AN48" s="19" t="n">
        <f aca="false">IFERROR(USD_GBP*LOOKUP(IF(AM48="",E48,AM48),{0,1,10,750,1500,3000},{0,0.1,0.1,0.014,0.008,0.006}),"")</f>
        <v>0.129337803855826</v>
      </c>
      <c r="AO48" s="19" t="n">
        <f aca="false">IFERROR(IF(AM48="",E48,AM48)*AN48,"")</f>
        <v>0.388013411567477</v>
      </c>
      <c r="AP48" s="20" t="s">
        <v>259</v>
      </c>
    </row>
    <row r="49" customFormat="false" ht="15" hidden="false" customHeight="false" outlineLevel="0" collapsed="false">
      <c r="A49" s="17" t="s">
        <v>322</v>
      </c>
      <c r="B49" s="17" t="s">
        <v>323</v>
      </c>
      <c r="C49" s="17" t="s">
        <v>215</v>
      </c>
      <c r="D49" s="17" t="s">
        <v>324</v>
      </c>
      <c r="E49" s="18" t="n">
        <f aca="false">BoardQty*11</f>
        <v>11</v>
      </c>
      <c r="F49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0.0194006705783739</v>
      </c>
      <c r="G49" s="19" t="n">
        <f aca="false">IFERROR(E49*F49,"")</f>
        <v>0.213407376362112</v>
      </c>
      <c r="M49" s="18" t="n">
        <v>364823</v>
      </c>
      <c r="O49" s="19" t="n">
        <f aca="false">IFERROR(LOOKUP(IF(N49="",E49,N49),{0,1,10,100,1000,2500,5000,10000},{0,0.1,0.035,0.014,0.00631,0.00548,0.00409,0.00355}),"")</f>
        <v>0.035</v>
      </c>
      <c r="P49" s="19" t="n">
        <f aca="false">IFERROR(IF(N49="",E49,N49)*O49,"")</f>
        <v>0.385</v>
      </c>
      <c r="Q49" s="20" t="s">
        <v>325</v>
      </c>
      <c r="R49" s="18" t="n">
        <v>2760000</v>
      </c>
      <c r="T49" s="19" t="n">
        <f aca="false">IFERROR(USD_GBP*LOOKUP(IF(S49="",E49,S49),{0,1,10,100,150,500,1000,2500,5000},{0,0.0366,0.0366,0.0144,0.0144,0.0052,0.0044,0.0039,0.0033}),"")</f>
        <v>0.0473376362112322</v>
      </c>
      <c r="U49" s="19" t="n">
        <f aca="false">IFERROR(IF(S49="",E49,S49)*T49,"")</f>
        <v>0.520713998323554</v>
      </c>
      <c r="V49" s="20" t="s">
        <v>326</v>
      </c>
      <c r="AB49" s="18" t="n">
        <v>441324</v>
      </c>
      <c r="AD49" s="19" t="n">
        <f aca="false">IFERROR(LOOKUP(IF(AC49="",E49,AC49),{0,1,10,100,500,1000,5000},{0,0.1,0.037,0.015,0.006,0.004,0.004}),"")</f>
        <v>0.037</v>
      </c>
      <c r="AE49" s="19" t="n">
        <f aca="false">IFERROR(IF(AC49="",E49,AC49)*AD49,"")</f>
        <v>0.407</v>
      </c>
      <c r="AF49" s="20" t="s">
        <v>327</v>
      </c>
      <c r="AG49" s="18" t="n">
        <v>2440000</v>
      </c>
      <c r="AI49" s="19" t="n">
        <f aca="false">IFERROR(LOOKUP(IF(AH49="",E49,AH49),{0,1,10,25,50,100,250,500,1000,5000},{0,0.005,0.046,0.038,0.028,0.019,0.014,0.008,0.005,0.018}),"")</f>
        <v>0.046</v>
      </c>
      <c r="AJ49" s="19" t="n">
        <f aca="false">IFERROR(IF(AH49="",E49,AH49)*AI49,"")</f>
        <v>0.506</v>
      </c>
      <c r="AK49" s="20" t="s">
        <v>328</v>
      </c>
      <c r="AL49" s="18" t="n">
        <v>2187350</v>
      </c>
      <c r="AN49" s="19" t="n">
        <f aca="false">IFERROR(USD_GBP*LOOKUP(IF(AM49="",E49,AM49),{0,1,50,500,1000,1250,2500,5000,10000},{0,0.015,0.015,0.013,0.005,0.006,0.005,0.003,0.002}),"")</f>
        <v>0.0194006705783739</v>
      </c>
      <c r="AO49" s="19" t="n">
        <f aca="false">IFERROR(IF(AM49="",E49,AM49)*AN49,"")</f>
        <v>0.213407376362112</v>
      </c>
      <c r="AP49" s="20" t="s">
        <v>329</v>
      </c>
      <c r="AQ49" s="21" t="s">
        <v>45</v>
      </c>
      <c r="AU49" s="20" t="s">
        <v>324</v>
      </c>
    </row>
    <row r="50" customFormat="false" ht="15" hidden="false" customHeight="false" outlineLevel="0" collapsed="false">
      <c r="A50" s="17" t="s">
        <v>330</v>
      </c>
      <c r="B50" s="17" t="s">
        <v>331</v>
      </c>
      <c r="C50" s="17" t="s">
        <v>332</v>
      </c>
      <c r="D50" s="17" t="s">
        <v>333</v>
      </c>
      <c r="E50" s="18" t="n">
        <f aca="false">BoardQty*2</f>
        <v>2</v>
      </c>
      <c r="F50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28.816462699078</v>
      </c>
      <c r="G50" s="19" t="n">
        <f aca="false">IFERROR(E50*F50,"")</f>
        <v>57.6329253981559</v>
      </c>
      <c r="M50" s="18" t="n">
        <v>145</v>
      </c>
      <c r="O50" s="19" t="n">
        <f aca="false">IFERROR(LOOKUP(IF(N50="",E50,N50),{0,1,10,25,100,250},{0,31.29,28.854,27.5572,23.5045,22.3698}),"")</f>
        <v>31.29</v>
      </c>
      <c r="P50" s="19" t="n">
        <f aca="false">IFERROR(IF(N50="",E50,N50)*O50,"")</f>
        <v>62.58</v>
      </c>
      <c r="Q50" s="20" t="s">
        <v>334</v>
      </c>
      <c r="R50" s="18" t="n">
        <v>160</v>
      </c>
      <c r="T50" s="19" t="n">
        <f aca="false">IFERROR(USD_GBP*LOOKUP(IF(S50="",E50,S50),{0,1,5,10,25,50},{0,22.28,22.05,20.54,20.26,16.73}),"")</f>
        <v>28.816462699078</v>
      </c>
      <c r="U50" s="19" t="n">
        <f aca="false">IFERROR(IF(S50="",E50,S50)*T50,"")</f>
        <v>57.6329253981559</v>
      </c>
      <c r="V50" s="20" t="s">
        <v>335</v>
      </c>
      <c r="AB50" s="18" t="n">
        <v>145</v>
      </c>
      <c r="AD50" s="19" t="n">
        <f aca="false">IFERROR(LOOKUP(IF(AC50="",E50,AC50),{0,1,5,10,25,50,100,250,500,1000},{0,31.28,29.99,28.86,27.56,27.56,24.64,23.51,22.37,19.46}),"")</f>
        <v>31.28</v>
      </c>
      <c r="AE50" s="19" t="n">
        <f aca="false">IFERROR(IF(AC50="",E50,AC50)*AD50,"")</f>
        <v>62.56</v>
      </c>
      <c r="AF50" s="20" t="s">
        <v>336</v>
      </c>
    </row>
    <row r="51" customFormat="false" ht="15" hidden="false" customHeight="false" outlineLevel="0" collapsed="false">
      <c r="A51" s="17" t="s">
        <v>337</v>
      </c>
      <c r="B51" s="17" t="s">
        <v>338</v>
      </c>
      <c r="C51" s="17" t="s">
        <v>339</v>
      </c>
      <c r="D51" s="17" t="s">
        <v>338</v>
      </c>
      <c r="E51" s="18" t="n">
        <f aca="false">BoardQty*1</f>
        <v>1</v>
      </c>
      <c r="F51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1.36063369656329</v>
      </c>
      <c r="G51" s="19" t="n">
        <f aca="false">IFERROR(E51*F51,"")</f>
        <v>1.36063369656329</v>
      </c>
      <c r="M51" s="18" t="n">
        <v>106108</v>
      </c>
      <c r="O51" s="19" t="n">
        <f aca="false">IFERROR(LOOKUP(IF(N51="",E51,N51),{0,1,10,50,100,500,1000,3000,5000},{0,2.09,1.998,1.952,1.6731,1.62662,1.24638,1.183,1.14075}),"")</f>
        <v>2.09</v>
      </c>
      <c r="P51" s="19" t="n">
        <f aca="false">IFERROR(IF(N51="",E51,N51)*O51,"")</f>
        <v>2.09</v>
      </c>
      <c r="Q51" s="20" t="s">
        <v>340</v>
      </c>
      <c r="R51" s="18" t="n">
        <v>3985</v>
      </c>
      <c r="T51" s="19" t="n">
        <f aca="false">IFERROR(USD_GBP*LOOKUP(IF(S51="",E51,S51),{0,1,10,50,100,250,500,1000,5000},{0,1.38,1.38,1.06,0.974,0.905,0.902,1.29,1.07}),"")</f>
        <v>1.78486169321039</v>
      </c>
      <c r="U51" s="19" t="n">
        <f aca="false">IFERROR(IF(S51="",E51,S51)*T51,"")</f>
        <v>1.78486169321039</v>
      </c>
      <c r="V51" s="20" t="s">
        <v>341</v>
      </c>
      <c r="AB51" s="18" t="n">
        <v>11315</v>
      </c>
      <c r="AD51" s="19" t="n">
        <f aca="false">IFERROR(LOOKUP(IF(AC51="",E51,AC51),{0,1,10,50,100,500,1000,2000,5000,10000},{0,1.99,1.91,1.87,1.6,1.55,1.25,1.18,1.14,1.1}),"")</f>
        <v>1.99</v>
      </c>
      <c r="AE51" s="19" t="n">
        <f aca="false">IFERROR(IF(AC51="",E51,AC51)*AD51,"")</f>
        <v>1.99</v>
      </c>
      <c r="AF51" s="20" t="s">
        <v>342</v>
      </c>
      <c r="AG51" s="18" t="n">
        <v>1877</v>
      </c>
      <c r="AI51" s="19" t="n">
        <f aca="false">IFERROR(LOOKUP(IF(AH51="",E51,AH51),{0,1,10,25,50,100,250,500,1000,2000,3000,4000,5000,6000,10000},{0,1.42,1.58,1.51,1.49,1.31,1.29,1.27,1.42,1.11,1.36,1.08,1.31,1.05,1.27}),"")</f>
        <v>1.42</v>
      </c>
      <c r="AJ51" s="19" t="n">
        <f aca="false">IFERROR(IF(AH51="",E51,AH51)*AI51,"")</f>
        <v>1.42</v>
      </c>
      <c r="AK51" s="20" t="s">
        <v>343</v>
      </c>
      <c r="AL51" s="18" t="n">
        <v>5740</v>
      </c>
      <c r="AN51" s="19" t="n">
        <f aca="false">IFERROR(USD_GBP*LOOKUP(IF(AM51="",E51,AM51),{0,1,5,50,100,250,500,1000,4000},{0,1.052,1.052,0.984,0.844,0.802,0.764,0.768,0.749}),"")</f>
        <v>1.36063369656329</v>
      </c>
      <c r="AO51" s="19" t="n">
        <f aca="false">IFERROR(IF(AM51="",E51,AM51)*AN51,"")</f>
        <v>1.36063369656329</v>
      </c>
      <c r="AP51" s="20" t="s">
        <v>344</v>
      </c>
    </row>
    <row r="52" customFormat="false" ht="15" hidden="false" customHeight="false" outlineLevel="0" collapsed="false">
      <c r="A52" s="17" t="s">
        <v>345</v>
      </c>
      <c r="B52" s="17" t="s">
        <v>346</v>
      </c>
      <c r="C52" s="17" t="s">
        <v>347</v>
      </c>
      <c r="D52" s="17" t="s">
        <v>346</v>
      </c>
      <c r="E52" s="18" t="n">
        <f aca="false">BoardQty*2</f>
        <v>2</v>
      </c>
      <c r="F52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0.92</v>
      </c>
      <c r="G52" s="19" t="n">
        <f aca="false">IFERROR(E52*F52,"")</f>
        <v>1.84</v>
      </c>
      <c r="M52" s="18" t="n">
        <v>30029</v>
      </c>
      <c r="O52" s="19" t="n">
        <f aca="false">IFERROR(LOOKUP(IF(N52="",E52,N52),{0,1,10,25,50,100,250,500,1000,5000},{0,0.92,0.837,0.826,0.8212,0.7343,0.72792,0.71732,0.69145,0.62994}),"")</f>
        <v>0.92</v>
      </c>
      <c r="P52" s="19" t="n">
        <f aca="false">IFERROR(IF(N52="",E52,N52)*O52,"")</f>
        <v>1.84</v>
      </c>
      <c r="Q52" s="20" t="s">
        <v>348</v>
      </c>
      <c r="AL52" s="18" t="n">
        <v>240</v>
      </c>
      <c r="AN52" s="19" t="n">
        <f aca="false">IFERROR(USD_GBP*LOOKUP(IF(AM52="",E52,AM52),{0,1,10,20,50,90,100,180,250,270,540,1080},{0,0.718,0.718,0.704,0.69,0.699,0.631,0.624,0.626,0.619,0.61,0.587}),"")</f>
        <v>0.928645431684828</v>
      </c>
      <c r="AO52" s="19" t="n">
        <f aca="false">IFERROR(IF(AM52="",E52,AM52)*AN52,"")</f>
        <v>1.85729086336966</v>
      </c>
      <c r="AP52" s="20" t="s">
        <v>349</v>
      </c>
    </row>
    <row r="53" customFormat="false" ht="15" hidden="false" customHeight="false" outlineLevel="0" collapsed="false">
      <c r="A53" s="17" t="s">
        <v>350</v>
      </c>
      <c r="B53" s="17" t="s">
        <v>351</v>
      </c>
      <c r="C53" s="17" t="s">
        <v>352</v>
      </c>
      <c r="D53" s="17" t="s">
        <v>353</v>
      </c>
      <c r="E53" s="18" t="n">
        <f aca="false">BoardQty*1</f>
        <v>1</v>
      </c>
      <c r="F53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12.75</v>
      </c>
      <c r="G53" s="19" t="n">
        <f aca="false">IFERROR(E53*F53,"")</f>
        <v>12.75</v>
      </c>
      <c r="M53" s="18" t="n">
        <v>1799</v>
      </c>
      <c r="O53" s="19" t="n">
        <f aca="false">IFERROR(LOOKUP(IF(N53="",E53,N53),{0,1,10,25,100,250,500,1000},{0,12.75,11.719,11.2332,9.4116,8.8044,8.1972,7.77216}),"")</f>
        <v>12.75</v>
      </c>
      <c r="P53" s="19" t="n">
        <f aca="false">IFERROR(IF(N53="",E53,N53)*O53,"")</f>
        <v>12.75</v>
      </c>
      <c r="Q53" s="20" t="s">
        <v>354</v>
      </c>
      <c r="AB53" s="18" t="n">
        <v>465</v>
      </c>
      <c r="AD53" s="19" t="n">
        <f aca="false">IFERROR(LOOKUP(IF(AC53="",E53,AC53),{0,1,10,25,50,100,250},{0,12.75,11.71,11.12,11.12,9.41,8.8}),"")</f>
        <v>12.75</v>
      </c>
      <c r="AE53" s="19" t="n">
        <f aca="false">IFERROR(IF(AC53="",E53,AC53)*AD53,"")</f>
        <v>12.75</v>
      </c>
      <c r="AF53" s="20" t="s">
        <v>355</v>
      </c>
    </row>
    <row r="54" customFormat="false" ht="15" hidden="false" customHeight="false" outlineLevel="0" collapsed="false">
      <c r="A54" s="17" t="s">
        <v>356</v>
      </c>
      <c r="B54" s="17" t="s">
        <v>357</v>
      </c>
      <c r="C54" s="17" t="s">
        <v>358</v>
      </c>
      <c r="D54" s="17" t="s">
        <v>357</v>
      </c>
      <c r="E54" s="18" t="n">
        <f aca="false">BoardQty*1</f>
        <v>1</v>
      </c>
      <c r="F54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84.0723</v>
      </c>
      <c r="G54" s="19" t="n">
        <f aca="false">IFERROR(E54*F54,"")</f>
        <v>84.0723</v>
      </c>
      <c r="M54" s="21" t="s">
        <v>45</v>
      </c>
      <c r="O54" s="19" t="n">
        <f aca="false">IFERROR(LOOKUP(IF(N54="",E54,N54),{0,1,100},{0,84.0723,84.0723}),"")</f>
        <v>84.0723</v>
      </c>
      <c r="P54" s="19" t="n">
        <f aca="false">IFERROR(IF(N54="",E54,N54)*O54,"")</f>
        <v>84.0723</v>
      </c>
      <c r="Q54" s="20" t="s">
        <v>359</v>
      </c>
      <c r="AB54" s="18" t="n">
        <v>96</v>
      </c>
      <c r="AD54" s="19" t="n">
        <f aca="false">IFERROR(LOOKUP(IF(AC54="",E54,AC54),{0,1,5,10,25,50},{0,100.24,97,95.06,89.9,89.89}),"")</f>
        <v>100.24</v>
      </c>
      <c r="AE54" s="19" t="n">
        <f aca="false">IFERROR(IF(AC54="",E54,AC54)*AD54,"")</f>
        <v>100.24</v>
      </c>
      <c r="AF54" s="20" t="s">
        <v>360</v>
      </c>
    </row>
    <row r="55" customFormat="false" ht="15" hidden="false" customHeight="false" outlineLevel="0" collapsed="false">
      <c r="A55" s="17" t="s">
        <v>361</v>
      </c>
      <c r="B55" s="17" t="s">
        <v>362</v>
      </c>
      <c r="C55" s="17" t="s">
        <v>363</v>
      </c>
      <c r="D55" s="17" t="s">
        <v>362</v>
      </c>
      <c r="E55" s="18" t="n">
        <f aca="false">BoardQty*1</f>
        <v>1</v>
      </c>
      <c r="F55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4.38</v>
      </c>
      <c r="G55" s="19" t="n">
        <f aca="false">IFERROR(E55*F55,"")</f>
        <v>4.38</v>
      </c>
      <c r="M55" s="18" t="n">
        <v>47</v>
      </c>
      <c r="O55" s="19" t="n">
        <f aca="false">IFERROR(LOOKUP(IF(N55="",E55,N55),{0,1,500},{0,4.38,4.256}),"")</f>
        <v>4.38</v>
      </c>
      <c r="P55" s="19" t="n">
        <f aca="false">IFERROR(IF(N55="",E55,N55)*O55,"")</f>
        <v>4.38</v>
      </c>
      <c r="Q55" s="20" t="s">
        <v>364</v>
      </c>
      <c r="R55" s="21" t="s">
        <v>45</v>
      </c>
      <c r="T55" s="19" t="n">
        <f aca="false">IFERROR(USD_GBP*LOOKUP(IF(S55="",E55,S55),{0,1,10,25,100,150},{0,4.47,4.3,4.11,4.02,3.94}),"")</f>
        <v>5.78139983235541</v>
      </c>
      <c r="U55" s="19" t="n">
        <f aca="false">IFERROR(IF(S55="",E55,S55)*T55,"")</f>
        <v>5.78139983235541</v>
      </c>
      <c r="V55" s="20" t="s">
        <v>365</v>
      </c>
      <c r="AB55" s="18" t="n">
        <v>933</v>
      </c>
      <c r="AD55" s="19" t="n">
        <f aca="false">IFERROR(LOOKUP(IF(AC55="",E55,AC55),{0,1,10,25,100,250,500},{0,5.6,5.44,5.28,4.96,4.8,4.48}),"")</f>
        <v>5.6</v>
      </c>
      <c r="AE55" s="19" t="n">
        <f aca="false">IFERROR(IF(AC55="",E55,AC55)*AD55,"")</f>
        <v>5.6</v>
      </c>
      <c r="AF55" s="20" t="s">
        <v>366</v>
      </c>
      <c r="AG55" s="21" t="s">
        <v>45</v>
      </c>
      <c r="AK55" s="20" t="s">
        <v>367</v>
      </c>
      <c r="AQ55" s="21" t="s">
        <v>45</v>
      </c>
      <c r="AS55" s="19" t="n">
        <f aca="false">IFERROR(USD_GBP*LOOKUP(IF(AR55="",E55,AR55),{0,1,500},{0,3.64,3.64}),"")</f>
        <v>4.70789606035206</v>
      </c>
      <c r="AT55" s="19" t="n">
        <f aca="false">IFERROR(IF(AR55="",E55,AR55)*AS55,"")</f>
        <v>4.70789606035206</v>
      </c>
      <c r="AU55" s="20" t="s">
        <v>368</v>
      </c>
    </row>
    <row r="57" customFormat="false" ht="15" hidden="false" customHeight="false" outlineLevel="0" collapsed="false">
      <c r="B57" s="22" t="s">
        <v>369</v>
      </c>
      <c r="F57" s="1" t="s">
        <v>370</v>
      </c>
      <c r="G57" s="5" t="n">
        <f aca="true"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I57" s="6" t="n">
        <f aca="false">IFERROR(IF(OR(I7:I55),COUNTIFS(I7:I55,"&gt;0",K7:K55,"&lt;&gt;")&amp;" of "&amp;(ROWS(K7:K55)-COUNTBLANK(K7:K55))&amp;" parts purchased",""),"")</f>
        <v>0</v>
      </c>
      <c r="K57" s="5" t="n">
        <f aca="false">SUMIF(I7:I55,"&gt;0",K7:K55)</f>
        <v>0</v>
      </c>
      <c r="N57" s="6" t="str">
        <f aca="false">IFERROR(IF(OR(N7:N55),COUNTIFS(N7:N55,"&gt;0",P7:P55,"&lt;&gt;")&amp;" of "&amp;(ROWS(P7:P55)-COUNTBLANK(P7:P55))&amp;" parts purchased",""),"")</f>
        <v/>
      </c>
      <c r="P57" s="5" t="n">
        <f aca="false">SUMIF(N7:N55,"&gt;0",P7:P55)</f>
        <v>0</v>
      </c>
      <c r="S57" s="6" t="str">
        <f aca="false">IFERROR(IF(OR(S7:S55),COUNTIFS(S7:S55,"&gt;0",U7:U55,"&lt;&gt;")&amp;" of "&amp;(ROWS(U7:U55)-COUNTBLANK(U7:U55))&amp;" parts purchased",""),"")</f>
        <v/>
      </c>
      <c r="U57" s="5" t="n">
        <f aca="false">SUMIF(S7:S55,"&gt;0",U7:U55)</f>
        <v>0</v>
      </c>
      <c r="X57" s="6" t="str">
        <f aca="false">IFERROR(IF(OR(X7:X55),COUNTIFS(X7:X55,"&gt;0",Z7:Z55,"&lt;&gt;")&amp;" of "&amp;(ROWS(Z7:Z55)-COUNTBLANK(Z7:Z55))&amp;" parts purchased",""),"")</f>
        <v/>
      </c>
      <c r="Z57" s="5" t="n">
        <f aca="false">SUMIF(X7:X55,"&gt;0",Z7:Z55)</f>
        <v>0</v>
      </c>
      <c r="AC57" s="6" t="str">
        <f aca="false">IFERROR(IF(OR(AC7:AC55),COUNTIFS(AC7:AC55,"&gt;0",AE7:AE55,"&lt;&gt;")&amp;" of "&amp;(ROWS(AE7:AE55)-COUNTBLANK(AE7:AE55))&amp;" parts purchased",""),"")</f>
        <v/>
      </c>
      <c r="AE57" s="5" t="n">
        <f aca="false">SUMIF(AC7:AC55,"&gt;0",AE7:AE55)</f>
        <v>0</v>
      </c>
      <c r="AH57" s="6" t="str">
        <f aca="false">IFERROR(IF(OR(AH7:AH55),COUNTIFS(AH7:AH55,"&gt;0",AJ7:AJ55,"&lt;&gt;")&amp;" of "&amp;(ROWS(AJ7:AJ55)-COUNTBLANK(AJ7:AJ55))&amp;" parts purchased",""),"")</f>
        <v/>
      </c>
      <c r="AJ57" s="5" t="n">
        <f aca="false">SUMIF(AH7:AH55,"&gt;0",AJ7:AJ55)</f>
        <v>0</v>
      </c>
      <c r="AM57" s="6" t="str">
        <f aca="false">IFERROR(IF(OR(AM7:AM55),COUNTIFS(AM7:AM55,"&gt;0",AO7:AO55,"&lt;&gt;")&amp;" of "&amp;(ROWS(AO7:AO55)-COUNTBLANK(AO7:AO55))&amp;" parts purchased",""),"")</f>
        <v/>
      </c>
      <c r="AO57" s="5" t="n">
        <f aca="false">SUMIF(AM7:AM55,"&gt;0",AO7:AO55)</f>
        <v>0</v>
      </c>
      <c r="AR57" s="6" t="str">
        <f aca="false">IFERROR(IF(OR(AR7:AR55),COUNTIFS(AR7:AR55,"&gt;0",AT7:AT55,"&lt;&gt;")&amp;" of "&amp;(ROWS(AT7:AT55)-COUNTBLANK(AT7:AT55))&amp;" parts purchased",""),"")</f>
        <v/>
      </c>
      <c r="AT57" s="5" t="n">
        <f aca="false">SUMIF(AR7:AR55,"&gt;0",AT7:AT55)</f>
        <v>0</v>
      </c>
    </row>
    <row r="58" customFormat="false" ht="15" hidden="false" customHeight="false" outlineLevel="0" collapsed="false">
      <c r="B58" s="22" t="s">
        <v>371</v>
      </c>
      <c r="C58" s="0" t="n">
        <v>1.29337803855826</v>
      </c>
      <c r="F58" s="22" t="s">
        <v>372</v>
      </c>
      <c r="I58" s="0" t="str">
        <f aca="false" t="array" ref="I58:I58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58" s="0" t="str">
        <f aca="false" t="array" ref="N58:N58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58" s="0" t="str">
        <f aca="false" t="array" ref="S58:S58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58" s="6" t="str">
        <f aca="false">IFERROR(IF(COUNTIFS(X7:X55,"&gt;0",Z7:Z55,"&lt;&gt;")&gt;0,"Quantity,Comment,Designator,Footprint,LCSC Part #(optional)",""),"")</f>
        <v/>
      </c>
      <c r="AC58" s="0" t="str">
        <f aca="false" t="array" ref="AC58:AC58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58" s="0" t="str">
        <f aca="false" t="array" ref="AH58:AH58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58" s="0" t="str">
        <f aca="false" t="array" ref="AM58:AM58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58" s="0" t="str">
        <f aca="false" t="array" ref="AR58:AR58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59" customFormat="false" ht="15" hidden="false" customHeight="false" outlineLevel="0" collapsed="false">
      <c r="I59" s="0" t="str">
        <f aca="false" t="array" ref="I59:I59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59" s="0" t="str">
        <f aca="false" t="array" ref="N59:N59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59" s="0" t="str">
        <f aca="false" t="array" ref="S59:S59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59" s="0" t="str">
        <f aca="false" t="array" ref="X59:X59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59" s="0" t="str">
        <f aca="false" t="array" ref="AC59:AC59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59" s="0" t="str">
        <f aca="false" t="array" ref="AH59:AH59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59" s="0" t="str">
        <f aca="false" t="array" ref="AM59:AM59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59" s="0" t="str">
        <f aca="false" t="array" ref="AR59:AR59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60" customFormat="false" ht="15" hidden="false" customHeight="false" outlineLevel="0" collapsed="false">
      <c r="A60" s="2" t="s">
        <v>373</v>
      </c>
      <c r="I60" s="0" t="str">
        <f aca="false" t="array" ref="I60:I60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60" s="0" t="str">
        <f aca="false" t="array" ref="N60:N60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60" s="0" t="str">
        <f aca="false" t="array" ref="S60:S60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60" s="0" t="str">
        <f aca="false" t="array" ref="X60:X60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60" s="0" t="str">
        <f aca="false" t="array" ref="AC60:AC60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60" s="0" t="str">
        <f aca="false" t="array" ref="AH60:AH60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60" s="0" t="str">
        <f aca="false" t="array" ref="AM60:AM60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60" s="0" t="str">
        <f aca="false" t="array" ref="AR60:AR60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61" customFormat="false" ht="15" hidden="false" customHeight="false" outlineLevel="0" collapsed="false">
      <c r="I61" s="0" t="str">
        <f aca="false" t="array" ref="I61:I61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61" s="0" t="str">
        <f aca="false" t="array" ref="N61:N61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61" s="0" t="str">
        <f aca="false" t="array" ref="S61:S61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61" s="0" t="str">
        <f aca="false" t="array" ref="X61:X61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61" s="0" t="str">
        <f aca="false" t="array" ref="AC61:AC61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61" s="0" t="str">
        <f aca="false" t="array" ref="AH61:AH61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61" s="0" t="str">
        <f aca="false" t="array" ref="AM61:AM61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61" s="0" t="str">
        <f aca="false" t="array" ref="AR61:AR61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62" customFormat="false" ht="15" hidden="false" customHeight="false" outlineLevel="0" collapsed="false">
      <c r="I62" s="0" t="str">
        <f aca="false" t="array" ref="I62:I62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62" s="0" t="str">
        <f aca="false" t="array" ref="N62:N62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62" s="0" t="str">
        <f aca="false" t="array" ref="S62:S62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62" s="0" t="str">
        <f aca="false" t="array" ref="X62:X62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62" s="0" t="str">
        <f aca="false" t="array" ref="AC62:AC62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62" s="0" t="str">
        <f aca="false" t="array" ref="AH62:AH62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62" s="0" t="str">
        <f aca="false" t="array" ref="AM62:AM62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62" s="0" t="str">
        <f aca="false" t="array" ref="AR62:AR62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63" customFormat="false" ht="15" hidden="false" customHeight="false" outlineLevel="0" collapsed="false">
      <c r="I63" s="0" t="str">
        <f aca="false" t="array" ref="I63:I63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63" s="0" t="str">
        <f aca="false" t="array" ref="N63:N63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63" s="0" t="str">
        <f aca="false" t="array" ref="S63:S63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63" s="0" t="str">
        <f aca="false" t="array" ref="X63:X63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63" s="0" t="str">
        <f aca="false" t="array" ref="AC63:AC63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63" s="0" t="str">
        <f aca="false" t="array" ref="AH63:AH63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63" s="0" t="str">
        <f aca="false" t="array" ref="AM63:AM63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63" s="0" t="str">
        <f aca="false" t="array" ref="AR63:AR63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64" customFormat="false" ht="15" hidden="false" customHeight="false" outlineLevel="0" collapsed="false">
      <c r="I64" s="0" t="str">
        <f aca="false" t="array" ref="I64:I64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64" s="0" t="str">
        <f aca="false" t="array" ref="N64:N64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64" s="0" t="str">
        <f aca="false" t="array" ref="S64:S64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64" s="0" t="str">
        <f aca="false" t="array" ref="X64:X64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64" s="0" t="str">
        <f aca="false" t="array" ref="AC64:AC64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64" s="0" t="str">
        <f aca="false" t="array" ref="AH64:AH64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64" s="0" t="str">
        <f aca="false" t="array" ref="AM64:AM64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64" s="0" t="str">
        <f aca="false" t="array" ref="AR64:AR64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65" customFormat="false" ht="15" hidden="false" customHeight="false" outlineLevel="0" collapsed="false">
      <c r="I65" s="0" t="str">
        <f aca="false" t="array" ref="I65:I65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65" s="0" t="str">
        <f aca="false" t="array" ref="N65:N65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65" s="0" t="str">
        <f aca="false" t="array" ref="S65:S65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65" s="0" t="str">
        <f aca="false" t="array" ref="X65:X65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65" s="0" t="str">
        <f aca="false" t="array" ref="AC65:AC65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65" s="0" t="str">
        <f aca="false" t="array" ref="AH65:AH65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65" s="0" t="str">
        <f aca="false" t="array" ref="AM65:AM65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65" s="0" t="str">
        <f aca="false" t="array" ref="AR65:AR65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66" customFormat="false" ht="15" hidden="false" customHeight="false" outlineLevel="0" collapsed="false">
      <c r="I66" s="0" t="str">
        <f aca="false" t="array" ref="I66:I66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66" s="0" t="str">
        <f aca="false" t="array" ref="N66:N66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66" s="0" t="str">
        <f aca="false" t="array" ref="S66:S66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66" s="0" t="str">
        <f aca="false" t="array" ref="X66:X66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66" s="0" t="str">
        <f aca="false" t="array" ref="AC66:AC66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66" s="0" t="str">
        <f aca="false" t="array" ref="AH66:AH66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66" s="0" t="str">
        <f aca="false" t="array" ref="AM66:AM66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66" s="0" t="str">
        <f aca="false" t="array" ref="AR66:AR66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67" customFormat="false" ht="15" hidden="false" customHeight="false" outlineLevel="0" collapsed="false">
      <c r="I67" s="0" t="str">
        <f aca="false" t="array" ref="I67:I67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67" s="0" t="str">
        <f aca="false" t="array" ref="N67:N67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67" s="0" t="str">
        <f aca="false" t="array" ref="S67:S67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67" s="0" t="str">
        <f aca="false" t="array" ref="X67:X67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67" s="0" t="str">
        <f aca="false" t="array" ref="AC67:AC67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67" s="0" t="str">
        <f aca="false" t="array" ref="AH67:AH67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67" s="0" t="str">
        <f aca="false" t="array" ref="AM67:AM67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67" s="0" t="str">
        <f aca="false" t="array" ref="AR67:AR67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68" customFormat="false" ht="15" hidden="false" customHeight="false" outlineLevel="0" collapsed="false">
      <c r="I68" s="0" t="str">
        <f aca="false" t="array" ref="I68:I68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68" s="0" t="str">
        <f aca="false" t="array" ref="N68:N68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68" s="0" t="str">
        <f aca="false" t="array" ref="S68:S68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68" s="0" t="str">
        <f aca="false" t="array" ref="X68:X68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68" s="0" t="str">
        <f aca="false" t="array" ref="AC68:AC68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68" s="0" t="str">
        <f aca="false" t="array" ref="AH68:AH68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68" s="0" t="str">
        <f aca="false" t="array" ref="AM68:AM68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68" s="0" t="str">
        <f aca="false" t="array" ref="AR68:AR68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69" customFormat="false" ht="15" hidden="false" customHeight="false" outlineLevel="0" collapsed="false">
      <c r="I69" s="0" t="str">
        <f aca="false" t="array" ref="I69:I69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69" s="0" t="str">
        <f aca="false" t="array" ref="N69:N69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69" s="0" t="str">
        <f aca="false" t="array" ref="S69:S69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69" s="0" t="str">
        <f aca="false" t="array" ref="X69:X69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69" s="0" t="str">
        <f aca="false" t="array" ref="AC69:AC69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69" s="0" t="str">
        <f aca="false" t="array" ref="AH69:AH69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69" s="0" t="str">
        <f aca="false" t="array" ref="AM69:AM69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69" s="0" t="str">
        <f aca="false" t="array" ref="AR69:AR69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70" customFormat="false" ht="15" hidden="false" customHeight="false" outlineLevel="0" collapsed="false">
      <c r="I70" s="0" t="str">
        <f aca="false" t="array" ref="I70:I70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70" s="0" t="str">
        <f aca="false" t="array" ref="N70:N70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70" s="0" t="str">
        <f aca="false" t="array" ref="S70:S70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70" s="0" t="str">
        <f aca="false" t="array" ref="X70:X70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70" s="0" t="str">
        <f aca="false" t="array" ref="AC70:AC70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70" s="0" t="str">
        <f aca="false" t="array" ref="AH70:AH70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70" s="0" t="str">
        <f aca="false" t="array" ref="AM70:AM70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70" s="0" t="str">
        <f aca="false" t="array" ref="AR70:AR70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71" customFormat="false" ht="15" hidden="false" customHeight="false" outlineLevel="0" collapsed="false">
      <c r="I71" s="0" t="str">
        <f aca="false" t="array" ref="I71:I71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71" s="0" t="str">
        <f aca="false" t="array" ref="N71:N71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71" s="0" t="str">
        <f aca="false" t="array" ref="S71:S71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71" s="0" t="str">
        <f aca="false" t="array" ref="X71:X71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71" s="0" t="str">
        <f aca="false" t="array" ref="AC71:AC71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71" s="0" t="str">
        <f aca="false" t="array" ref="AH71:AH71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71" s="0" t="str">
        <f aca="false" t="array" ref="AM71:AM71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71" s="0" t="str">
        <f aca="false" t="array" ref="AR71:AR71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72" customFormat="false" ht="15" hidden="false" customHeight="false" outlineLevel="0" collapsed="false">
      <c r="I72" s="0" t="str">
        <f aca="false" t="array" ref="I72:I72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72" s="0" t="str">
        <f aca="false" t="array" ref="N72:N72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72" s="0" t="str">
        <f aca="false" t="array" ref="S72:S72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72" s="0" t="str">
        <f aca="false" t="array" ref="X72:X72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72" s="0" t="str">
        <f aca="false" t="array" ref="AC72:AC72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72" s="0" t="str">
        <f aca="false" t="array" ref="AH72:AH72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72" s="0" t="str">
        <f aca="false" t="array" ref="AM72:AM72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72" s="0" t="str">
        <f aca="false" t="array" ref="AR72:AR72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73" customFormat="false" ht="15" hidden="false" customHeight="false" outlineLevel="0" collapsed="false">
      <c r="I73" s="0" t="str">
        <f aca="false" t="array" ref="I73:I73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73" s="0" t="str">
        <f aca="false" t="array" ref="N73:N73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73" s="0" t="str">
        <f aca="false" t="array" ref="S73:S73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73" s="0" t="str">
        <f aca="false" t="array" ref="X73:X73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73" s="0" t="str">
        <f aca="false" t="array" ref="AC73:AC73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73" s="0" t="str">
        <f aca="false" t="array" ref="AH73:AH73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73" s="0" t="str">
        <f aca="false" t="array" ref="AM73:AM73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73" s="0" t="str">
        <f aca="false" t="array" ref="AR73:AR73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74" customFormat="false" ht="15" hidden="false" customHeight="false" outlineLevel="0" collapsed="false">
      <c r="I74" s="0" t="str">
        <f aca="false" t="array" ref="I74:I74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74" s="0" t="str">
        <f aca="false" t="array" ref="N74:N74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74" s="0" t="str">
        <f aca="false" t="array" ref="S74:S74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74" s="0" t="str">
        <f aca="false" t="array" ref="X74:X74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74" s="0" t="str">
        <f aca="false" t="array" ref="AC74:AC74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74" s="0" t="str">
        <f aca="false" t="array" ref="AH74:AH74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74" s="0" t="str">
        <f aca="false" t="array" ref="AM74:AM74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74" s="0" t="str">
        <f aca="false" t="array" ref="AR74:AR74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75" customFormat="false" ht="15" hidden="false" customHeight="false" outlineLevel="0" collapsed="false">
      <c r="I75" s="0" t="str">
        <f aca="false" t="array" ref="I75:I75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75" s="0" t="str">
        <f aca="false" t="array" ref="N75:N75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75" s="0" t="str">
        <f aca="false" t="array" ref="S75:S75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75" s="0" t="str">
        <f aca="false" t="array" ref="X75:X75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75" s="0" t="str">
        <f aca="false" t="array" ref="AC75:AC75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75" s="0" t="str">
        <f aca="false" t="array" ref="AH75:AH75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75" s="0" t="str">
        <f aca="false" t="array" ref="AM75:AM75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75" s="0" t="str">
        <f aca="false" t="array" ref="AR75:AR75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76" customFormat="false" ht="15" hidden="false" customHeight="false" outlineLevel="0" collapsed="false">
      <c r="I76" s="0" t="str">
        <f aca="false" t="array" ref="I76:I76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76" s="0" t="str">
        <f aca="false" t="array" ref="N76:N76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76" s="0" t="str">
        <f aca="false" t="array" ref="S76:S76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76" s="0" t="str">
        <f aca="false" t="array" ref="X76:X76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76" s="0" t="str">
        <f aca="false" t="array" ref="AC76:AC76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76" s="0" t="str">
        <f aca="false" t="array" ref="AH76:AH76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76" s="0" t="str">
        <f aca="false" t="array" ref="AM76:AM76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76" s="0" t="str">
        <f aca="false" t="array" ref="AR76:AR76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77" customFormat="false" ht="15" hidden="false" customHeight="false" outlineLevel="0" collapsed="false">
      <c r="I77" s="0" t="str">
        <f aca="false" t="array" ref="I77:I77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77" s="0" t="str">
        <f aca="false" t="array" ref="N77:N77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77" s="0" t="str">
        <f aca="false" t="array" ref="S77:S77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77" s="0" t="str">
        <f aca="false" t="array" ref="X77:X77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77" s="0" t="str">
        <f aca="false" t="array" ref="AC77:AC77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77" s="0" t="str">
        <f aca="false" t="array" ref="AH77:AH77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77" s="0" t="str">
        <f aca="false" t="array" ref="AM77:AM77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77" s="0" t="str">
        <f aca="false" t="array" ref="AR77:AR77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78" customFormat="false" ht="15" hidden="false" customHeight="false" outlineLevel="0" collapsed="false">
      <c r="I78" s="0" t="str">
        <f aca="false" t="array" ref="I78:I78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78" s="0" t="str">
        <f aca="false" t="array" ref="N78:N78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78" s="0" t="str">
        <f aca="false" t="array" ref="S78:S78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78" s="0" t="str">
        <f aca="false" t="array" ref="X78:X78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78" s="0" t="str">
        <f aca="false" t="array" ref="AC78:AC78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78" s="0" t="str">
        <f aca="false" t="array" ref="AH78:AH78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78" s="0" t="str">
        <f aca="false" t="array" ref="AM78:AM78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78" s="0" t="str">
        <f aca="false" t="array" ref="AR78:AR78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79" customFormat="false" ht="15" hidden="false" customHeight="false" outlineLevel="0" collapsed="false">
      <c r="I79" s="0" t="str">
        <f aca="false" t="array" ref="I79:I79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79" s="0" t="str">
        <f aca="false" t="array" ref="N79:N79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79" s="0" t="str">
        <f aca="false" t="array" ref="S79:S79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79" s="0" t="str">
        <f aca="false" t="array" ref="X79:X79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79" s="0" t="str">
        <f aca="false" t="array" ref="AC79:AC79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79" s="0" t="str">
        <f aca="false" t="array" ref="AH79:AH79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79" s="0" t="str">
        <f aca="false" t="array" ref="AM79:AM79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79" s="0" t="str">
        <f aca="false" t="array" ref="AR79:AR79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80" customFormat="false" ht="15" hidden="false" customHeight="false" outlineLevel="0" collapsed="false">
      <c r="I80" s="0" t="str">
        <f aca="false" t="array" ref="I80:I80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80" s="0" t="str">
        <f aca="false" t="array" ref="N80:N80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80" s="0" t="str">
        <f aca="false" t="array" ref="S80:S80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80" s="0" t="str">
        <f aca="false" t="array" ref="X80:X80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80" s="0" t="str">
        <f aca="false" t="array" ref="AC80:AC80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80" s="0" t="str">
        <f aca="false" t="array" ref="AH80:AH80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80" s="0" t="str">
        <f aca="false" t="array" ref="AM80:AM80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80" s="0" t="str">
        <f aca="false" t="array" ref="AR80:AR80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81" customFormat="false" ht="15" hidden="false" customHeight="false" outlineLevel="0" collapsed="false">
      <c r="I81" s="0" t="str">
        <f aca="false" t="array" ref="I81:I81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81" s="0" t="str">
        <f aca="false" t="array" ref="N81:N81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81" s="0" t="str">
        <f aca="false" t="array" ref="S81:S81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81" s="0" t="str">
        <f aca="false" t="array" ref="X81:X81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81" s="0" t="str">
        <f aca="false" t="array" ref="AC81:AC81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81" s="0" t="str">
        <f aca="false" t="array" ref="AH81:AH81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81" s="0" t="str">
        <f aca="false" t="array" ref="AM81:AM81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81" s="0" t="str">
        <f aca="false" t="array" ref="AR81:AR81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82" customFormat="false" ht="15" hidden="false" customHeight="false" outlineLevel="0" collapsed="false">
      <c r="I82" s="0" t="str">
        <f aca="false" t="array" ref="I82:I82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82" s="0" t="str">
        <f aca="false" t="array" ref="N82:N82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82" s="0" t="str">
        <f aca="false" t="array" ref="S82:S82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82" s="0" t="str">
        <f aca="false" t="array" ref="X82:X82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82" s="0" t="str">
        <f aca="false" t="array" ref="AC82:AC82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82" s="0" t="str">
        <f aca="false" t="array" ref="AH82:AH82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82" s="0" t="str">
        <f aca="false" t="array" ref="AM82:AM82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82" s="0" t="str">
        <f aca="false" t="array" ref="AR82:AR82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83" customFormat="false" ht="15" hidden="false" customHeight="false" outlineLevel="0" collapsed="false">
      <c r="I83" s="0" t="str">
        <f aca="false" t="array" ref="I83:I83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83" s="0" t="str">
        <f aca="false" t="array" ref="N83:N83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83" s="0" t="str">
        <f aca="false" t="array" ref="S83:S83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83" s="0" t="str">
        <f aca="false" t="array" ref="X83:X83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83" s="0" t="str">
        <f aca="false" t="array" ref="AC83:AC83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83" s="0" t="str">
        <f aca="false" t="array" ref="AH83:AH83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83" s="0" t="str">
        <f aca="false" t="array" ref="AM83:AM83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83" s="0" t="str">
        <f aca="false" t="array" ref="AR83:AR83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84" customFormat="false" ht="15" hidden="false" customHeight="false" outlineLevel="0" collapsed="false">
      <c r="I84" s="0" t="str">
        <f aca="false" t="array" ref="I84:I84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84" s="0" t="str">
        <f aca="false" t="array" ref="N84:N84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84" s="0" t="str">
        <f aca="false" t="array" ref="S84:S84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84" s="0" t="str">
        <f aca="false" t="array" ref="X84:X84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84" s="0" t="str">
        <f aca="false" t="array" ref="AC84:AC84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84" s="0" t="str">
        <f aca="false" t="array" ref="AH84:AH84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84" s="0" t="str">
        <f aca="false" t="array" ref="AM84:AM84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84" s="0" t="str">
        <f aca="false" t="array" ref="AR84:AR84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85" customFormat="false" ht="15" hidden="false" customHeight="false" outlineLevel="0" collapsed="false">
      <c r="I85" s="0" t="str">
        <f aca="false" t="array" ref="I85:I85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85" s="0" t="str">
        <f aca="false" t="array" ref="N85:N85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85" s="0" t="str">
        <f aca="false" t="array" ref="S85:S85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85" s="0" t="str">
        <f aca="false" t="array" ref="X85:X85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85" s="0" t="str">
        <f aca="false" t="array" ref="AC85:AC85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85" s="0" t="str">
        <f aca="false" t="array" ref="AH85:AH85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85" s="0" t="str">
        <f aca="false" t="array" ref="AM85:AM85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85" s="0" t="str">
        <f aca="false" t="array" ref="AR85:AR85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86" customFormat="false" ht="15" hidden="false" customHeight="false" outlineLevel="0" collapsed="false">
      <c r="I86" s="0" t="str">
        <f aca="false" t="array" ref="I86:I86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86" s="0" t="str">
        <f aca="false" t="array" ref="N86:N86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86" s="0" t="str">
        <f aca="false" t="array" ref="S86:S86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86" s="0" t="str">
        <f aca="false" t="array" ref="X86:X86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86" s="0" t="str">
        <f aca="false" t="array" ref="AC86:AC86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86" s="0" t="str">
        <f aca="false" t="array" ref="AH86:AH86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86" s="0" t="str">
        <f aca="false" t="array" ref="AM86:AM86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86" s="0" t="str">
        <f aca="false" t="array" ref="AR86:AR86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87" customFormat="false" ht="15" hidden="false" customHeight="false" outlineLevel="0" collapsed="false">
      <c r="I87" s="0" t="str">
        <f aca="false" t="array" ref="I87:I87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87" s="0" t="str">
        <f aca="false" t="array" ref="N87:N87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87" s="0" t="str">
        <f aca="false" t="array" ref="S87:S87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87" s="0" t="str">
        <f aca="false" t="array" ref="X87:X87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87" s="0" t="str">
        <f aca="false" t="array" ref="AC87:AC87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87" s="0" t="str">
        <f aca="false" t="array" ref="AH87:AH87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87" s="0" t="str">
        <f aca="false" t="array" ref="AM87:AM87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87" s="0" t="str">
        <f aca="false" t="array" ref="AR87:AR87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88" customFormat="false" ht="15" hidden="false" customHeight="false" outlineLevel="0" collapsed="false">
      <c r="I88" s="0" t="str">
        <f aca="false" t="array" ref="I88:I88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88" s="0" t="str">
        <f aca="false" t="array" ref="N88:N88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88" s="0" t="str">
        <f aca="false" t="array" ref="S88:S88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88" s="0" t="str">
        <f aca="false" t="array" ref="X88:X88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88" s="0" t="str">
        <f aca="false" t="array" ref="AC88:AC88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88" s="0" t="str">
        <f aca="false" t="array" ref="AH88:AH88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88" s="0" t="str">
        <f aca="false" t="array" ref="AM88:AM88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88" s="0" t="str">
        <f aca="false" t="array" ref="AR88:AR88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89" customFormat="false" ht="15" hidden="false" customHeight="false" outlineLevel="0" collapsed="false">
      <c r="I89" s="0" t="str">
        <f aca="false" t="array" ref="I89:I89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89" s="0" t="str">
        <f aca="false" t="array" ref="N89:N89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89" s="0" t="str">
        <f aca="false" t="array" ref="S89:S89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89" s="0" t="str">
        <f aca="false" t="array" ref="X89:X89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89" s="0" t="str">
        <f aca="false" t="array" ref="AC89:AC89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89" s="0" t="str">
        <f aca="false" t="array" ref="AH89:AH89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89" s="0" t="str">
        <f aca="false" t="array" ref="AM89:AM89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89" s="0" t="str">
        <f aca="false" t="array" ref="AR89:AR89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90" customFormat="false" ht="15" hidden="false" customHeight="false" outlineLevel="0" collapsed="false">
      <c r="I90" s="0" t="str">
        <f aca="false" t="array" ref="I90:I90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90" s="0" t="str">
        <f aca="false" t="array" ref="N90:N90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90" s="0" t="str">
        <f aca="false" t="array" ref="S90:S90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90" s="0" t="str">
        <f aca="false" t="array" ref="X90:X90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90" s="0" t="str">
        <f aca="false" t="array" ref="AC90:AC90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90" s="0" t="str">
        <f aca="false" t="array" ref="AH90:AH90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90" s="0" t="str">
        <f aca="false" t="array" ref="AM90:AM90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90" s="0" t="str">
        <f aca="false" t="array" ref="AR90:AR90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91" customFormat="false" ht="15" hidden="false" customHeight="false" outlineLevel="0" collapsed="false">
      <c r="I91" s="0" t="str">
        <f aca="false" t="array" ref="I91:I91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91" s="0" t="str">
        <f aca="false" t="array" ref="N91:N91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91" s="0" t="str">
        <f aca="false" t="array" ref="S91:S91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91" s="0" t="str">
        <f aca="false" t="array" ref="X91:X91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91" s="0" t="str">
        <f aca="false" t="array" ref="AC91:AC91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91" s="0" t="str">
        <f aca="false" t="array" ref="AH91:AH91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91" s="0" t="str">
        <f aca="false" t="array" ref="AM91:AM91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91" s="0" t="str">
        <f aca="false" t="array" ref="AR91:AR91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92" customFormat="false" ht="15" hidden="false" customHeight="false" outlineLevel="0" collapsed="false">
      <c r="I92" s="0" t="str">
        <f aca="false" t="array" ref="I92:I92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92" s="0" t="str">
        <f aca="false" t="array" ref="N92:N92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92" s="0" t="str">
        <f aca="false" t="array" ref="S92:S92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92" s="0" t="str">
        <f aca="false" t="array" ref="X92:X92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92" s="0" t="str">
        <f aca="false" t="array" ref="AC92:AC92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92" s="0" t="str">
        <f aca="false" t="array" ref="AH92:AH92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92" s="0" t="str">
        <f aca="false" t="array" ref="AM92:AM92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92" s="0" t="str">
        <f aca="false" t="array" ref="AR92:AR92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93" customFormat="false" ht="15" hidden="false" customHeight="false" outlineLevel="0" collapsed="false">
      <c r="I93" s="0" t="str">
        <f aca="false" t="array" ref="I93:I93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93" s="0" t="str">
        <f aca="false" t="array" ref="N93:N93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93" s="0" t="str">
        <f aca="false" t="array" ref="S93:S93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93" s="0" t="str">
        <f aca="false" t="array" ref="X93:X93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93" s="0" t="str">
        <f aca="false" t="array" ref="AC93:AC93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93" s="0" t="str">
        <f aca="false" t="array" ref="AH93:AH93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93" s="0" t="str">
        <f aca="false" t="array" ref="AM93:AM93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93" s="0" t="str">
        <f aca="false" t="array" ref="AR93:AR93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94" customFormat="false" ht="15" hidden="false" customHeight="false" outlineLevel="0" collapsed="false">
      <c r="I94" s="0" t="str">
        <f aca="false" t="array" ref="I94:I94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94" s="0" t="str">
        <f aca="false" t="array" ref="N94:N94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94" s="0" t="str">
        <f aca="false" t="array" ref="S94:S94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94" s="0" t="str">
        <f aca="false" t="array" ref="X94:X94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94" s="0" t="str">
        <f aca="false" t="array" ref="AC94:AC94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94" s="0" t="str">
        <f aca="false" t="array" ref="AH94:AH94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94" s="0" t="str">
        <f aca="false" t="array" ref="AM94:AM94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94" s="0" t="str">
        <f aca="false" t="array" ref="AR94:AR94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95" customFormat="false" ht="15" hidden="false" customHeight="false" outlineLevel="0" collapsed="false">
      <c r="I95" s="0" t="str">
        <f aca="false" t="array" ref="I95:I95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95" s="0" t="str">
        <f aca="false" t="array" ref="N95:N95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95" s="0" t="str">
        <f aca="false" t="array" ref="S95:S95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95" s="0" t="str">
        <f aca="false" t="array" ref="X95:X95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95" s="0" t="str">
        <f aca="false" t="array" ref="AC95:AC95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95" s="0" t="str">
        <f aca="false" t="array" ref="AH95:AH95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95" s="0" t="str">
        <f aca="false" t="array" ref="AM95:AM95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95" s="0" t="str">
        <f aca="false" t="array" ref="AR95:AR95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96" customFormat="false" ht="15" hidden="false" customHeight="false" outlineLevel="0" collapsed="false">
      <c r="I96" s="0" t="str">
        <f aca="false" t="array" ref="I96:I96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96" s="0" t="str">
        <f aca="false" t="array" ref="N96:N96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96" s="0" t="str">
        <f aca="false" t="array" ref="S96:S96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96" s="0" t="str">
        <f aca="false" t="array" ref="X96:X96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96" s="0" t="str">
        <f aca="false" t="array" ref="AC96:AC96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96" s="0" t="str">
        <f aca="false" t="array" ref="AH96:AH96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96" s="0" t="str">
        <f aca="false" t="array" ref="AM96:AM96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96" s="0" t="str">
        <f aca="false" t="array" ref="AR96:AR96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97" customFormat="false" ht="15" hidden="false" customHeight="false" outlineLevel="0" collapsed="false">
      <c r="I97" s="0" t="str">
        <f aca="false" t="array" ref="I97:I97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97" s="0" t="str">
        <f aca="false" t="array" ref="N97:N97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97" s="0" t="str">
        <f aca="false" t="array" ref="S97:S97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97" s="0" t="str">
        <f aca="false" t="array" ref="X97:X97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97" s="0" t="str">
        <f aca="false" t="array" ref="AC97:AC97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97" s="0" t="str">
        <f aca="false" t="array" ref="AH97:AH97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97" s="0" t="str">
        <f aca="false" t="array" ref="AM97:AM97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97" s="0" t="str">
        <f aca="false" t="array" ref="AR97:AR97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98" customFormat="false" ht="15" hidden="false" customHeight="false" outlineLevel="0" collapsed="false">
      <c r="I98" s="0" t="str">
        <f aca="false" t="array" ref="I98:I98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98" s="0" t="str">
        <f aca="false" t="array" ref="N98:N98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98" s="0" t="str">
        <f aca="false" t="array" ref="S98:S98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98" s="0" t="str">
        <f aca="false" t="array" ref="X98:X98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98" s="0" t="str">
        <f aca="false" t="array" ref="AC98:AC98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98" s="0" t="str">
        <f aca="false" t="array" ref="AH98:AH98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98" s="0" t="str">
        <f aca="false" t="array" ref="AM98:AM98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98" s="0" t="str">
        <f aca="false" t="array" ref="AR98:AR98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99" customFormat="false" ht="15" hidden="false" customHeight="false" outlineLevel="0" collapsed="false">
      <c r="I99" s="0" t="str">
        <f aca="false" t="array" ref="I99:I99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99" s="0" t="str">
        <f aca="false" t="array" ref="N99:N99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99" s="0" t="str">
        <f aca="false" t="array" ref="S99:S99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99" s="0" t="str">
        <f aca="false" t="array" ref="X99:X99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99" s="0" t="str">
        <f aca="false" t="array" ref="AC99:AC99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99" s="0" t="str">
        <f aca="false" t="array" ref="AH99:AH99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99" s="0" t="str">
        <f aca="false" t="array" ref="AM99:AM99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99" s="0" t="str">
        <f aca="false" t="array" ref="AR99:AR99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100" customFormat="false" ht="15" hidden="false" customHeight="false" outlineLevel="0" collapsed="false">
      <c r="I100" s="0" t="str">
        <f aca="false" t="array" ref="I100:I100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100" s="0" t="str">
        <f aca="false" t="array" ref="N100:N100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100" s="0" t="str">
        <f aca="false" t="array" ref="S100:S100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100" s="0" t="str">
        <f aca="false" t="array" ref="X100:X100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100" s="0" t="str">
        <f aca="false" t="array" ref="AC100:AC100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100" s="0" t="str">
        <f aca="false" t="array" ref="AH100:AH100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100" s="0" t="str">
        <f aca="false" t="array" ref="AM100:AM100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100" s="0" t="str">
        <f aca="false" t="array" ref="AR100:AR100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101" customFormat="false" ht="15" hidden="false" customHeight="false" outlineLevel="0" collapsed="false">
      <c r="I101" s="0" t="str">
        <f aca="false" t="array" ref="I101:I101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101" s="0" t="str">
        <f aca="false" t="array" ref="N101:N101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101" s="0" t="str">
        <f aca="false" t="array" ref="S101:S101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101" s="0" t="str">
        <f aca="false" t="array" ref="X101:X101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101" s="0" t="str">
        <f aca="false" t="array" ref="AC101:AC101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101" s="0" t="str">
        <f aca="false" t="array" ref="AH101:AH101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101" s="0" t="str">
        <f aca="false" t="array" ref="AM101:AM101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101" s="0" t="str">
        <f aca="false" t="array" ref="AR101:AR101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102" customFormat="false" ht="15" hidden="false" customHeight="false" outlineLevel="0" collapsed="false">
      <c r="I102" s="0" t="str">
        <f aca="false" t="array" ref="I102:I102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102" s="0" t="str">
        <f aca="false" t="array" ref="N102:N102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102" s="0" t="str">
        <f aca="false" t="array" ref="S102:S102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102" s="0" t="str">
        <f aca="false" t="array" ref="X102:X102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102" s="0" t="str">
        <f aca="false" t="array" ref="AC102:AC102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102" s="0" t="str">
        <f aca="false" t="array" ref="AH102:AH102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102" s="0" t="str">
        <f aca="false" t="array" ref="AM102:AM102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102" s="0" t="str">
        <f aca="false" t="array" ref="AR102:AR102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103" customFormat="false" ht="15" hidden="false" customHeight="false" outlineLevel="0" collapsed="false">
      <c r="I103" s="0" t="str">
        <f aca="false" t="array" ref="I103:I103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103" s="0" t="str">
        <f aca="false" t="array" ref="N103:N103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103" s="0" t="str">
        <f aca="false" t="array" ref="S103:S103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103" s="0" t="str">
        <f aca="false" t="array" ref="X103:X103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103" s="0" t="str">
        <f aca="false" t="array" ref="AC103:AC103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103" s="0" t="str">
        <f aca="false" t="array" ref="AH103:AH103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103" s="0" t="str">
        <f aca="false" t="array" ref="AM103:AM103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103" s="0" t="str">
        <f aca="false" t="array" ref="AR103:AR103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104" customFormat="false" ht="15" hidden="false" customHeight="false" outlineLevel="0" collapsed="false">
      <c r="I104" s="0" t="str">
        <f aca="false" t="array" ref="I104:I104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104" s="0" t="str">
        <f aca="false" t="array" ref="N104:N104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104" s="0" t="str">
        <f aca="false" t="array" ref="S104:S104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104" s="0" t="str">
        <f aca="false" t="array" ref="X104:X104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104" s="0" t="str">
        <f aca="false" t="array" ref="AC104:AC104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104" s="0" t="str">
        <f aca="false" t="array" ref="AH104:AH104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104" s="0" t="str">
        <f aca="false" t="array" ref="AM104:AM104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104" s="0" t="str">
        <f aca="false" t="array" ref="AR104:AR104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105" customFormat="false" ht="15" hidden="false" customHeight="false" outlineLevel="0" collapsed="false">
      <c r="I105" s="0" t="str">
        <f aca="false" t="array" ref="I105:I105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105" s="0" t="str">
        <f aca="false" t="array" ref="N105:N105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105" s="0" t="str">
        <f aca="false" t="array" ref="S105:S105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105" s="0" t="str">
        <f aca="false" t="array" ref="X105:X105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105" s="0" t="str">
        <f aca="false" t="array" ref="AC105:AC105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105" s="0" t="str">
        <f aca="false" t="array" ref="AH105:AH105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105" s="0" t="str">
        <f aca="false" t="array" ref="AM105:AM105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105" s="0" t="str">
        <f aca="false" t="array" ref="AR105:AR105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106" customFormat="false" ht="15" hidden="false" customHeight="false" outlineLevel="0" collapsed="false">
      <c r="I106" s="0" t="str">
        <f aca="false" t="array" ref="I106:I106">IFERROR(CONCATENATE(INDEX(L7:L55,SMALL(IF(ISNUMBER(I7:I55),IF(I7:I55&gt;0,IF(L7:L55&lt;&gt;"",ROW(I7:I55)-MIN(ROW(I7:I55))+1))),ROW()-ROW(A$58)+1)),",",TEXT(INDEX(I7:I55,SMALL(IF(ISNUMBER(I7:I55),IF(I7:I55&gt;0,IF(L7:L55&lt;&gt;"",ROW(I7:I55)-MIN(ROW(I7:I55))+1))),ROW()-ROW(A$58)+1)),"##0"),",",SUBSTITUTE(INDEX(IF(PURCHASE_DESCRIPTION&lt;&gt;"",PURCHASE_DESCRIPTION&amp;":","")&amp;A7:A55,SMALL(IF(ISNUMBER(I7:I55),IF(I7:I55&gt;0,IF(L7:L55&lt;&gt;"",ROW(I7:I55)-MIN(ROW(I7:I55))+1))),ROW()-ROW(A$58)+1)),",",";")),"")</f>
        <v/>
      </c>
      <c r="N106" s="0" t="str">
        <f aca="false" t="array" ref="N106:N106">IFERROR(CONCATENATE(TEXT(INDEX(N7:N55,SMALL(IF(ISNUMBER(N7:N55),IF(N7:N55&gt;0,IF(Q7:Q55&lt;&gt;"",ROW(N7:N55)-MIN(ROW(N7:N55))+1))),ROW()-ROW(A$58)+1)),"##0"),",",INDEX(Q7:Q55,SMALL(IF(ISNUMBER(N7:N55),IF(N7:N55&gt;0,IF(Q7:Q55&lt;&gt;"",ROW(N7:N55)-MIN(ROW(N7:N55))+1))),ROW()-ROW(A$58)+1)),",",SUBSTITUTE(INDEX(IF(PURCHASE_DESCRIPTION&lt;&gt;"",PURCHASE_DESCRIPTION&amp;":","")&amp;A7:A55,SMALL(IF(ISNUMBER(N7:N55),IF(N7:N55&gt;0,IF(Q7:Q55&lt;&gt;"",ROW(N7:N55)-MIN(ROW(N7:N55))+1))),ROW()-ROW(A$58)+1)),",",";")),"")</f>
        <v/>
      </c>
      <c r="S106" s="0" t="str">
        <f aca="false" t="array" ref="S106:S106">IFERROR(CONCATENATE(INDEX(V7:V55,SMALL(IF(ISNUMBER(S7:S55),IF(S7:S55&gt;0,IF(V7:V55&lt;&gt;"",ROW(S7:S55)-MIN(ROW(S7:S55))+1))),ROW()-ROW(A$58)+1))," ",TEXT(INDEX(S7:S55,SMALL(IF(ISNUMBER(S7:S55),IF(S7:S55&gt;0,IF(V7:V55&lt;&gt;"",ROW(S7:S55)-MIN(ROW(S7:S55))+1))),ROW()-ROW(A$58)+1)),"##0")," ",SUBSTITUTE(INDEX(IF(PURCHASE_DESCRIPTION&lt;&gt;"",PURCHASE_DESCRIPTION&amp;":","")&amp;A7:A55,SMALL(IF(ISNUMBER(S7:S55),IF(S7:S55&gt;0,IF(V7:V55&lt;&gt;"",ROW(S7:S55)-MIN(ROW(S7:S55))+1))),ROW()-ROW(A$58)+1))," ",";")),"")</f>
        <v/>
      </c>
      <c r="X106" s="0" t="str">
        <f aca="false" t="array" ref="X106:X106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  <c r="AC106" s="0" t="str">
        <f aca="false" t="array" ref="AC106:AC106">IFERROR(CONCATENATE(INDEX(AF7:AF55,SMALL(IF(ISNUMBER(AC7:AC55),IF(AC7:AC55&gt;0,IF(AF7:AF55&lt;&gt;"",ROW(AC7:AC55)-MIN(ROW(AC7:AC55))+1))),ROW()-ROW(A$58)+1)),"|",TEXT(INDEX(AC7:AC55,SMALL(IF(ISNUMBER(AC7:AC55),IF(AC7:AC55&gt;0,IF(AF7:AF55&lt;&gt;"",ROW(AC7:AC55)-MIN(ROW(AC7:AC55))+1))),ROW()-ROW(A$58)+1)),"##0"),"|",SUBSTITUTE(SUBSTITUTE(INDEX(IF(PURCHASE_DESCRIPTION&lt;&gt;"",PURCHASE_DESCRIPTION&amp;":","")&amp;A7:A55,SMALL(IF(ISNUMBER(AC7:AC55),IF(AC7:AC55&gt;0,IF(AF7:AF55&lt;&gt;"",ROW(AC7:AC55)-MIN(ROW(AC7:AC55))+1))),ROW()-ROW(A$58)+1)),"|",";")," ","_")),"")</f>
        <v/>
      </c>
      <c r="AH106" s="0" t="str">
        <f aca="false" t="array" ref="AH106:AH106">IFERROR(CONCATENATE(INDEX(AK7:AK55,SMALL(IF(ISNUMBER(AH7:AH55),IF(AH7:AH55&gt;0,IF(AK7:AK55&lt;&gt;"",ROW(AH7:AH55)-MIN(ROW(AH7:AH55))+1))),ROW()-ROW(A$58)+1)),",",TEXT(INDEX(AH7:AH55,SMALL(IF(ISNUMBER(AH7:AH55),IF(AH7:AH55&gt;0,IF(AK7:AK55&lt;&gt;"",ROW(AH7:AH55)-MIN(ROW(AH7:AH55))+1))),ROW()-ROW(A$58)+1)),"##0"),",",SUBSTITUTE(INDEX(IF(PURCHASE_DESCRIPTION&lt;&gt;"",PURCHASE_DESCRIPTION&amp;":","")&amp;A7:A55,SMALL(IF(ISNUMBER(AH7:AH55),IF(AH7:AH55&gt;0,IF(AK7:AK55&lt;&gt;"",ROW(AH7:AH55)-MIN(ROW(AH7:AH55))+1))),ROW()-ROW(A$58)+1)),",",";")),"")</f>
        <v/>
      </c>
      <c r="AM106" s="0" t="str">
        <f aca="false" t="array" ref="AM106:AM106">IFERROR(CONCATENATE(INDEX(AP7:AP55,SMALL(IF(ISNUMBER(AM7:AM55),IF(AM7:AM55&gt;0,IF(AP7:AP55&lt;&gt;"",ROW(AM7:AM55)-MIN(ROW(AM7:AM55))+1))),ROW()-ROW(A$58)+1))," ",TEXT(INDEX(AM7:AM55,SMALL(IF(ISNUMBER(AM7:AM55),IF(AM7:AM55&gt;0,IF(AP7:AP55&lt;&gt;"",ROW(AM7:AM55)-MIN(ROW(AM7:AM55))+1))),ROW()-ROW(A$58)+1)),"##0")," ",SUBSTITUTE(INDEX(IF(PURCHASE_DESCRIPTION&lt;&gt;"",PURCHASE_DESCRIPTION&amp;":","")&amp;A7:A55,SMALL(IF(ISNUMBER(AM7:AM55),IF(AM7:AM55&gt;0,IF(AP7:AP55&lt;&gt;"",ROW(AM7:AM55)-MIN(ROW(AM7:AM55))+1))),ROW()-ROW(A$58)+1))," ",";")),"")</f>
        <v/>
      </c>
      <c r="AR106" s="0" t="str">
        <f aca="false" t="array" ref="AR106:AR106">IFERROR(CONCATENATE(INDEX(AU7:AU55,SMALL(IF(ISNUMBER(AR7:AR55),IF(AR7:AR55&gt;0,IF(AU7:AU55&lt;&gt;"",ROW(AR7:AR55)-MIN(ROW(AR7:AR55))+1))),ROW()-ROW(A$58)+1))," ",TEXT(INDEX(AR7:AR55,SMALL(IF(ISNUMBER(AR7:AR55),IF(AR7:AR55&gt;0,IF(AU7:AU55&lt;&gt;"",ROW(AR7:AR55)-MIN(ROW(AR7:AR55))+1))),ROW()-ROW(A$58)+1)),"##0")," ",SUBSTITUTE(INDEX(IF(PURCHASE_DESCRIPTION&lt;&gt;"",PURCHASE_DESCRIPTION&amp;":","")&amp;A7:A55,SMALL(IF(ISNUMBER(AR7:AR55),IF(AR7:AR55&gt;0,IF(AU7:AU55&lt;&gt;"",ROW(AR7:AR55)-MIN(ROW(AR7:AR55))+1))),ROW()-ROW(A$58)+1))," ",";")),"")</f>
        <v/>
      </c>
    </row>
    <row r="107" customFormat="false" ht="15" hidden="false" customHeight="false" outlineLevel="0" collapsed="false">
      <c r="X107" s="0" t="str">
        <f aca="false" t="array" ref="X107:X107">IFERROR(CONCATENATE(TEXT(INDEX(X7:X55,SMALL(IF(ISNUMBER(X7:X55),IF(X7:X55&gt;0,IF(AA7:AA55&lt;&gt;"",ROW(X7:X55)-MIN(ROW(X7:X55))+1))),ROW()-ROW(A$59)+1)),"##0"),",",SUBSTITUTE(INDEX(IF(PURCHASE_DESCRIPTION&lt;&gt;"",PURCHASE_DESCRIPTION&amp;":","")&amp;A7:A55,SMALL(IF(ISNUMBER(X7:X55),IF(X7:X55&gt;0,IF(AA7:AA55&lt;&gt;"",ROW(X7:X55)-MIN(ROW(X7:X55))+1))),ROW()-ROW(A$59)+1)),",",";"),",",SUBSTITUTE(INDEX(IF(PURCHASE_DESCRIPTION&lt;&gt;"",PURCHASE_DESCRIPTION&amp;":","")&amp;C7:C55,SMALL(IF(ISNUMBER(X7:X55),IF(X7:X55&gt;0,IF(AA7:AA55&lt;&gt;"",ROW(X7:X55)-MIN(ROW(X7:X55))+1))),ROW()-ROW(A$59)+1)),",",";"),",",INDEX(AA7:AA55,SMALL(IF(ISNUMBER(X7:X55),IF(X7:X55&gt;0,IF(AA7:AA55&lt;&gt;"",ROW(X7:X55)-MIN(ROW(X7:X55))+1))),ROW()-ROW(A$59)+1))),"")</f>
        <v/>
      </c>
    </row>
  </sheetData>
  <mergeCells count="9">
    <mergeCell ref="A5:G5"/>
    <mergeCell ref="H5:L5"/>
    <mergeCell ref="M5:Q5"/>
    <mergeCell ref="R5:V5"/>
    <mergeCell ref="W5:AA5"/>
    <mergeCell ref="AB5:AF5"/>
    <mergeCell ref="AG5:AK5"/>
    <mergeCell ref="AL5:AP5"/>
    <mergeCell ref="AQ5:AU5"/>
  </mergeCells>
  <conditionalFormatting sqref="AB10">
    <cfRule type="cellIs" priority="2" operator="equal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E10</formula>
    </cfRule>
  </conditionalFormatting>
  <conditionalFormatting sqref="AB11">
    <cfRule type="cellIs" priority="4" operator="equal" aboveAverage="0" equalAverage="0" bottom="0" percent="0" rank="0" text="" dxfId="0">
      <formula>0</formula>
    </cfRule>
    <cfRule type="cellIs" priority="5" operator="lessThan" aboveAverage="0" equalAverage="0" bottom="0" percent="0" rank="0" text="" dxfId="1">
      <formula>E11</formula>
    </cfRule>
  </conditionalFormatting>
  <conditionalFormatting sqref="AB12">
    <cfRule type="cellIs" priority="6" operator="equal" aboveAverage="0" equalAverage="0" bottom="0" percent="0" rank="0" text="" dxfId="0">
      <formula>0</formula>
    </cfRule>
    <cfRule type="cellIs" priority="7" operator="lessThan" aboveAverage="0" equalAverage="0" bottom="0" percent="0" rank="0" text="" dxfId="1">
      <formula>E12</formula>
    </cfRule>
  </conditionalFormatting>
  <conditionalFormatting sqref="AB13">
    <cfRule type="cellIs" priority="8" operator="equal" aboveAverage="0" equalAverage="0" bottom="0" percent="0" rank="0" text="" dxfId="0">
      <formula>0</formula>
    </cfRule>
    <cfRule type="cellIs" priority="9" operator="lessThan" aboveAverage="0" equalAverage="0" bottom="0" percent="0" rank="0" text="" dxfId="1">
      <formula>E13</formula>
    </cfRule>
  </conditionalFormatting>
  <conditionalFormatting sqref="AB14">
    <cfRule type="cellIs" priority="10" operator="equal" aboveAverage="0" equalAverage="0" bottom="0" percent="0" rank="0" text="" dxfId="0">
      <formula>0</formula>
    </cfRule>
    <cfRule type="cellIs" priority="11" operator="lessThan" aboveAverage="0" equalAverage="0" bottom="0" percent="0" rank="0" text="" dxfId="1">
      <formula>E14</formula>
    </cfRule>
  </conditionalFormatting>
  <conditionalFormatting sqref="AB15">
    <cfRule type="cellIs" priority="12" operator="equal" aboveAverage="0" equalAverage="0" bottom="0" percent="0" rank="0" text="" dxfId="0">
      <formula>0</formula>
    </cfRule>
    <cfRule type="cellIs" priority="13" operator="lessThan" aboveAverage="0" equalAverage="0" bottom="0" percent="0" rank="0" text="" dxfId="1">
      <formula>E15</formula>
    </cfRule>
  </conditionalFormatting>
  <conditionalFormatting sqref="AB16">
    <cfRule type="cellIs" priority="14" operator="equal" aboveAverage="0" equalAverage="0" bottom="0" percent="0" rank="0" text="" dxfId="0">
      <formula>0</formula>
    </cfRule>
    <cfRule type="cellIs" priority="15" operator="lessThan" aboveAverage="0" equalAverage="0" bottom="0" percent="0" rank="0" text="" dxfId="1">
      <formula>E16</formula>
    </cfRule>
  </conditionalFormatting>
  <conditionalFormatting sqref="AB17">
    <cfRule type="cellIs" priority="16" operator="equal" aboveAverage="0" equalAverage="0" bottom="0" percent="0" rank="0" text="" dxfId="0">
      <formula>0</formula>
    </cfRule>
    <cfRule type="cellIs" priority="17" operator="lessThan" aboveAverage="0" equalAverage="0" bottom="0" percent="0" rank="0" text="" dxfId="1">
      <formula>E17</formula>
    </cfRule>
  </conditionalFormatting>
  <conditionalFormatting sqref="AB18">
    <cfRule type="cellIs" priority="18" operator="equal" aboveAverage="0" equalAverage="0" bottom="0" percent="0" rank="0" text="" dxfId="0">
      <formula>0</formula>
    </cfRule>
    <cfRule type="cellIs" priority="19" operator="lessThan" aboveAverage="0" equalAverage="0" bottom="0" percent="0" rank="0" text="" dxfId="1">
      <formula>E18</formula>
    </cfRule>
  </conditionalFormatting>
  <conditionalFormatting sqref="AB19">
    <cfRule type="cellIs" priority="20" operator="equal" aboveAverage="0" equalAverage="0" bottom="0" percent="0" rank="0" text="" dxfId="0">
      <formula>0</formula>
    </cfRule>
    <cfRule type="cellIs" priority="21" operator="lessThan" aboveAverage="0" equalAverage="0" bottom="0" percent="0" rank="0" text="" dxfId="1">
      <formula>E19</formula>
    </cfRule>
  </conditionalFormatting>
  <conditionalFormatting sqref="AB20">
    <cfRule type="cellIs" priority="22" operator="equal" aboveAverage="0" equalAverage="0" bottom="0" percent="0" rank="0" text="" dxfId="0">
      <formula>0</formula>
    </cfRule>
    <cfRule type="cellIs" priority="23" operator="lessThan" aboveAverage="0" equalAverage="0" bottom="0" percent="0" rank="0" text="" dxfId="1">
      <formula>E20</formula>
    </cfRule>
  </conditionalFormatting>
  <conditionalFormatting sqref="AB21">
    <cfRule type="cellIs" priority="24" operator="equal" aboveAverage="0" equalAverage="0" bottom="0" percent="0" rank="0" text="" dxfId="0">
      <formula>0</formula>
    </cfRule>
    <cfRule type="cellIs" priority="25" operator="lessThan" aboveAverage="0" equalAverage="0" bottom="0" percent="0" rank="0" text="" dxfId="1">
      <formula>E21</formula>
    </cfRule>
  </conditionalFormatting>
  <conditionalFormatting sqref="AB22">
    <cfRule type="cellIs" priority="26" operator="equal" aboveAverage="0" equalAverage="0" bottom="0" percent="0" rank="0" text="" dxfId="0">
      <formula>0</formula>
    </cfRule>
    <cfRule type="cellIs" priority="27" operator="lessThan" aboveAverage="0" equalAverage="0" bottom="0" percent="0" rank="0" text="" dxfId="1">
      <formula>E22</formula>
    </cfRule>
  </conditionalFormatting>
  <conditionalFormatting sqref="AB23">
    <cfRule type="cellIs" priority="28" operator="equal" aboveAverage="0" equalAverage="0" bottom="0" percent="0" rank="0" text="" dxfId="0">
      <formula>0</formula>
    </cfRule>
    <cfRule type="cellIs" priority="29" operator="lessThan" aboveAverage="0" equalAverage="0" bottom="0" percent="0" rank="0" text="" dxfId="1">
      <formula>E23</formula>
    </cfRule>
  </conditionalFormatting>
  <conditionalFormatting sqref="AB24">
    <cfRule type="cellIs" priority="30" operator="equal" aboveAverage="0" equalAverage="0" bottom="0" percent="0" rank="0" text="" dxfId="0">
      <formula>0</formula>
    </cfRule>
    <cfRule type="cellIs" priority="31" operator="lessThan" aboveAverage="0" equalAverage="0" bottom="0" percent="0" rank="0" text="" dxfId="1">
      <formula>E24</formula>
    </cfRule>
  </conditionalFormatting>
  <conditionalFormatting sqref="AB25">
    <cfRule type="cellIs" priority="32" operator="equal" aboveAverage="0" equalAverage="0" bottom="0" percent="0" rank="0" text="" dxfId="0">
      <formula>0</formula>
    </cfRule>
    <cfRule type="cellIs" priority="33" operator="lessThan" aboveAverage="0" equalAverage="0" bottom="0" percent="0" rank="0" text="" dxfId="1">
      <formula>E25</formula>
    </cfRule>
  </conditionalFormatting>
  <conditionalFormatting sqref="AB26">
    <cfRule type="cellIs" priority="34" operator="equal" aboveAverage="0" equalAverage="0" bottom="0" percent="0" rank="0" text="" dxfId="0">
      <formula>0</formula>
    </cfRule>
    <cfRule type="cellIs" priority="35" operator="lessThan" aboveAverage="0" equalAverage="0" bottom="0" percent="0" rank="0" text="" dxfId="1">
      <formula>E26</formula>
    </cfRule>
  </conditionalFormatting>
  <conditionalFormatting sqref="AB27">
    <cfRule type="cellIs" priority="36" operator="equal" aboveAverage="0" equalAverage="0" bottom="0" percent="0" rank="0" text="" dxfId="0">
      <formula>0</formula>
    </cfRule>
    <cfRule type="cellIs" priority="37" operator="lessThan" aboveAverage="0" equalAverage="0" bottom="0" percent="0" rank="0" text="" dxfId="1">
      <formula>E27</formula>
    </cfRule>
  </conditionalFormatting>
  <conditionalFormatting sqref="AB28">
    <cfRule type="cellIs" priority="38" operator="equal" aboveAverage="0" equalAverage="0" bottom="0" percent="0" rank="0" text="" dxfId="0">
      <formula>0</formula>
    </cfRule>
    <cfRule type="cellIs" priority="39" operator="lessThan" aboveAverage="0" equalAverage="0" bottom="0" percent="0" rank="0" text="" dxfId="1">
      <formula>E28</formula>
    </cfRule>
  </conditionalFormatting>
  <conditionalFormatting sqref="AB29">
    <cfRule type="cellIs" priority="40" operator="equal" aboveAverage="0" equalAverage="0" bottom="0" percent="0" rank="0" text="" dxfId="0">
      <formula>0</formula>
    </cfRule>
    <cfRule type="cellIs" priority="41" operator="lessThan" aboveAverage="0" equalAverage="0" bottom="0" percent="0" rank="0" text="" dxfId="1">
      <formula>E29</formula>
    </cfRule>
  </conditionalFormatting>
  <conditionalFormatting sqref="AB30">
    <cfRule type="cellIs" priority="42" operator="equal" aboveAverage="0" equalAverage="0" bottom="0" percent="0" rank="0" text="" dxfId="0">
      <formula>0</formula>
    </cfRule>
    <cfRule type="cellIs" priority="43" operator="lessThan" aboveAverage="0" equalAverage="0" bottom="0" percent="0" rank="0" text="" dxfId="1">
      <formula>E30</formula>
    </cfRule>
  </conditionalFormatting>
  <conditionalFormatting sqref="AB31">
    <cfRule type="cellIs" priority="44" operator="equal" aboveAverage="0" equalAverage="0" bottom="0" percent="0" rank="0" text="" dxfId="0">
      <formula>0</formula>
    </cfRule>
    <cfRule type="cellIs" priority="45" operator="lessThan" aboveAverage="0" equalAverage="0" bottom="0" percent="0" rank="0" text="" dxfId="1">
      <formula>E31</formula>
    </cfRule>
  </conditionalFormatting>
  <conditionalFormatting sqref="AB32">
    <cfRule type="cellIs" priority="46" operator="equal" aboveAverage="0" equalAverage="0" bottom="0" percent="0" rank="0" text="" dxfId="0">
      <formula>0</formula>
    </cfRule>
    <cfRule type="cellIs" priority="47" operator="lessThan" aboveAverage="0" equalAverage="0" bottom="0" percent="0" rank="0" text="" dxfId="1">
      <formula>E32</formula>
    </cfRule>
  </conditionalFormatting>
  <conditionalFormatting sqref="AB33">
    <cfRule type="cellIs" priority="48" operator="equal" aboveAverage="0" equalAverage="0" bottom="0" percent="0" rank="0" text="" dxfId="0">
      <formula>0</formula>
    </cfRule>
    <cfRule type="cellIs" priority="49" operator="lessThan" aboveAverage="0" equalAverage="0" bottom="0" percent="0" rank="0" text="" dxfId="1">
      <formula>E33</formula>
    </cfRule>
  </conditionalFormatting>
  <conditionalFormatting sqref="AB34">
    <cfRule type="cellIs" priority="50" operator="equal" aboveAverage="0" equalAverage="0" bottom="0" percent="0" rank="0" text="" dxfId="0">
      <formula>0</formula>
    </cfRule>
    <cfRule type="cellIs" priority="51" operator="lessThan" aboveAverage="0" equalAverage="0" bottom="0" percent="0" rank="0" text="" dxfId="1">
      <formula>E34</formula>
    </cfRule>
  </conditionalFormatting>
  <conditionalFormatting sqref="AB35">
    <cfRule type="cellIs" priority="52" operator="equal" aboveAverage="0" equalAverage="0" bottom="0" percent="0" rank="0" text="" dxfId="0">
      <formula>0</formula>
    </cfRule>
    <cfRule type="cellIs" priority="53" operator="lessThan" aboveAverage="0" equalAverage="0" bottom="0" percent="0" rank="0" text="" dxfId="1">
      <formula>E35</formula>
    </cfRule>
  </conditionalFormatting>
  <conditionalFormatting sqref="AB36">
    <cfRule type="cellIs" priority="54" operator="equal" aboveAverage="0" equalAverage="0" bottom="0" percent="0" rank="0" text="" dxfId="0">
      <formula>0</formula>
    </cfRule>
    <cfRule type="cellIs" priority="55" operator="lessThan" aboveAverage="0" equalAverage="0" bottom="0" percent="0" rank="0" text="" dxfId="1">
      <formula>E36</formula>
    </cfRule>
  </conditionalFormatting>
  <conditionalFormatting sqref="AB37">
    <cfRule type="cellIs" priority="56" operator="equal" aboveAverage="0" equalAverage="0" bottom="0" percent="0" rank="0" text="" dxfId="0">
      <formula>0</formula>
    </cfRule>
    <cfRule type="cellIs" priority="57" operator="lessThan" aboveAverage="0" equalAverage="0" bottom="0" percent="0" rank="0" text="" dxfId="1">
      <formula>E37</formula>
    </cfRule>
  </conditionalFormatting>
  <conditionalFormatting sqref="AB38">
    <cfRule type="cellIs" priority="58" operator="equal" aboveAverage="0" equalAverage="0" bottom="0" percent="0" rank="0" text="" dxfId="0">
      <formula>0</formula>
    </cfRule>
    <cfRule type="cellIs" priority="59" operator="lessThan" aboveAverage="0" equalAverage="0" bottom="0" percent="0" rank="0" text="" dxfId="1">
      <formula>E38</formula>
    </cfRule>
  </conditionalFormatting>
  <conditionalFormatting sqref="AB39">
    <cfRule type="cellIs" priority="60" operator="equal" aboveAverage="0" equalAverage="0" bottom="0" percent="0" rank="0" text="" dxfId="0">
      <formula>0</formula>
    </cfRule>
    <cfRule type="cellIs" priority="61" operator="lessThan" aboveAverage="0" equalAverage="0" bottom="0" percent="0" rank="0" text="" dxfId="1">
      <formula>E39</formula>
    </cfRule>
  </conditionalFormatting>
  <conditionalFormatting sqref="AB40">
    <cfRule type="cellIs" priority="62" operator="equal" aboveAverage="0" equalAverage="0" bottom="0" percent="0" rank="0" text="" dxfId="0">
      <formula>0</formula>
    </cfRule>
    <cfRule type="cellIs" priority="63" operator="lessThan" aboveAverage="0" equalAverage="0" bottom="0" percent="0" rank="0" text="" dxfId="1">
      <formula>E40</formula>
    </cfRule>
  </conditionalFormatting>
  <conditionalFormatting sqref="AB41">
    <cfRule type="cellIs" priority="64" operator="equal" aboveAverage="0" equalAverage="0" bottom="0" percent="0" rank="0" text="" dxfId="0">
      <formula>0</formula>
    </cfRule>
    <cfRule type="cellIs" priority="65" operator="lessThan" aboveAverage="0" equalAverage="0" bottom="0" percent="0" rank="0" text="" dxfId="1">
      <formula>E41</formula>
    </cfRule>
  </conditionalFormatting>
  <conditionalFormatting sqref="AB42">
    <cfRule type="cellIs" priority="66" operator="equal" aboveAverage="0" equalAverage="0" bottom="0" percent="0" rank="0" text="" dxfId="0">
      <formula>0</formula>
    </cfRule>
    <cfRule type="cellIs" priority="67" operator="lessThan" aboveAverage="0" equalAverage="0" bottom="0" percent="0" rank="0" text="" dxfId="1">
      <formula>E42</formula>
    </cfRule>
  </conditionalFormatting>
  <conditionalFormatting sqref="AB43">
    <cfRule type="cellIs" priority="68" operator="equal" aboveAverage="0" equalAverage="0" bottom="0" percent="0" rank="0" text="" dxfId="0">
      <formula>0</formula>
    </cfRule>
    <cfRule type="cellIs" priority="69" operator="lessThan" aboveAverage="0" equalAverage="0" bottom="0" percent="0" rank="0" text="" dxfId="1">
      <formula>E43</formula>
    </cfRule>
  </conditionalFormatting>
  <conditionalFormatting sqref="AB44">
    <cfRule type="cellIs" priority="70" operator="equal" aboveAverage="0" equalAverage="0" bottom="0" percent="0" rank="0" text="" dxfId="0">
      <formula>0</formula>
    </cfRule>
    <cfRule type="cellIs" priority="71" operator="lessThan" aboveAverage="0" equalAverage="0" bottom="0" percent="0" rank="0" text="" dxfId="1">
      <formula>E44</formula>
    </cfRule>
  </conditionalFormatting>
  <conditionalFormatting sqref="AB45">
    <cfRule type="cellIs" priority="72" operator="equal" aboveAverage="0" equalAverage="0" bottom="0" percent="0" rank="0" text="" dxfId="0">
      <formula>0</formula>
    </cfRule>
    <cfRule type="cellIs" priority="73" operator="lessThan" aboveAverage="0" equalAverage="0" bottom="0" percent="0" rank="0" text="" dxfId="1">
      <formula>E45</formula>
    </cfRule>
  </conditionalFormatting>
  <conditionalFormatting sqref="AB46">
    <cfRule type="cellIs" priority="74" operator="equal" aboveAverage="0" equalAverage="0" bottom="0" percent="0" rank="0" text="" dxfId="0">
      <formula>0</formula>
    </cfRule>
    <cfRule type="cellIs" priority="75" operator="lessThan" aboveAverage="0" equalAverage="0" bottom="0" percent="0" rank="0" text="" dxfId="1">
      <formula>E46</formula>
    </cfRule>
  </conditionalFormatting>
  <conditionalFormatting sqref="AB47">
    <cfRule type="cellIs" priority="76" operator="equal" aboveAverage="0" equalAverage="0" bottom="0" percent="0" rank="0" text="" dxfId="0">
      <formula>0</formula>
    </cfRule>
    <cfRule type="cellIs" priority="77" operator="lessThan" aboveAverage="0" equalAverage="0" bottom="0" percent="0" rank="0" text="" dxfId="1">
      <formula>E47</formula>
    </cfRule>
  </conditionalFormatting>
  <conditionalFormatting sqref="AB48">
    <cfRule type="cellIs" priority="78" operator="equal" aboveAverage="0" equalAverage="0" bottom="0" percent="0" rank="0" text="" dxfId="0">
      <formula>0</formula>
    </cfRule>
    <cfRule type="cellIs" priority="79" operator="lessThan" aboveAverage="0" equalAverage="0" bottom="0" percent="0" rank="0" text="" dxfId="1">
      <formula>E48</formula>
    </cfRule>
  </conditionalFormatting>
  <conditionalFormatting sqref="AB49">
    <cfRule type="cellIs" priority="80" operator="equal" aboveAverage="0" equalAverage="0" bottom="0" percent="0" rank="0" text="" dxfId="0">
      <formula>0</formula>
    </cfRule>
    <cfRule type="cellIs" priority="81" operator="lessThan" aboveAverage="0" equalAverage="0" bottom="0" percent="0" rank="0" text="" dxfId="1">
      <formula>E49</formula>
    </cfRule>
  </conditionalFormatting>
  <conditionalFormatting sqref="AB50">
    <cfRule type="cellIs" priority="82" operator="equal" aboveAverage="0" equalAverage="0" bottom="0" percent="0" rank="0" text="" dxfId="0">
      <formula>0</formula>
    </cfRule>
    <cfRule type="cellIs" priority="83" operator="lessThan" aboveAverage="0" equalAverage="0" bottom="0" percent="0" rank="0" text="" dxfId="1">
      <formula>E50</formula>
    </cfRule>
  </conditionalFormatting>
  <conditionalFormatting sqref="AB51">
    <cfRule type="cellIs" priority="84" operator="equal" aboveAverage="0" equalAverage="0" bottom="0" percent="0" rank="0" text="" dxfId="0">
      <formula>0</formula>
    </cfRule>
    <cfRule type="cellIs" priority="85" operator="lessThan" aboveAverage="0" equalAverage="0" bottom="0" percent="0" rank="0" text="" dxfId="1">
      <formula>E51</formula>
    </cfRule>
  </conditionalFormatting>
  <conditionalFormatting sqref="AB53">
    <cfRule type="cellIs" priority="86" operator="equal" aboveAverage="0" equalAverage="0" bottom="0" percent="0" rank="0" text="" dxfId="0">
      <formula>0</formula>
    </cfRule>
    <cfRule type="cellIs" priority="87" operator="lessThan" aboveAverage="0" equalAverage="0" bottom="0" percent="0" rank="0" text="" dxfId="1">
      <formula>E53</formula>
    </cfRule>
  </conditionalFormatting>
  <conditionalFormatting sqref="AB54">
    <cfRule type="cellIs" priority="88" operator="equal" aboveAverage="0" equalAverage="0" bottom="0" percent="0" rank="0" text="" dxfId="0">
      <formula>0</formula>
    </cfRule>
    <cfRule type="cellIs" priority="89" operator="lessThan" aboveAverage="0" equalAverage="0" bottom="0" percent="0" rank="0" text="" dxfId="1">
      <formula>E54</formula>
    </cfRule>
  </conditionalFormatting>
  <conditionalFormatting sqref="AB55">
    <cfRule type="cellIs" priority="90" operator="equal" aboveAverage="0" equalAverage="0" bottom="0" percent="0" rank="0" text="" dxfId="0">
      <formula>0</formula>
    </cfRule>
    <cfRule type="cellIs" priority="91" operator="lessThan" aboveAverage="0" equalAverage="0" bottom="0" percent="0" rank="0" text="" dxfId="1">
      <formula>E55</formula>
    </cfRule>
  </conditionalFormatting>
  <conditionalFormatting sqref="AB7">
    <cfRule type="cellIs" priority="92" operator="equal" aboveAverage="0" equalAverage="0" bottom="0" percent="0" rank="0" text="" dxfId="0">
      <formula>0</formula>
    </cfRule>
    <cfRule type="cellIs" priority="93" operator="lessThan" aboveAverage="0" equalAverage="0" bottom="0" percent="0" rank="0" text="" dxfId="1">
      <formula>E7</formula>
    </cfRule>
  </conditionalFormatting>
  <conditionalFormatting sqref="AB8">
    <cfRule type="cellIs" priority="94" operator="equal" aboveAverage="0" equalAverage="0" bottom="0" percent="0" rank="0" text="" dxfId="0">
      <formula>0</formula>
    </cfRule>
    <cfRule type="cellIs" priority="95" operator="lessThan" aboveAverage="0" equalAverage="0" bottom="0" percent="0" rank="0" text="" dxfId="1">
      <formula>E8</formula>
    </cfRule>
  </conditionalFormatting>
  <conditionalFormatting sqref="AB9">
    <cfRule type="cellIs" priority="96" operator="equal" aboveAverage="0" equalAverage="0" bottom="0" percent="0" rank="0" text="" dxfId="0">
      <formula>0</formula>
    </cfRule>
    <cfRule type="cellIs" priority="97" operator="lessThan" aboveAverage="0" equalAverage="0" bottom="0" percent="0" rank="0" text="" dxfId="1">
      <formula>E9</formula>
    </cfRule>
  </conditionalFormatting>
  <conditionalFormatting sqref="AC10">
    <cfRule type="cellIs" priority="98" operator="greaterThan" aboveAverage="0" equalAverage="0" bottom="0" percent="0" rank="0" text="" dxfId="0">
      <formula>AB10</formula>
    </cfRule>
  </conditionalFormatting>
  <conditionalFormatting sqref="AC11">
    <cfRule type="cellIs" priority="99" operator="greaterThan" aboveAverage="0" equalAverage="0" bottom="0" percent="0" rank="0" text="" dxfId="0">
      <formula>AB11</formula>
    </cfRule>
  </conditionalFormatting>
  <conditionalFormatting sqref="AC12">
    <cfRule type="cellIs" priority="100" operator="greaterThan" aboveAverage="0" equalAverage="0" bottom="0" percent="0" rank="0" text="" dxfId="0">
      <formula>AB12</formula>
    </cfRule>
  </conditionalFormatting>
  <conditionalFormatting sqref="AC13">
    <cfRule type="cellIs" priority="101" operator="greaterThan" aboveAverage="0" equalAverage="0" bottom="0" percent="0" rank="0" text="" dxfId="0">
      <formula>AB13</formula>
    </cfRule>
  </conditionalFormatting>
  <conditionalFormatting sqref="AC14">
    <cfRule type="cellIs" priority="102" operator="greaterThan" aboveAverage="0" equalAverage="0" bottom="0" percent="0" rank="0" text="" dxfId="0">
      <formula>AB14</formula>
    </cfRule>
  </conditionalFormatting>
  <conditionalFormatting sqref="AC15">
    <cfRule type="cellIs" priority="103" operator="greaterThan" aboveAverage="0" equalAverage="0" bottom="0" percent="0" rank="0" text="" dxfId="0">
      <formula>AB15</formula>
    </cfRule>
  </conditionalFormatting>
  <conditionalFormatting sqref="AC16">
    <cfRule type="cellIs" priority="104" operator="greaterThan" aboveAverage="0" equalAverage="0" bottom="0" percent="0" rank="0" text="" dxfId="0">
      <formula>AB16</formula>
    </cfRule>
  </conditionalFormatting>
  <conditionalFormatting sqref="AC17">
    <cfRule type="cellIs" priority="105" operator="greaterThan" aboveAverage="0" equalAverage="0" bottom="0" percent="0" rank="0" text="" dxfId="0">
      <formula>AB17</formula>
    </cfRule>
  </conditionalFormatting>
  <conditionalFormatting sqref="AC18">
    <cfRule type="cellIs" priority="106" operator="greaterThan" aboveAverage="0" equalAverage="0" bottom="0" percent="0" rank="0" text="" dxfId="0">
      <formula>AB18</formula>
    </cfRule>
  </conditionalFormatting>
  <conditionalFormatting sqref="AC19">
    <cfRule type="cellIs" priority="107" operator="greaterThan" aboveAverage="0" equalAverage="0" bottom="0" percent="0" rank="0" text="" dxfId="0">
      <formula>AB19</formula>
    </cfRule>
  </conditionalFormatting>
  <conditionalFormatting sqref="AC20">
    <cfRule type="cellIs" priority="108" operator="greaterThan" aboveAverage="0" equalAverage="0" bottom="0" percent="0" rank="0" text="" dxfId="0">
      <formula>AB20</formula>
    </cfRule>
  </conditionalFormatting>
  <conditionalFormatting sqref="AC21">
    <cfRule type="cellIs" priority="109" operator="greaterThan" aboveAverage="0" equalAverage="0" bottom="0" percent="0" rank="0" text="" dxfId="0">
      <formula>AB21</formula>
    </cfRule>
  </conditionalFormatting>
  <conditionalFormatting sqref="AC22">
    <cfRule type="cellIs" priority="110" operator="greaterThan" aboveAverage="0" equalAverage="0" bottom="0" percent="0" rank="0" text="" dxfId="0">
      <formula>AB22</formula>
    </cfRule>
  </conditionalFormatting>
  <conditionalFormatting sqref="AC23">
    <cfRule type="cellIs" priority="111" operator="greaterThan" aboveAverage="0" equalAverage="0" bottom="0" percent="0" rank="0" text="" dxfId="0">
      <formula>AB23</formula>
    </cfRule>
  </conditionalFormatting>
  <conditionalFormatting sqref="AC24">
    <cfRule type="cellIs" priority="112" operator="greaterThan" aboveAverage="0" equalAverage="0" bottom="0" percent="0" rank="0" text="" dxfId="0">
      <formula>AB24</formula>
    </cfRule>
  </conditionalFormatting>
  <conditionalFormatting sqref="AC25">
    <cfRule type="cellIs" priority="113" operator="greaterThan" aboveAverage="0" equalAverage="0" bottom="0" percent="0" rank="0" text="" dxfId="0">
      <formula>AB25</formula>
    </cfRule>
  </conditionalFormatting>
  <conditionalFormatting sqref="AC26">
    <cfRule type="cellIs" priority="114" operator="greaterThan" aboveAverage="0" equalAverage="0" bottom="0" percent="0" rank="0" text="" dxfId="0">
      <formula>AB26</formula>
    </cfRule>
  </conditionalFormatting>
  <conditionalFormatting sqref="AC27">
    <cfRule type="cellIs" priority="115" operator="greaterThan" aboveAverage="0" equalAverage="0" bottom="0" percent="0" rank="0" text="" dxfId="0">
      <formula>AB27</formula>
    </cfRule>
  </conditionalFormatting>
  <conditionalFormatting sqref="AC28">
    <cfRule type="cellIs" priority="116" operator="greaterThan" aboveAverage="0" equalAverage="0" bottom="0" percent="0" rank="0" text="" dxfId="0">
      <formula>AB28</formula>
    </cfRule>
  </conditionalFormatting>
  <conditionalFormatting sqref="AC29">
    <cfRule type="cellIs" priority="117" operator="greaterThan" aboveAverage="0" equalAverage="0" bottom="0" percent="0" rank="0" text="" dxfId="0">
      <formula>AB29</formula>
    </cfRule>
  </conditionalFormatting>
  <conditionalFormatting sqref="AC30">
    <cfRule type="cellIs" priority="118" operator="greaterThan" aboveAverage="0" equalAverage="0" bottom="0" percent="0" rank="0" text="" dxfId="0">
      <formula>AB30</formula>
    </cfRule>
  </conditionalFormatting>
  <conditionalFormatting sqref="AC31">
    <cfRule type="cellIs" priority="119" operator="greaterThan" aboveAverage="0" equalAverage="0" bottom="0" percent="0" rank="0" text="" dxfId="0">
      <formula>AB31</formula>
    </cfRule>
  </conditionalFormatting>
  <conditionalFormatting sqref="AC32">
    <cfRule type="cellIs" priority="120" operator="greaterThan" aboveAverage="0" equalAverage="0" bottom="0" percent="0" rank="0" text="" dxfId="0">
      <formula>AB32</formula>
    </cfRule>
  </conditionalFormatting>
  <conditionalFormatting sqref="AC33">
    <cfRule type="cellIs" priority="121" operator="greaterThan" aboveAverage="0" equalAverage="0" bottom="0" percent="0" rank="0" text="" dxfId="0">
      <formula>AB33</formula>
    </cfRule>
  </conditionalFormatting>
  <conditionalFormatting sqref="AC34">
    <cfRule type="cellIs" priority="122" operator="greaterThan" aboveAverage="0" equalAverage="0" bottom="0" percent="0" rank="0" text="" dxfId="0">
      <formula>AB34</formula>
    </cfRule>
  </conditionalFormatting>
  <conditionalFormatting sqref="AC35">
    <cfRule type="cellIs" priority="123" operator="greaterThan" aboveAverage="0" equalAverage="0" bottom="0" percent="0" rank="0" text="" dxfId="0">
      <formula>AB35</formula>
    </cfRule>
  </conditionalFormatting>
  <conditionalFormatting sqref="AC36">
    <cfRule type="cellIs" priority="124" operator="greaterThan" aboveAverage="0" equalAverage="0" bottom="0" percent="0" rank="0" text="" dxfId="0">
      <formula>AB36</formula>
    </cfRule>
  </conditionalFormatting>
  <conditionalFormatting sqref="AC37">
    <cfRule type="cellIs" priority="125" operator="greaterThan" aboveAverage="0" equalAverage="0" bottom="0" percent="0" rank="0" text="" dxfId="0">
      <formula>AB37</formula>
    </cfRule>
  </conditionalFormatting>
  <conditionalFormatting sqref="AC38">
    <cfRule type="cellIs" priority="126" operator="greaterThan" aboveAverage="0" equalAverage="0" bottom="0" percent="0" rank="0" text="" dxfId="0">
      <formula>AB38</formula>
    </cfRule>
  </conditionalFormatting>
  <conditionalFormatting sqref="AC39">
    <cfRule type="cellIs" priority="127" operator="greaterThan" aboveAverage="0" equalAverage="0" bottom="0" percent="0" rank="0" text="" dxfId="0">
      <formula>AB39</formula>
    </cfRule>
  </conditionalFormatting>
  <conditionalFormatting sqref="AC40">
    <cfRule type="cellIs" priority="128" operator="greaterThan" aboveAverage="0" equalAverage="0" bottom="0" percent="0" rank="0" text="" dxfId="0">
      <formula>AB40</formula>
    </cfRule>
  </conditionalFormatting>
  <conditionalFormatting sqref="AC41">
    <cfRule type="cellIs" priority="129" operator="greaterThan" aboveAverage="0" equalAverage="0" bottom="0" percent="0" rank="0" text="" dxfId="0">
      <formula>AB41</formula>
    </cfRule>
  </conditionalFormatting>
  <conditionalFormatting sqref="AC42">
    <cfRule type="cellIs" priority="130" operator="greaterThan" aboveAverage="0" equalAverage="0" bottom="0" percent="0" rank="0" text="" dxfId="0">
      <formula>AB42</formula>
    </cfRule>
  </conditionalFormatting>
  <conditionalFormatting sqref="AC43">
    <cfRule type="cellIs" priority="131" operator="greaterThan" aboveAverage="0" equalAverage="0" bottom="0" percent="0" rank="0" text="" dxfId="0">
      <formula>AB43</formula>
    </cfRule>
  </conditionalFormatting>
  <conditionalFormatting sqref="AC44">
    <cfRule type="cellIs" priority="132" operator="greaterThan" aboveAverage="0" equalAverage="0" bottom="0" percent="0" rank="0" text="" dxfId="0">
      <formula>AB44</formula>
    </cfRule>
  </conditionalFormatting>
  <conditionalFormatting sqref="AC45">
    <cfRule type="cellIs" priority="133" operator="greaterThan" aboveAverage="0" equalAverage="0" bottom="0" percent="0" rank="0" text="" dxfId="0">
      <formula>AB45</formula>
    </cfRule>
  </conditionalFormatting>
  <conditionalFormatting sqref="AC46">
    <cfRule type="cellIs" priority="134" operator="greaterThan" aboveAverage="0" equalAverage="0" bottom="0" percent="0" rank="0" text="" dxfId="0">
      <formula>AB46</formula>
    </cfRule>
  </conditionalFormatting>
  <conditionalFormatting sqref="AC47">
    <cfRule type="cellIs" priority="135" operator="greaterThan" aboveAverage="0" equalAverage="0" bottom="0" percent="0" rank="0" text="" dxfId="0">
      <formula>AB47</formula>
    </cfRule>
  </conditionalFormatting>
  <conditionalFormatting sqref="AC48">
    <cfRule type="cellIs" priority="136" operator="greaterThan" aboveAverage="0" equalAverage="0" bottom="0" percent="0" rank="0" text="" dxfId="0">
      <formula>AB48</formula>
    </cfRule>
  </conditionalFormatting>
  <conditionalFormatting sqref="AC49">
    <cfRule type="cellIs" priority="137" operator="greaterThan" aboveAverage="0" equalAverage="0" bottom="0" percent="0" rank="0" text="" dxfId="0">
      <formula>AB49</formula>
    </cfRule>
  </conditionalFormatting>
  <conditionalFormatting sqref="AC50">
    <cfRule type="cellIs" priority="138" operator="greaterThan" aboveAverage="0" equalAverage="0" bottom="0" percent="0" rank="0" text="" dxfId="0">
      <formula>AB50</formula>
    </cfRule>
  </conditionalFormatting>
  <conditionalFormatting sqref="AC51">
    <cfRule type="cellIs" priority="139" operator="greaterThan" aboveAverage="0" equalAverage="0" bottom="0" percent="0" rank="0" text="" dxfId="0">
      <formula>AB51</formula>
    </cfRule>
  </conditionalFormatting>
  <conditionalFormatting sqref="AC53">
    <cfRule type="cellIs" priority="140" operator="greaterThan" aboveAverage="0" equalAverage="0" bottom="0" percent="0" rank="0" text="" dxfId="0">
      <formula>AB53</formula>
    </cfRule>
  </conditionalFormatting>
  <conditionalFormatting sqref="AC54">
    <cfRule type="cellIs" priority="141" operator="greaterThan" aboveAverage="0" equalAverage="0" bottom="0" percent="0" rank="0" text="" dxfId="0">
      <formula>AB54</formula>
    </cfRule>
  </conditionalFormatting>
  <conditionalFormatting sqref="AC55">
    <cfRule type="cellIs" priority="142" operator="greaterThan" aboveAverage="0" equalAverage="0" bottom="0" percent="0" rank="0" text="" dxfId="0">
      <formula>AB55</formula>
    </cfRule>
  </conditionalFormatting>
  <conditionalFormatting sqref="AC7">
    <cfRule type="cellIs" priority="143" operator="greaterThan" aboveAverage="0" equalAverage="0" bottom="0" percent="0" rank="0" text="" dxfId="0">
      <formula>AB7</formula>
    </cfRule>
  </conditionalFormatting>
  <conditionalFormatting sqref="AC8">
    <cfRule type="cellIs" priority="144" operator="greaterThan" aboveAverage="0" equalAverage="0" bottom="0" percent="0" rank="0" text="" dxfId="0">
      <formula>AB8</formula>
    </cfRule>
  </conditionalFormatting>
  <conditionalFormatting sqref="AC9">
    <cfRule type="cellIs" priority="145" operator="greaterThan" aboveAverage="0" equalAverage="0" bottom="0" percent="0" rank="0" text="" dxfId="0">
      <formula>AB9</formula>
    </cfRule>
  </conditionalFormatting>
  <conditionalFormatting sqref="AD10">
    <cfRule type="cellIs" priority="146" operator="lessThanOrEqual" aboveAverage="0" equalAverage="0" bottom="0" percent="0" rank="0" text="" dxfId="2">
      <formula>F10</formula>
    </cfRule>
  </conditionalFormatting>
  <conditionalFormatting sqref="AD11">
    <cfRule type="cellIs" priority="147" operator="lessThanOrEqual" aboveAverage="0" equalAverage="0" bottom="0" percent="0" rank="0" text="" dxfId="2">
      <formula>F11</formula>
    </cfRule>
  </conditionalFormatting>
  <conditionalFormatting sqref="AD12">
    <cfRule type="cellIs" priority="148" operator="lessThanOrEqual" aboveAverage="0" equalAverage="0" bottom="0" percent="0" rank="0" text="" dxfId="2">
      <formula>F12</formula>
    </cfRule>
  </conditionalFormatting>
  <conditionalFormatting sqref="AD13">
    <cfRule type="cellIs" priority="149" operator="lessThanOrEqual" aboveAverage="0" equalAverage="0" bottom="0" percent="0" rank="0" text="" dxfId="2">
      <formula>F13</formula>
    </cfRule>
  </conditionalFormatting>
  <conditionalFormatting sqref="AD14">
    <cfRule type="cellIs" priority="150" operator="lessThanOrEqual" aboveAverage="0" equalAverage="0" bottom="0" percent="0" rank="0" text="" dxfId="2">
      <formula>F14</formula>
    </cfRule>
  </conditionalFormatting>
  <conditionalFormatting sqref="AD15">
    <cfRule type="cellIs" priority="151" operator="lessThanOrEqual" aboveAverage="0" equalAverage="0" bottom="0" percent="0" rank="0" text="" dxfId="2">
      <formula>F15</formula>
    </cfRule>
  </conditionalFormatting>
  <conditionalFormatting sqref="AD16">
    <cfRule type="cellIs" priority="152" operator="lessThanOrEqual" aboveAverage="0" equalAverage="0" bottom="0" percent="0" rank="0" text="" dxfId="2">
      <formula>F16</formula>
    </cfRule>
  </conditionalFormatting>
  <conditionalFormatting sqref="AD17">
    <cfRule type="cellIs" priority="153" operator="lessThanOrEqual" aboveAverage="0" equalAverage="0" bottom="0" percent="0" rank="0" text="" dxfId="2">
      <formula>F17</formula>
    </cfRule>
  </conditionalFormatting>
  <conditionalFormatting sqref="AD18">
    <cfRule type="cellIs" priority="154" operator="lessThanOrEqual" aboveAverage="0" equalAverage="0" bottom="0" percent="0" rank="0" text="" dxfId="2">
      <formula>F18</formula>
    </cfRule>
  </conditionalFormatting>
  <conditionalFormatting sqref="AD19">
    <cfRule type="cellIs" priority="155" operator="lessThanOrEqual" aboveAverage="0" equalAverage="0" bottom="0" percent="0" rank="0" text="" dxfId="2">
      <formula>F19</formula>
    </cfRule>
  </conditionalFormatting>
  <conditionalFormatting sqref="AD20">
    <cfRule type="cellIs" priority="156" operator="lessThanOrEqual" aboveAverage="0" equalAverage="0" bottom="0" percent="0" rank="0" text="" dxfId="2">
      <formula>F20</formula>
    </cfRule>
  </conditionalFormatting>
  <conditionalFormatting sqref="AD21">
    <cfRule type="cellIs" priority="157" operator="lessThanOrEqual" aboveAverage="0" equalAverage="0" bottom="0" percent="0" rank="0" text="" dxfId="2">
      <formula>F21</formula>
    </cfRule>
  </conditionalFormatting>
  <conditionalFormatting sqref="AD22">
    <cfRule type="cellIs" priority="158" operator="lessThanOrEqual" aboveAverage="0" equalAverage="0" bottom="0" percent="0" rank="0" text="" dxfId="2">
      <formula>F22</formula>
    </cfRule>
  </conditionalFormatting>
  <conditionalFormatting sqref="AD23">
    <cfRule type="cellIs" priority="159" operator="lessThanOrEqual" aboveAverage="0" equalAverage="0" bottom="0" percent="0" rank="0" text="" dxfId="2">
      <formula>F23</formula>
    </cfRule>
  </conditionalFormatting>
  <conditionalFormatting sqref="AD24">
    <cfRule type="cellIs" priority="160" operator="lessThanOrEqual" aboveAverage="0" equalAverage="0" bottom="0" percent="0" rank="0" text="" dxfId="2">
      <formula>F24</formula>
    </cfRule>
  </conditionalFormatting>
  <conditionalFormatting sqref="AD25">
    <cfRule type="cellIs" priority="161" operator="lessThanOrEqual" aboveAverage="0" equalAverage="0" bottom="0" percent="0" rank="0" text="" dxfId="2">
      <formula>F25</formula>
    </cfRule>
  </conditionalFormatting>
  <conditionalFormatting sqref="AD26">
    <cfRule type="cellIs" priority="162" operator="lessThanOrEqual" aboveAverage="0" equalAverage="0" bottom="0" percent="0" rank="0" text="" dxfId="2">
      <formula>F26</formula>
    </cfRule>
  </conditionalFormatting>
  <conditionalFormatting sqref="AD27">
    <cfRule type="cellIs" priority="163" operator="lessThanOrEqual" aboveAverage="0" equalAverage="0" bottom="0" percent="0" rank="0" text="" dxfId="2">
      <formula>F27</formula>
    </cfRule>
  </conditionalFormatting>
  <conditionalFormatting sqref="AD28">
    <cfRule type="cellIs" priority="164" operator="lessThanOrEqual" aboveAverage="0" equalAverage="0" bottom="0" percent="0" rank="0" text="" dxfId="2">
      <formula>F28</formula>
    </cfRule>
  </conditionalFormatting>
  <conditionalFormatting sqref="AD29">
    <cfRule type="cellIs" priority="165" operator="lessThanOrEqual" aboveAverage="0" equalAverage="0" bottom="0" percent="0" rank="0" text="" dxfId="2">
      <formula>F29</formula>
    </cfRule>
  </conditionalFormatting>
  <conditionalFormatting sqref="AD30">
    <cfRule type="cellIs" priority="166" operator="lessThanOrEqual" aboveAverage="0" equalAverage="0" bottom="0" percent="0" rank="0" text="" dxfId="2">
      <formula>F30</formula>
    </cfRule>
  </conditionalFormatting>
  <conditionalFormatting sqref="AD31">
    <cfRule type="cellIs" priority="167" operator="lessThanOrEqual" aboveAverage="0" equalAverage="0" bottom="0" percent="0" rank="0" text="" dxfId="2">
      <formula>F31</formula>
    </cfRule>
  </conditionalFormatting>
  <conditionalFormatting sqref="AD32">
    <cfRule type="cellIs" priority="168" operator="lessThanOrEqual" aboveAverage="0" equalAverage="0" bottom="0" percent="0" rank="0" text="" dxfId="2">
      <formula>F32</formula>
    </cfRule>
  </conditionalFormatting>
  <conditionalFormatting sqref="AD33">
    <cfRule type="cellIs" priority="169" operator="lessThanOrEqual" aboveAverage="0" equalAverage="0" bottom="0" percent="0" rank="0" text="" dxfId="2">
      <formula>F33</formula>
    </cfRule>
  </conditionalFormatting>
  <conditionalFormatting sqref="AD34">
    <cfRule type="cellIs" priority="170" operator="lessThanOrEqual" aboveAverage="0" equalAverage="0" bottom="0" percent="0" rank="0" text="" dxfId="2">
      <formula>F34</formula>
    </cfRule>
  </conditionalFormatting>
  <conditionalFormatting sqref="AD35">
    <cfRule type="cellIs" priority="171" operator="lessThanOrEqual" aboveAverage="0" equalAverage="0" bottom="0" percent="0" rank="0" text="" dxfId="2">
      <formula>F35</formula>
    </cfRule>
  </conditionalFormatting>
  <conditionalFormatting sqref="AD36">
    <cfRule type="cellIs" priority="172" operator="lessThanOrEqual" aboveAverage="0" equalAverage="0" bottom="0" percent="0" rank="0" text="" dxfId="2">
      <formula>F36</formula>
    </cfRule>
  </conditionalFormatting>
  <conditionalFormatting sqref="AD37">
    <cfRule type="cellIs" priority="173" operator="lessThanOrEqual" aboveAverage="0" equalAverage="0" bottom="0" percent="0" rank="0" text="" dxfId="2">
      <formula>F37</formula>
    </cfRule>
  </conditionalFormatting>
  <conditionalFormatting sqref="AD38">
    <cfRule type="cellIs" priority="174" operator="lessThanOrEqual" aboveAverage="0" equalAverage="0" bottom="0" percent="0" rank="0" text="" dxfId="2">
      <formula>F38</formula>
    </cfRule>
  </conditionalFormatting>
  <conditionalFormatting sqref="AD39">
    <cfRule type="cellIs" priority="175" operator="lessThanOrEqual" aboveAverage="0" equalAverage="0" bottom="0" percent="0" rank="0" text="" dxfId="2">
      <formula>F39</formula>
    </cfRule>
  </conditionalFormatting>
  <conditionalFormatting sqref="AD40">
    <cfRule type="cellIs" priority="176" operator="lessThanOrEqual" aboveAverage="0" equalAverage="0" bottom="0" percent="0" rank="0" text="" dxfId="2">
      <formula>F40</formula>
    </cfRule>
  </conditionalFormatting>
  <conditionalFormatting sqref="AD41">
    <cfRule type="cellIs" priority="177" operator="lessThanOrEqual" aboveAverage="0" equalAverage="0" bottom="0" percent="0" rank="0" text="" dxfId="2">
      <formula>F41</formula>
    </cfRule>
  </conditionalFormatting>
  <conditionalFormatting sqref="AD42">
    <cfRule type="cellIs" priority="178" operator="lessThanOrEqual" aboveAverage="0" equalAverage="0" bottom="0" percent="0" rank="0" text="" dxfId="2">
      <formula>F42</formula>
    </cfRule>
  </conditionalFormatting>
  <conditionalFormatting sqref="AD43">
    <cfRule type="cellIs" priority="179" operator="lessThanOrEqual" aboveAverage="0" equalAverage="0" bottom="0" percent="0" rank="0" text="" dxfId="2">
      <formula>F43</formula>
    </cfRule>
  </conditionalFormatting>
  <conditionalFormatting sqref="AD44">
    <cfRule type="cellIs" priority="180" operator="lessThanOrEqual" aboveAverage="0" equalAverage="0" bottom="0" percent="0" rank="0" text="" dxfId="2">
      <formula>F44</formula>
    </cfRule>
  </conditionalFormatting>
  <conditionalFormatting sqref="AD45">
    <cfRule type="cellIs" priority="181" operator="lessThanOrEqual" aboveAverage="0" equalAverage="0" bottom="0" percent="0" rank="0" text="" dxfId="2">
      <formula>F45</formula>
    </cfRule>
  </conditionalFormatting>
  <conditionalFormatting sqref="AD46">
    <cfRule type="cellIs" priority="182" operator="lessThanOrEqual" aboveAverage="0" equalAverage="0" bottom="0" percent="0" rank="0" text="" dxfId="2">
      <formula>F46</formula>
    </cfRule>
  </conditionalFormatting>
  <conditionalFormatting sqref="AD47">
    <cfRule type="cellIs" priority="183" operator="lessThanOrEqual" aboveAverage="0" equalAverage="0" bottom="0" percent="0" rank="0" text="" dxfId="2">
      <formula>F47</formula>
    </cfRule>
  </conditionalFormatting>
  <conditionalFormatting sqref="AD48">
    <cfRule type="cellIs" priority="184" operator="lessThanOrEqual" aboveAverage="0" equalAverage="0" bottom="0" percent="0" rank="0" text="" dxfId="2">
      <formula>F48</formula>
    </cfRule>
  </conditionalFormatting>
  <conditionalFormatting sqref="AD49">
    <cfRule type="cellIs" priority="185" operator="lessThanOrEqual" aboveAverage="0" equalAverage="0" bottom="0" percent="0" rank="0" text="" dxfId="2">
      <formula>F49</formula>
    </cfRule>
  </conditionalFormatting>
  <conditionalFormatting sqref="AD50">
    <cfRule type="cellIs" priority="186" operator="lessThanOrEqual" aboveAverage="0" equalAverage="0" bottom="0" percent="0" rank="0" text="" dxfId="2">
      <formula>F50</formula>
    </cfRule>
  </conditionalFormatting>
  <conditionalFormatting sqref="AD51">
    <cfRule type="cellIs" priority="187" operator="lessThanOrEqual" aboveAverage="0" equalAverage="0" bottom="0" percent="0" rank="0" text="" dxfId="2">
      <formula>F51</formula>
    </cfRule>
  </conditionalFormatting>
  <conditionalFormatting sqref="AD53">
    <cfRule type="cellIs" priority="188" operator="lessThanOrEqual" aboveAverage="0" equalAverage="0" bottom="0" percent="0" rank="0" text="" dxfId="2">
      <formula>F53</formula>
    </cfRule>
  </conditionalFormatting>
  <conditionalFormatting sqref="AD54">
    <cfRule type="cellIs" priority="189" operator="lessThanOrEqual" aboveAverage="0" equalAverage="0" bottom="0" percent="0" rank="0" text="" dxfId="2">
      <formula>F54</formula>
    </cfRule>
  </conditionalFormatting>
  <conditionalFormatting sqref="AD55">
    <cfRule type="cellIs" priority="190" operator="lessThanOrEqual" aboveAverage="0" equalAverage="0" bottom="0" percent="0" rank="0" text="" dxfId="2">
      <formula>F55</formula>
    </cfRule>
  </conditionalFormatting>
  <conditionalFormatting sqref="AD7">
    <cfRule type="cellIs" priority="191" operator="lessThanOrEqual" aboveAverage="0" equalAverage="0" bottom="0" percent="0" rank="0" text="" dxfId="2">
      <formula>F7</formula>
    </cfRule>
  </conditionalFormatting>
  <conditionalFormatting sqref="AD8">
    <cfRule type="cellIs" priority="192" operator="lessThanOrEqual" aboveAverage="0" equalAverage="0" bottom="0" percent="0" rank="0" text="" dxfId="2">
      <formula>F8</formula>
    </cfRule>
  </conditionalFormatting>
  <conditionalFormatting sqref="AD9">
    <cfRule type="cellIs" priority="193" operator="lessThanOrEqual" aboveAverage="0" equalAverage="0" bottom="0" percent="0" rank="0" text="" dxfId="2">
      <formula>F9</formula>
    </cfRule>
  </conditionalFormatting>
  <conditionalFormatting sqref="AE10">
    <cfRule type="cellIs" priority="194" operator="lessThanOrEqual" aboveAverage="0" equalAverage="0" bottom="0" percent="0" rank="0" text="" dxfId="2">
      <formula>G10</formula>
    </cfRule>
  </conditionalFormatting>
  <conditionalFormatting sqref="AE11">
    <cfRule type="cellIs" priority="195" operator="lessThanOrEqual" aboveAverage="0" equalAverage="0" bottom="0" percent="0" rank="0" text="" dxfId="2">
      <formula>G11</formula>
    </cfRule>
  </conditionalFormatting>
  <conditionalFormatting sqref="AE12">
    <cfRule type="cellIs" priority="196" operator="lessThanOrEqual" aboveAverage="0" equalAverage="0" bottom="0" percent="0" rank="0" text="" dxfId="2">
      <formula>G12</formula>
    </cfRule>
  </conditionalFormatting>
  <conditionalFormatting sqref="AE13">
    <cfRule type="cellIs" priority="197" operator="lessThanOrEqual" aboveAverage="0" equalAverage="0" bottom="0" percent="0" rank="0" text="" dxfId="2">
      <formula>G13</formula>
    </cfRule>
  </conditionalFormatting>
  <conditionalFormatting sqref="AE14">
    <cfRule type="cellIs" priority="198" operator="lessThanOrEqual" aboveAverage="0" equalAverage="0" bottom="0" percent="0" rank="0" text="" dxfId="2">
      <formula>G14</formula>
    </cfRule>
  </conditionalFormatting>
  <conditionalFormatting sqref="AE15">
    <cfRule type="cellIs" priority="199" operator="lessThanOrEqual" aboveAverage="0" equalAverage="0" bottom="0" percent="0" rank="0" text="" dxfId="2">
      <formula>G15</formula>
    </cfRule>
  </conditionalFormatting>
  <conditionalFormatting sqref="AE16">
    <cfRule type="cellIs" priority="200" operator="lessThanOrEqual" aboveAverage="0" equalAverage="0" bottom="0" percent="0" rank="0" text="" dxfId="2">
      <formula>G16</formula>
    </cfRule>
  </conditionalFormatting>
  <conditionalFormatting sqref="AE17">
    <cfRule type="cellIs" priority="201" operator="lessThanOrEqual" aboveAverage="0" equalAverage="0" bottom="0" percent="0" rank="0" text="" dxfId="2">
      <formula>G17</formula>
    </cfRule>
  </conditionalFormatting>
  <conditionalFormatting sqref="AE18">
    <cfRule type="cellIs" priority="202" operator="lessThanOrEqual" aboveAverage="0" equalAverage="0" bottom="0" percent="0" rank="0" text="" dxfId="2">
      <formula>G18</formula>
    </cfRule>
  </conditionalFormatting>
  <conditionalFormatting sqref="AE19">
    <cfRule type="cellIs" priority="203" operator="lessThanOrEqual" aboveAverage="0" equalAverage="0" bottom="0" percent="0" rank="0" text="" dxfId="2">
      <formula>G19</formula>
    </cfRule>
  </conditionalFormatting>
  <conditionalFormatting sqref="AE20">
    <cfRule type="cellIs" priority="204" operator="lessThanOrEqual" aboveAverage="0" equalAverage="0" bottom="0" percent="0" rank="0" text="" dxfId="2">
      <formula>G20</formula>
    </cfRule>
  </conditionalFormatting>
  <conditionalFormatting sqref="AE21">
    <cfRule type="cellIs" priority="205" operator="lessThanOrEqual" aboveAverage="0" equalAverage="0" bottom="0" percent="0" rank="0" text="" dxfId="2">
      <formula>G21</formula>
    </cfRule>
  </conditionalFormatting>
  <conditionalFormatting sqref="AE22">
    <cfRule type="cellIs" priority="206" operator="lessThanOrEqual" aboveAverage="0" equalAverage="0" bottom="0" percent="0" rank="0" text="" dxfId="2">
      <formula>G22</formula>
    </cfRule>
  </conditionalFormatting>
  <conditionalFormatting sqref="AE23">
    <cfRule type="cellIs" priority="207" operator="lessThanOrEqual" aboveAverage="0" equalAverage="0" bottom="0" percent="0" rank="0" text="" dxfId="2">
      <formula>G23</formula>
    </cfRule>
  </conditionalFormatting>
  <conditionalFormatting sqref="AE24">
    <cfRule type="cellIs" priority="208" operator="lessThanOrEqual" aboveAverage="0" equalAverage="0" bottom="0" percent="0" rank="0" text="" dxfId="2">
      <formula>G24</formula>
    </cfRule>
  </conditionalFormatting>
  <conditionalFormatting sqref="AE25">
    <cfRule type="cellIs" priority="209" operator="lessThanOrEqual" aboveAverage="0" equalAverage="0" bottom="0" percent="0" rank="0" text="" dxfId="2">
      <formula>G25</formula>
    </cfRule>
  </conditionalFormatting>
  <conditionalFormatting sqref="AE26">
    <cfRule type="cellIs" priority="210" operator="lessThanOrEqual" aboveAverage="0" equalAverage="0" bottom="0" percent="0" rank="0" text="" dxfId="2">
      <formula>G26</formula>
    </cfRule>
  </conditionalFormatting>
  <conditionalFormatting sqref="AE27">
    <cfRule type="cellIs" priority="211" operator="lessThanOrEqual" aboveAverage="0" equalAverage="0" bottom="0" percent="0" rank="0" text="" dxfId="2">
      <formula>G27</formula>
    </cfRule>
  </conditionalFormatting>
  <conditionalFormatting sqref="AE28">
    <cfRule type="cellIs" priority="212" operator="lessThanOrEqual" aboveAverage="0" equalAverage="0" bottom="0" percent="0" rank="0" text="" dxfId="2">
      <formula>G28</formula>
    </cfRule>
  </conditionalFormatting>
  <conditionalFormatting sqref="AE29">
    <cfRule type="cellIs" priority="213" operator="lessThanOrEqual" aboveAverage="0" equalAverage="0" bottom="0" percent="0" rank="0" text="" dxfId="2">
      <formula>G29</formula>
    </cfRule>
  </conditionalFormatting>
  <conditionalFormatting sqref="AE30">
    <cfRule type="cellIs" priority="214" operator="lessThanOrEqual" aboveAverage="0" equalAverage="0" bottom="0" percent="0" rank="0" text="" dxfId="2">
      <formula>G30</formula>
    </cfRule>
  </conditionalFormatting>
  <conditionalFormatting sqref="AE31">
    <cfRule type="cellIs" priority="215" operator="lessThanOrEqual" aboveAverage="0" equalAverage="0" bottom="0" percent="0" rank="0" text="" dxfId="2">
      <formula>G31</formula>
    </cfRule>
  </conditionalFormatting>
  <conditionalFormatting sqref="AE32">
    <cfRule type="cellIs" priority="216" operator="lessThanOrEqual" aboveAverage="0" equalAverage="0" bottom="0" percent="0" rank="0" text="" dxfId="2">
      <formula>G32</formula>
    </cfRule>
  </conditionalFormatting>
  <conditionalFormatting sqref="AE33">
    <cfRule type="cellIs" priority="217" operator="lessThanOrEqual" aboveAverage="0" equalAverage="0" bottom="0" percent="0" rank="0" text="" dxfId="2">
      <formula>G33</formula>
    </cfRule>
  </conditionalFormatting>
  <conditionalFormatting sqref="AE34">
    <cfRule type="cellIs" priority="218" operator="lessThanOrEqual" aboveAverage="0" equalAverage="0" bottom="0" percent="0" rank="0" text="" dxfId="2">
      <formula>G34</formula>
    </cfRule>
  </conditionalFormatting>
  <conditionalFormatting sqref="AE35">
    <cfRule type="cellIs" priority="219" operator="lessThanOrEqual" aboveAverage="0" equalAverage="0" bottom="0" percent="0" rank="0" text="" dxfId="2">
      <formula>G35</formula>
    </cfRule>
  </conditionalFormatting>
  <conditionalFormatting sqref="AE36">
    <cfRule type="cellIs" priority="220" operator="lessThanOrEqual" aboveAverage="0" equalAverage="0" bottom="0" percent="0" rank="0" text="" dxfId="2">
      <formula>G36</formula>
    </cfRule>
  </conditionalFormatting>
  <conditionalFormatting sqref="AE37">
    <cfRule type="cellIs" priority="221" operator="lessThanOrEqual" aboveAverage="0" equalAverage="0" bottom="0" percent="0" rank="0" text="" dxfId="2">
      <formula>G37</formula>
    </cfRule>
  </conditionalFormatting>
  <conditionalFormatting sqref="AE38">
    <cfRule type="cellIs" priority="222" operator="lessThanOrEqual" aboveAverage="0" equalAverage="0" bottom="0" percent="0" rank="0" text="" dxfId="2">
      <formula>G38</formula>
    </cfRule>
  </conditionalFormatting>
  <conditionalFormatting sqref="AE39">
    <cfRule type="cellIs" priority="223" operator="lessThanOrEqual" aboveAverage="0" equalAverage="0" bottom="0" percent="0" rank="0" text="" dxfId="2">
      <formula>G39</formula>
    </cfRule>
  </conditionalFormatting>
  <conditionalFormatting sqref="AE40">
    <cfRule type="cellIs" priority="224" operator="lessThanOrEqual" aboveAverage="0" equalAverage="0" bottom="0" percent="0" rank="0" text="" dxfId="2">
      <formula>G40</formula>
    </cfRule>
  </conditionalFormatting>
  <conditionalFormatting sqref="AE41">
    <cfRule type="cellIs" priority="225" operator="lessThanOrEqual" aboveAverage="0" equalAverage="0" bottom="0" percent="0" rank="0" text="" dxfId="2">
      <formula>G41</formula>
    </cfRule>
  </conditionalFormatting>
  <conditionalFormatting sqref="AE42">
    <cfRule type="cellIs" priority="226" operator="lessThanOrEqual" aboveAverage="0" equalAverage="0" bottom="0" percent="0" rank="0" text="" dxfId="2">
      <formula>G42</formula>
    </cfRule>
  </conditionalFormatting>
  <conditionalFormatting sqref="AE43">
    <cfRule type="cellIs" priority="227" operator="lessThanOrEqual" aboveAverage="0" equalAverage="0" bottom="0" percent="0" rank="0" text="" dxfId="2">
      <formula>G43</formula>
    </cfRule>
  </conditionalFormatting>
  <conditionalFormatting sqref="AE44">
    <cfRule type="cellIs" priority="228" operator="lessThanOrEqual" aboveAverage="0" equalAverage="0" bottom="0" percent="0" rank="0" text="" dxfId="2">
      <formula>G44</formula>
    </cfRule>
  </conditionalFormatting>
  <conditionalFormatting sqref="AE45">
    <cfRule type="cellIs" priority="229" operator="lessThanOrEqual" aboveAverage="0" equalAverage="0" bottom="0" percent="0" rank="0" text="" dxfId="2">
      <formula>G45</formula>
    </cfRule>
  </conditionalFormatting>
  <conditionalFormatting sqref="AE46">
    <cfRule type="cellIs" priority="230" operator="lessThanOrEqual" aboveAverage="0" equalAverage="0" bottom="0" percent="0" rank="0" text="" dxfId="2">
      <formula>G46</formula>
    </cfRule>
  </conditionalFormatting>
  <conditionalFormatting sqref="AE47">
    <cfRule type="cellIs" priority="231" operator="lessThanOrEqual" aboveAverage="0" equalAverage="0" bottom="0" percent="0" rank="0" text="" dxfId="2">
      <formula>G47</formula>
    </cfRule>
  </conditionalFormatting>
  <conditionalFormatting sqref="AE48">
    <cfRule type="cellIs" priority="232" operator="lessThanOrEqual" aboveAverage="0" equalAverage="0" bottom="0" percent="0" rank="0" text="" dxfId="2">
      <formula>G48</formula>
    </cfRule>
  </conditionalFormatting>
  <conditionalFormatting sqref="AE49">
    <cfRule type="cellIs" priority="233" operator="lessThanOrEqual" aboveAverage="0" equalAverage="0" bottom="0" percent="0" rank="0" text="" dxfId="2">
      <formula>G49</formula>
    </cfRule>
  </conditionalFormatting>
  <conditionalFormatting sqref="AE50">
    <cfRule type="cellIs" priority="234" operator="lessThanOrEqual" aboveAverage="0" equalAverage="0" bottom="0" percent="0" rank="0" text="" dxfId="2">
      <formula>G50</formula>
    </cfRule>
  </conditionalFormatting>
  <conditionalFormatting sqref="AE51">
    <cfRule type="cellIs" priority="235" operator="lessThanOrEqual" aboveAverage="0" equalAverage="0" bottom="0" percent="0" rank="0" text="" dxfId="2">
      <formula>G51</formula>
    </cfRule>
  </conditionalFormatting>
  <conditionalFormatting sqref="AE53">
    <cfRule type="cellIs" priority="236" operator="lessThanOrEqual" aboveAverage="0" equalAverage="0" bottom="0" percent="0" rank="0" text="" dxfId="2">
      <formula>G53</formula>
    </cfRule>
  </conditionalFormatting>
  <conditionalFormatting sqref="AE54">
    <cfRule type="cellIs" priority="237" operator="lessThanOrEqual" aboveAverage="0" equalAverage="0" bottom="0" percent="0" rank="0" text="" dxfId="2">
      <formula>G54</formula>
    </cfRule>
  </conditionalFormatting>
  <conditionalFormatting sqref="AE55">
    <cfRule type="cellIs" priority="238" operator="lessThanOrEqual" aboveAverage="0" equalAverage="0" bottom="0" percent="0" rank="0" text="" dxfId="2">
      <formula>G55</formula>
    </cfRule>
  </conditionalFormatting>
  <conditionalFormatting sqref="AE7">
    <cfRule type="cellIs" priority="239" operator="lessThanOrEqual" aboveAverage="0" equalAverage="0" bottom="0" percent="0" rank="0" text="" dxfId="2">
      <formula>G7</formula>
    </cfRule>
  </conditionalFormatting>
  <conditionalFormatting sqref="AE8">
    <cfRule type="cellIs" priority="240" operator="lessThanOrEqual" aboveAverage="0" equalAverage="0" bottom="0" percent="0" rank="0" text="" dxfId="2">
      <formula>G8</formula>
    </cfRule>
  </conditionalFormatting>
  <conditionalFormatting sqref="AE9">
    <cfRule type="cellIs" priority="241" operator="lessThanOrEqual" aboveAverage="0" equalAverage="0" bottom="0" percent="0" rank="0" text="" dxfId="2">
      <formula>G9</formula>
    </cfRule>
  </conditionalFormatting>
  <conditionalFormatting sqref="AG10">
    <cfRule type="cellIs" priority="242" operator="equal" aboveAverage="0" equalAverage="0" bottom="0" percent="0" rank="0" text="" dxfId="0">
      <formula>0</formula>
    </cfRule>
    <cfRule type="cellIs" priority="243" operator="lessThan" aboveAverage="0" equalAverage="0" bottom="0" percent="0" rank="0" text="" dxfId="1">
      <formula>E10</formula>
    </cfRule>
  </conditionalFormatting>
  <conditionalFormatting sqref="AG11">
    <cfRule type="cellIs" priority="244" operator="equal" aboveAverage="0" equalAverage="0" bottom="0" percent="0" rank="0" text="" dxfId="0">
      <formula>0</formula>
    </cfRule>
    <cfRule type="cellIs" priority="245" operator="lessThan" aboveAverage="0" equalAverage="0" bottom="0" percent="0" rank="0" text="" dxfId="1">
      <formula>E11</formula>
    </cfRule>
  </conditionalFormatting>
  <conditionalFormatting sqref="AG12">
    <cfRule type="cellIs" priority="246" operator="equal" aboveAverage="0" equalAverage="0" bottom="0" percent="0" rank="0" text="" dxfId="0">
      <formula>0</formula>
    </cfRule>
    <cfRule type="cellIs" priority="247" operator="lessThan" aboveAverage="0" equalAverage="0" bottom="0" percent="0" rank="0" text="" dxfId="1">
      <formula>E12</formula>
    </cfRule>
  </conditionalFormatting>
  <conditionalFormatting sqref="AG13">
    <cfRule type="cellIs" priority="248" operator="equal" aboveAverage="0" equalAverage="0" bottom="0" percent="0" rank="0" text="" dxfId="0">
      <formula>0</formula>
    </cfRule>
    <cfRule type="cellIs" priority="249" operator="lessThan" aboveAverage="0" equalAverage="0" bottom="0" percent="0" rank="0" text="" dxfId="1">
      <formula>E13</formula>
    </cfRule>
  </conditionalFormatting>
  <conditionalFormatting sqref="AG15">
    <cfRule type="cellIs" priority="250" operator="equal" aboveAverage="0" equalAverage="0" bottom="0" percent="0" rank="0" text="" dxfId="0">
      <formula>0</formula>
    </cfRule>
    <cfRule type="cellIs" priority="251" operator="lessThan" aboveAverage="0" equalAverage="0" bottom="0" percent="0" rank="0" text="" dxfId="1">
      <formula>E15</formula>
    </cfRule>
  </conditionalFormatting>
  <conditionalFormatting sqref="AG16">
    <cfRule type="cellIs" priority="252" operator="equal" aboveAverage="0" equalAverage="0" bottom="0" percent="0" rank="0" text="" dxfId="0">
      <formula>0</formula>
    </cfRule>
    <cfRule type="cellIs" priority="253" operator="lessThan" aboveAverage="0" equalAverage="0" bottom="0" percent="0" rank="0" text="" dxfId="1">
      <formula>E16</formula>
    </cfRule>
  </conditionalFormatting>
  <conditionalFormatting sqref="AG18">
    <cfRule type="cellIs" priority="254" operator="equal" aboveAverage="0" equalAverage="0" bottom="0" percent="0" rank="0" text="" dxfId="0">
      <formula>0</formula>
    </cfRule>
    <cfRule type="cellIs" priority="255" operator="lessThan" aboveAverage="0" equalAverage="0" bottom="0" percent="0" rank="0" text="" dxfId="1">
      <formula>E18</formula>
    </cfRule>
  </conditionalFormatting>
  <conditionalFormatting sqref="AG19">
    <cfRule type="cellIs" priority="256" operator="equal" aboveAverage="0" equalAverage="0" bottom="0" percent="0" rank="0" text="" dxfId="0">
      <formula>0</formula>
    </cfRule>
    <cfRule type="cellIs" priority="257" operator="lessThan" aboveAverage="0" equalAverage="0" bottom="0" percent="0" rank="0" text="" dxfId="1">
      <formula>E19</formula>
    </cfRule>
  </conditionalFormatting>
  <conditionalFormatting sqref="AG20">
    <cfRule type="cellIs" priority="258" operator="equal" aboveAverage="0" equalAverage="0" bottom="0" percent="0" rank="0" text="" dxfId="0">
      <formula>0</formula>
    </cfRule>
    <cfRule type="cellIs" priority="259" operator="lessThan" aboveAverage="0" equalAverage="0" bottom="0" percent="0" rank="0" text="" dxfId="1">
      <formula>E20</formula>
    </cfRule>
  </conditionalFormatting>
  <conditionalFormatting sqref="AG21">
    <cfRule type="cellIs" priority="260" operator="equal" aboveAverage="0" equalAverage="0" bottom="0" percent="0" rank="0" text="" dxfId="0">
      <formula>0</formula>
    </cfRule>
    <cfRule type="cellIs" priority="261" operator="lessThan" aboveAverage="0" equalAverage="0" bottom="0" percent="0" rank="0" text="" dxfId="1">
      <formula>E21</formula>
    </cfRule>
  </conditionalFormatting>
  <conditionalFormatting sqref="AG22">
    <cfRule type="cellIs" priority="262" operator="equal" aboveAverage="0" equalAverage="0" bottom="0" percent="0" rank="0" text="" dxfId="0">
      <formula>0</formula>
    </cfRule>
    <cfRule type="cellIs" priority="263" operator="lessThan" aboveAverage="0" equalAverage="0" bottom="0" percent="0" rank="0" text="" dxfId="1">
      <formula>E22</formula>
    </cfRule>
  </conditionalFormatting>
  <conditionalFormatting sqref="AG23">
    <cfRule type="cellIs" priority="264" operator="equal" aboveAverage="0" equalAverage="0" bottom="0" percent="0" rank="0" text="" dxfId="0">
      <formula>0</formula>
    </cfRule>
    <cfRule type="cellIs" priority="265" operator="lessThan" aboveAverage="0" equalAverage="0" bottom="0" percent="0" rank="0" text="" dxfId="1">
      <formula>E23</formula>
    </cfRule>
  </conditionalFormatting>
  <conditionalFormatting sqref="AG24">
    <cfRule type="cellIs" priority="266" operator="equal" aboveAverage="0" equalAverage="0" bottom="0" percent="0" rank="0" text="" dxfId="0">
      <formula>0</formula>
    </cfRule>
    <cfRule type="cellIs" priority="267" operator="lessThan" aboveAverage="0" equalAverage="0" bottom="0" percent="0" rank="0" text="" dxfId="1">
      <formula>E24</formula>
    </cfRule>
  </conditionalFormatting>
  <conditionalFormatting sqref="AG28">
    <cfRule type="cellIs" priority="268" operator="equal" aboveAverage="0" equalAverage="0" bottom="0" percent="0" rank="0" text="" dxfId="0">
      <formula>0</formula>
    </cfRule>
    <cfRule type="cellIs" priority="269" operator="lessThan" aboveAverage="0" equalAverage="0" bottom="0" percent="0" rank="0" text="" dxfId="1">
      <formula>E28</formula>
    </cfRule>
  </conditionalFormatting>
  <conditionalFormatting sqref="AG29">
    <cfRule type="cellIs" priority="270" operator="equal" aboveAverage="0" equalAverage="0" bottom="0" percent="0" rank="0" text="" dxfId="0">
      <formula>0</formula>
    </cfRule>
    <cfRule type="cellIs" priority="271" operator="lessThan" aboveAverage="0" equalAverage="0" bottom="0" percent="0" rank="0" text="" dxfId="1">
      <formula>E29</formula>
    </cfRule>
  </conditionalFormatting>
  <conditionalFormatting sqref="AG32">
    <cfRule type="cellIs" priority="272" operator="equal" aboveAverage="0" equalAverage="0" bottom="0" percent="0" rank="0" text="" dxfId="0">
      <formula>0</formula>
    </cfRule>
    <cfRule type="cellIs" priority="273" operator="lessThan" aboveAverage="0" equalAverage="0" bottom="0" percent="0" rank="0" text="" dxfId="1">
      <formula>E32</formula>
    </cfRule>
  </conditionalFormatting>
  <conditionalFormatting sqref="AG33">
    <cfRule type="cellIs" priority="274" operator="equal" aboveAverage="0" equalAverage="0" bottom="0" percent="0" rank="0" text="" dxfId="0">
      <formula>0</formula>
    </cfRule>
    <cfRule type="cellIs" priority="275" operator="lessThan" aboveAverage="0" equalAverage="0" bottom="0" percent="0" rank="0" text="" dxfId="1">
      <formula>E33</formula>
    </cfRule>
  </conditionalFormatting>
  <conditionalFormatting sqref="AG34">
    <cfRule type="cellIs" priority="276" operator="equal" aboveAverage="0" equalAverage="0" bottom="0" percent="0" rank="0" text="" dxfId="0">
      <formula>0</formula>
    </cfRule>
    <cfRule type="cellIs" priority="277" operator="lessThan" aboveAverage="0" equalAverage="0" bottom="0" percent="0" rank="0" text="" dxfId="1">
      <formula>E34</formula>
    </cfRule>
  </conditionalFormatting>
  <conditionalFormatting sqref="AG35">
    <cfRule type="cellIs" priority="278" operator="equal" aboveAverage="0" equalAverage="0" bottom="0" percent="0" rank="0" text="" dxfId="0">
      <formula>0</formula>
    </cfRule>
    <cfRule type="cellIs" priority="279" operator="lessThan" aboveAverage="0" equalAverage="0" bottom="0" percent="0" rank="0" text="" dxfId="1">
      <formula>E35</formula>
    </cfRule>
  </conditionalFormatting>
  <conditionalFormatting sqref="AG36">
    <cfRule type="cellIs" priority="280" operator="equal" aboveAverage="0" equalAverage="0" bottom="0" percent="0" rank="0" text="" dxfId="0">
      <formula>0</formula>
    </cfRule>
    <cfRule type="cellIs" priority="281" operator="lessThan" aboveAverage="0" equalAverage="0" bottom="0" percent="0" rank="0" text="" dxfId="1">
      <formula>E36</formula>
    </cfRule>
  </conditionalFormatting>
  <conditionalFormatting sqref="AG37">
    <cfRule type="cellIs" priority="282" operator="equal" aboveAverage="0" equalAverage="0" bottom="0" percent="0" rank="0" text="" dxfId="0">
      <formula>0</formula>
    </cfRule>
    <cfRule type="cellIs" priority="283" operator="lessThan" aboveAverage="0" equalAverage="0" bottom="0" percent="0" rank="0" text="" dxfId="1">
      <formula>E37</formula>
    </cfRule>
  </conditionalFormatting>
  <conditionalFormatting sqref="AG38">
    <cfRule type="cellIs" priority="284" operator="equal" aboveAverage="0" equalAverage="0" bottom="0" percent="0" rank="0" text="" dxfId="0">
      <formula>0</formula>
    </cfRule>
    <cfRule type="cellIs" priority="285" operator="lessThan" aboveAverage="0" equalAverage="0" bottom="0" percent="0" rank="0" text="" dxfId="1">
      <formula>E38</formula>
    </cfRule>
  </conditionalFormatting>
  <conditionalFormatting sqref="AG39">
    <cfRule type="cellIs" priority="286" operator="equal" aboveAverage="0" equalAverage="0" bottom="0" percent="0" rank="0" text="" dxfId="0">
      <formula>0</formula>
    </cfRule>
    <cfRule type="cellIs" priority="287" operator="lessThan" aboveAverage="0" equalAverage="0" bottom="0" percent="0" rank="0" text="" dxfId="1">
      <formula>E39</formula>
    </cfRule>
  </conditionalFormatting>
  <conditionalFormatting sqref="AG40">
    <cfRule type="cellIs" priority="288" operator="equal" aboveAverage="0" equalAverage="0" bottom="0" percent="0" rank="0" text="" dxfId="0">
      <formula>0</formula>
    </cfRule>
    <cfRule type="cellIs" priority="289" operator="lessThan" aboveAverage="0" equalAverage="0" bottom="0" percent="0" rank="0" text="" dxfId="1">
      <formula>E40</formula>
    </cfRule>
  </conditionalFormatting>
  <conditionalFormatting sqref="AG41">
    <cfRule type="cellIs" priority="290" operator="equal" aboveAverage="0" equalAverage="0" bottom="0" percent="0" rank="0" text="" dxfId="0">
      <formula>0</formula>
    </cfRule>
    <cfRule type="cellIs" priority="291" operator="lessThan" aboveAverage="0" equalAverage="0" bottom="0" percent="0" rank="0" text="" dxfId="1">
      <formula>E41</formula>
    </cfRule>
  </conditionalFormatting>
  <conditionalFormatting sqref="AG42">
    <cfRule type="cellIs" priority="292" operator="equal" aboveAverage="0" equalAverage="0" bottom="0" percent="0" rank="0" text="" dxfId="0">
      <formula>0</formula>
    </cfRule>
    <cfRule type="cellIs" priority="293" operator="lessThan" aboveAverage="0" equalAverage="0" bottom="0" percent="0" rank="0" text="" dxfId="1">
      <formula>E42</formula>
    </cfRule>
  </conditionalFormatting>
  <conditionalFormatting sqref="AG43">
    <cfRule type="cellIs" priority="294" operator="equal" aboveAverage="0" equalAverage="0" bottom="0" percent="0" rank="0" text="" dxfId="0">
      <formula>0</formula>
    </cfRule>
    <cfRule type="cellIs" priority="295" operator="lessThan" aboveAverage="0" equalAverage="0" bottom="0" percent="0" rank="0" text="" dxfId="1">
      <formula>E43</formula>
    </cfRule>
  </conditionalFormatting>
  <conditionalFormatting sqref="AG44">
    <cfRule type="cellIs" priority="296" operator="equal" aboveAverage="0" equalAverage="0" bottom="0" percent="0" rank="0" text="" dxfId="0">
      <formula>0</formula>
    </cfRule>
    <cfRule type="cellIs" priority="297" operator="lessThan" aboveAverage="0" equalAverage="0" bottom="0" percent="0" rank="0" text="" dxfId="1">
      <formula>E44</formula>
    </cfRule>
  </conditionalFormatting>
  <conditionalFormatting sqref="AG46">
    <cfRule type="cellIs" priority="298" operator="equal" aboveAverage="0" equalAverage="0" bottom="0" percent="0" rank="0" text="" dxfId="0">
      <formula>0</formula>
    </cfRule>
    <cfRule type="cellIs" priority="299" operator="lessThan" aboveAverage="0" equalAverage="0" bottom="0" percent="0" rank="0" text="" dxfId="1">
      <formula>E46</formula>
    </cfRule>
  </conditionalFormatting>
  <conditionalFormatting sqref="AG47">
    <cfRule type="cellIs" priority="300" operator="equal" aboveAverage="0" equalAverage="0" bottom="0" percent="0" rank="0" text="" dxfId="0">
      <formula>0</formula>
    </cfRule>
    <cfRule type="cellIs" priority="301" operator="lessThan" aboveAverage="0" equalAverage="0" bottom="0" percent="0" rank="0" text="" dxfId="1">
      <formula>E47</formula>
    </cfRule>
  </conditionalFormatting>
  <conditionalFormatting sqref="AG48">
    <cfRule type="cellIs" priority="302" operator="equal" aboveAverage="0" equalAverage="0" bottom="0" percent="0" rank="0" text="" dxfId="0">
      <formula>0</formula>
    </cfRule>
    <cfRule type="cellIs" priority="303" operator="lessThan" aboveAverage="0" equalAverage="0" bottom="0" percent="0" rank="0" text="" dxfId="1">
      <formula>E48</formula>
    </cfRule>
  </conditionalFormatting>
  <conditionalFormatting sqref="AG49">
    <cfRule type="cellIs" priority="304" operator="equal" aboveAverage="0" equalAverage="0" bottom="0" percent="0" rank="0" text="" dxfId="0">
      <formula>0</formula>
    </cfRule>
    <cfRule type="cellIs" priority="305" operator="lessThan" aboveAverage="0" equalAverage="0" bottom="0" percent="0" rank="0" text="" dxfId="1">
      <formula>E49</formula>
    </cfRule>
  </conditionalFormatting>
  <conditionalFormatting sqref="AG51">
    <cfRule type="cellIs" priority="306" operator="equal" aboveAverage="0" equalAverage="0" bottom="0" percent="0" rank="0" text="" dxfId="0">
      <formula>0</formula>
    </cfRule>
    <cfRule type="cellIs" priority="307" operator="lessThan" aboveAverage="0" equalAverage="0" bottom="0" percent="0" rank="0" text="" dxfId="1">
      <formula>E51</formula>
    </cfRule>
  </conditionalFormatting>
  <conditionalFormatting sqref="AG7">
    <cfRule type="cellIs" priority="308" operator="equal" aboveAverage="0" equalAverage="0" bottom="0" percent="0" rank="0" text="" dxfId="0">
      <formula>0</formula>
    </cfRule>
    <cfRule type="cellIs" priority="309" operator="lessThan" aboveAverage="0" equalAverage="0" bottom="0" percent="0" rank="0" text="" dxfId="1">
      <formula>E7</formula>
    </cfRule>
  </conditionalFormatting>
  <conditionalFormatting sqref="AG9">
    <cfRule type="cellIs" priority="310" operator="equal" aboveAverage="0" equalAverage="0" bottom="0" percent="0" rank="0" text="" dxfId="0">
      <formula>0</formula>
    </cfRule>
    <cfRule type="cellIs" priority="311" operator="lessThan" aboveAverage="0" equalAverage="0" bottom="0" percent="0" rank="0" text="" dxfId="1">
      <formula>E9</formula>
    </cfRule>
  </conditionalFormatting>
  <conditionalFormatting sqref="AH10">
    <cfRule type="expression" priority="312" aboveAverage="0" equalAverage="0" bottom="0" percent="0" rank="0" text="" dxfId="3">
      <formula>AND(AH10&gt;0,AH10&lt;2000)</formula>
    </cfRule>
    <cfRule type="cellIs" priority="313" operator="greaterThan" aboveAverage="0" equalAverage="0" bottom="0" percent="0" rank="0" text="" dxfId="0">
      <formula>AG10</formula>
    </cfRule>
  </conditionalFormatting>
  <conditionalFormatting sqref="AH11">
    <cfRule type="expression" priority="314" aboveAverage="0" equalAverage="0" bottom="0" percent="0" rank="0" text="" dxfId="3">
      <formula>AND(AH11&gt;0,AH11&lt;10000)</formula>
    </cfRule>
    <cfRule type="cellIs" priority="315" operator="greaterThan" aboveAverage="0" equalAverage="0" bottom="0" percent="0" rank="0" text="" dxfId="0">
      <formula>AG11</formula>
    </cfRule>
  </conditionalFormatting>
  <conditionalFormatting sqref="AH12">
    <cfRule type="cellIs" priority="316" operator="greaterThan" aboveAverage="0" equalAverage="0" bottom="0" percent="0" rank="0" text="" dxfId="0">
      <formula>AG12</formula>
    </cfRule>
  </conditionalFormatting>
  <conditionalFormatting sqref="AH13">
    <cfRule type="cellIs" priority="317" operator="greaterThan" aboveAverage="0" equalAverage="0" bottom="0" percent="0" rank="0" text="" dxfId="0">
      <formula>AG13</formula>
    </cfRule>
  </conditionalFormatting>
  <conditionalFormatting sqref="AH15">
    <cfRule type="cellIs" priority="318" operator="greaterThan" aboveAverage="0" equalAverage="0" bottom="0" percent="0" rank="0" text="" dxfId="0">
      <formula>AG15</formula>
    </cfRule>
  </conditionalFormatting>
  <conditionalFormatting sqref="AH16">
    <cfRule type="cellIs" priority="319" operator="greaterThan" aboveAverage="0" equalAverage="0" bottom="0" percent="0" rank="0" text="" dxfId="0">
      <formula>AG16</formula>
    </cfRule>
  </conditionalFormatting>
  <conditionalFormatting sqref="AH18">
    <cfRule type="cellIs" priority="320" operator="greaterThan" aboveAverage="0" equalAverage="0" bottom="0" percent="0" rank="0" text="" dxfId="0">
      <formula>AG18</formula>
    </cfRule>
  </conditionalFormatting>
  <conditionalFormatting sqref="AH19">
    <cfRule type="expression" priority="321" aboveAverage="0" equalAverage="0" bottom="0" percent="0" rank="0" text="" dxfId="3">
      <formula>AND(AH19&gt;0,AH19&lt;2000)</formula>
    </cfRule>
    <cfRule type="cellIs" priority="322" operator="greaterThan" aboveAverage="0" equalAverage="0" bottom="0" percent="0" rank="0" text="" dxfId="0">
      <formula>AG19</formula>
    </cfRule>
  </conditionalFormatting>
  <conditionalFormatting sqref="AH20">
    <cfRule type="cellIs" priority="323" operator="greaterThan" aboveAverage="0" equalAverage="0" bottom="0" percent="0" rank="0" text="" dxfId="0">
      <formula>AG20</formula>
    </cfRule>
  </conditionalFormatting>
  <conditionalFormatting sqref="AH21">
    <cfRule type="cellIs" priority="324" operator="greaterThan" aboveAverage="0" equalAverage="0" bottom="0" percent="0" rank="0" text="" dxfId="0">
      <formula>AG21</formula>
    </cfRule>
  </conditionalFormatting>
  <conditionalFormatting sqref="AH22">
    <cfRule type="expression" priority="325" aboveAverage="0" equalAverage="0" bottom="0" percent="0" rank="0" text="" dxfId="3">
      <formula>AND(AH22&gt;0,AH22&lt;5)</formula>
    </cfRule>
    <cfRule type="cellIs" priority="326" operator="greaterThan" aboveAverage="0" equalAverage="0" bottom="0" percent="0" rank="0" text="" dxfId="0">
      <formula>AG22</formula>
    </cfRule>
  </conditionalFormatting>
  <conditionalFormatting sqref="AH23">
    <cfRule type="expression" priority="327" aboveAverage="0" equalAverage="0" bottom="0" percent="0" rank="0" text="" dxfId="3">
      <formula>AND(AH23&gt;0,AH23&lt;9000)</formula>
    </cfRule>
    <cfRule type="cellIs" priority="328" operator="greaterThan" aboveAverage="0" equalAverage="0" bottom="0" percent="0" rank="0" text="" dxfId="0">
      <formula>AG23</formula>
    </cfRule>
  </conditionalFormatting>
  <conditionalFormatting sqref="AH24">
    <cfRule type="cellIs" priority="329" operator="greaterThan" aboveAverage="0" equalAverage="0" bottom="0" percent="0" rank="0" text="" dxfId="0">
      <formula>AG24</formula>
    </cfRule>
  </conditionalFormatting>
  <conditionalFormatting sqref="AH28">
    <cfRule type="cellIs" priority="330" operator="greaterThan" aboveAverage="0" equalAverage="0" bottom="0" percent="0" rank="0" text="" dxfId="0">
      <formula>AG28</formula>
    </cfRule>
  </conditionalFormatting>
  <conditionalFormatting sqref="AH29">
    <cfRule type="cellIs" priority="331" operator="greaterThan" aboveAverage="0" equalAverage="0" bottom="0" percent="0" rank="0" text="" dxfId="0">
      <formula>AG29</formula>
    </cfRule>
  </conditionalFormatting>
  <conditionalFormatting sqref="AH32">
    <cfRule type="cellIs" priority="332" operator="greaterThan" aboveAverage="0" equalAverage="0" bottom="0" percent="0" rank="0" text="" dxfId="0">
      <formula>AG32</formula>
    </cfRule>
  </conditionalFormatting>
  <conditionalFormatting sqref="AH33">
    <cfRule type="cellIs" priority="333" operator="greaterThan" aboveAverage="0" equalAverage="0" bottom="0" percent="0" rank="0" text="" dxfId="0">
      <formula>AG33</formula>
    </cfRule>
  </conditionalFormatting>
  <conditionalFormatting sqref="AH34">
    <cfRule type="cellIs" priority="334" operator="greaterThan" aboveAverage="0" equalAverage="0" bottom="0" percent="0" rank="0" text="" dxfId="0">
      <formula>AG34</formula>
    </cfRule>
  </conditionalFormatting>
  <conditionalFormatting sqref="AH35">
    <cfRule type="cellIs" priority="335" operator="greaterThan" aboveAverage="0" equalAverage="0" bottom="0" percent="0" rank="0" text="" dxfId="0">
      <formula>AG35</formula>
    </cfRule>
  </conditionalFormatting>
  <conditionalFormatting sqref="AH36">
    <cfRule type="cellIs" priority="336" operator="greaterThan" aboveAverage="0" equalAverage="0" bottom="0" percent="0" rank="0" text="" dxfId="0">
      <formula>AG36</formula>
    </cfRule>
  </conditionalFormatting>
  <conditionalFormatting sqref="AH37">
    <cfRule type="cellIs" priority="337" operator="greaterThan" aboveAverage="0" equalAverage="0" bottom="0" percent="0" rank="0" text="" dxfId="0">
      <formula>AG37</formula>
    </cfRule>
  </conditionalFormatting>
  <conditionalFormatting sqref="AH38">
    <cfRule type="cellIs" priority="338" operator="greaterThan" aboveAverage="0" equalAverage="0" bottom="0" percent="0" rank="0" text="" dxfId="0">
      <formula>AG38</formula>
    </cfRule>
  </conditionalFormatting>
  <conditionalFormatting sqref="AH39">
    <cfRule type="cellIs" priority="339" operator="greaterThan" aboveAverage="0" equalAverage="0" bottom="0" percent="0" rank="0" text="" dxfId="0">
      <formula>AG39</formula>
    </cfRule>
  </conditionalFormatting>
  <conditionalFormatting sqref="AH40">
    <cfRule type="expression" priority="340" aboveAverage="0" equalAverage="0" bottom="0" percent="0" rank="0" text="" dxfId="3">
      <formula>AND(AH40&gt;0,AH40&lt;20000)</formula>
    </cfRule>
    <cfRule type="cellIs" priority="341" operator="greaterThan" aboveAverage="0" equalAverage="0" bottom="0" percent="0" rank="0" text="" dxfId="0">
      <formula>AG40</formula>
    </cfRule>
  </conditionalFormatting>
  <conditionalFormatting sqref="AH41">
    <cfRule type="cellIs" priority="342" operator="greaterThan" aboveAverage="0" equalAverage="0" bottom="0" percent="0" rank="0" text="" dxfId="0">
      <formula>AG41</formula>
    </cfRule>
  </conditionalFormatting>
  <conditionalFormatting sqref="AH42">
    <cfRule type="cellIs" priority="343" operator="greaterThan" aboveAverage="0" equalAverage="0" bottom="0" percent="0" rank="0" text="" dxfId="0">
      <formula>AG42</formula>
    </cfRule>
  </conditionalFormatting>
  <conditionalFormatting sqref="AH43">
    <cfRule type="cellIs" priority="344" operator="greaterThan" aboveAverage="0" equalAverage="0" bottom="0" percent="0" rank="0" text="" dxfId="0">
      <formula>AG43</formula>
    </cfRule>
  </conditionalFormatting>
  <conditionalFormatting sqref="AH44">
    <cfRule type="cellIs" priority="345" operator="greaterThan" aboveAverage="0" equalAverage="0" bottom="0" percent="0" rank="0" text="" dxfId="0">
      <formula>AG44</formula>
    </cfRule>
  </conditionalFormatting>
  <conditionalFormatting sqref="AH46">
    <cfRule type="cellIs" priority="346" operator="greaterThan" aboveAverage="0" equalAverage="0" bottom="0" percent="0" rank="0" text="" dxfId="0">
      <formula>AG46</formula>
    </cfRule>
  </conditionalFormatting>
  <conditionalFormatting sqref="AH47">
    <cfRule type="cellIs" priority="347" operator="greaterThan" aboveAverage="0" equalAverage="0" bottom="0" percent="0" rank="0" text="" dxfId="0">
      <formula>AG47</formula>
    </cfRule>
  </conditionalFormatting>
  <conditionalFormatting sqref="AH48">
    <cfRule type="cellIs" priority="348" operator="greaterThan" aboveAverage="0" equalAverage="0" bottom="0" percent="0" rank="0" text="" dxfId="0">
      <formula>AG48</formula>
    </cfRule>
  </conditionalFormatting>
  <conditionalFormatting sqref="AH49">
    <cfRule type="cellIs" priority="349" operator="greaterThan" aboveAverage="0" equalAverage="0" bottom="0" percent="0" rank="0" text="" dxfId="0">
      <formula>AG49</formula>
    </cfRule>
  </conditionalFormatting>
  <conditionalFormatting sqref="AH51">
    <cfRule type="cellIs" priority="350" operator="greaterThan" aboveAverage="0" equalAverage="0" bottom="0" percent="0" rank="0" text="" dxfId="0">
      <formula>AG51</formula>
    </cfRule>
  </conditionalFormatting>
  <conditionalFormatting sqref="AH7">
    <cfRule type="cellIs" priority="351" operator="greaterThan" aboveAverage="0" equalAverage="0" bottom="0" percent="0" rank="0" text="" dxfId="0">
      <formula>AG7</formula>
    </cfRule>
  </conditionalFormatting>
  <conditionalFormatting sqref="AH9">
    <cfRule type="cellIs" priority="352" operator="greaterThan" aboveAverage="0" equalAverage="0" bottom="0" percent="0" rank="0" text="" dxfId="0">
      <formula>AG9</formula>
    </cfRule>
  </conditionalFormatting>
  <conditionalFormatting sqref="AI10">
    <cfRule type="cellIs" priority="353" operator="lessThanOrEqual" aboveAverage="0" equalAverage="0" bottom="0" percent="0" rank="0" text="" dxfId="2">
      <formula>F10</formula>
    </cfRule>
  </conditionalFormatting>
  <conditionalFormatting sqref="AI11">
    <cfRule type="cellIs" priority="354" operator="lessThanOrEqual" aboveAverage="0" equalAverage="0" bottom="0" percent="0" rank="0" text="" dxfId="2">
      <formula>F11</formula>
    </cfRule>
  </conditionalFormatting>
  <conditionalFormatting sqref="AI12">
    <cfRule type="cellIs" priority="355" operator="lessThanOrEqual" aboveAverage="0" equalAverage="0" bottom="0" percent="0" rank="0" text="" dxfId="2">
      <formula>F12</formula>
    </cfRule>
  </conditionalFormatting>
  <conditionalFormatting sqref="AI13">
    <cfRule type="cellIs" priority="356" operator="lessThanOrEqual" aboveAverage="0" equalAverage="0" bottom="0" percent="0" rank="0" text="" dxfId="2">
      <formula>F13</formula>
    </cfRule>
  </conditionalFormatting>
  <conditionalFormatting sqref="AI15">
    <cfRule type="cellIs" priority="357" operator="lessThanOrEqual" aboveAverage="0" equalAverage="0" bottom="0" percent="0" rank="0" text="" dxfId="2">
      <formula>F15</formula>
    </cfRule>
  </conditionalFormatting>
  <conditionalFormatting sqref="AI16">
    <cfRule type="cellIs" priority="358" operator="lessThanOrEqual" aboveAverage="0" equalAverage="0" bottom="0" percent="0" rank="0" text="" dxfId="2">
      <formula>F16</formula>
    </cfRule>
  </conditionalFormatting>
  <conditionalFormatting sqref="AI18">
    <cfRule type="cellIs" priority="359" operator="lessThanOrEqual" aboveAverage="0" equalAverage="0" bottom="0" percent="0" rank="0" text="" dxfId="2">
      <formula>F18</formula>
    </cfRule>
  </conditionalFormatting>
  <conditionalFormatting sqref="AI19">
    <cfRule type="cellIs" priority="360" operator="lessThanOrEqual" aboveAverage="0" equalAverage="0" bottom="0" percent="0" rank="0" text="" dxfId="2">
      <formula>F19</formula>
    </cfRule>
  </conditionalFormatting>
  <conditionalFormatting sqref="AI20">
    <cfRule type="cellIs" priority="361" operator="lessThanOrEqual" aboveAverage="0" equalAverage="0" bottom="0" percent="0" rank="0" text="" dxfId="2">
      <formula>F20</formula>
    </cfRule>
  </conditionalFormatting>
  <conditionalFormatting sqref="AI21">
    <cfRule type="cellIs" priority="362" operator="lessThanOrEqual" aboveAverage="0" equalAverage="0" bottom="0" percent="0" rank="0" text="" dxfId="2">
      <formula>F21</formula>
    </cfRule>
  </conditionalFormatting>
  <conditionalFormatting sqref="AI22">
    <cfRule type="cellIs" priority="363" operator="lessThanOrEqual" aboveAverage="0" equalAverage="0" bottom="0" percent="0" rank="0" text="" dxfId="2">
      <formula>F22</formula>
    </cfRule>
  </conditionalFormatting>
  <conditionalFormatting sqref="AI23">
    <cfRule type="cellIs" priority="364" operator="lessThanOrEqual" aboveAverage="0" equalAverage="0" bottom="0" percent="0" rank="0" text="" dxfId="2">
      <formula>F23</formula>
    </cfRule>
  </conditionalFormatting>
  <conditionalFormatting sqref="AI24">
    <cfRule type="cellIs" priority="365" operator="lessThanOrEqual" aboveAverage="0" equalAverage="0" bottom="0" percent="0" rank="0" text="" dxfId="2">
      <formula>F24</formula>
    </cfRule>
  </conditionalFormatting>
  <conditionalFormatting sqref="AI28">
    <cfRule type="cellIs" priority="366" operator="lessThanOrEqual" aboveAverage="0" equalAverage="0" bottom="0" percent="0" rank="0" text="" dxfId="2">
      <formula>F28</formula>
    </cfRule>
  </conditionalFormatting>
  <conditionalFormatting sqref="AI29">
    <cfRule type="cellIs" priority="367" operator="lessThanOrEqual" aboveAverage="0" equalAverage="0" bottom="0" percent="0" rank="0" text="" dxfId="2">
      <formula>F29</formula>
    </cfRule>
  </conditionalFormatting>
  <conditionalFormatting sqref="AI32">
    <cfRule type="cellIs" priority="368" operator="lessThanOrEqual" aboveAverage="0" equalAverage="0" bottom="0" percent="0" rank="0" text="" dxfId="2">
      <formula>F32</formula>
    </cfRule>
  </conditionalFormatting>
  <conditionalFormatting sqref="AI33">
    <cfRule type="cellIs" priority="369" operator="lessThanOrEqual" aboveAverage="0" equalAverage="0" bottom="0" percent="0" rank="0" text="" dxfId="2">
      <formula>F33</formula>
    </cfRule>
  </conditionalFormatting>
  <conditionalFormatting sqref="AI34">
    <cfRule type="cellIs" priority="370" operator="lessThanOrEqual" aboveAverage="0" equalAverage="0" bottom="0" percent="0" rank="0" text="" dxfId="2">
      <formula>F34</formula>
    </cfRule>
  </conditionalFormatting>
  <conditionalFormatting sqref="AI35">
    <cfRule type="cellIs" priority="371" operator="lessThanOrEqual" aboveAverage="0" equalAverage="0" bottom="0" percent="0" rank="0" text="" dxfId="2">
      <formula>F35</formula>
    </cfRule>
  </conditionalFormatting>
  <conditionalFormatting sqref="AI36">
    <cfRule type="cellIs" priority="372" operator="lessThanOrEqual" aboveAverage="0" equalAverage="0" bottom="0" percent="0" rank="0" text="" dxfId="2">
      <formula>F36</formula>
    </cfRule>
  </conditionalFormatting>
  <conditionalFormatting sqref="AI37">
    <cfRule type="cellIs" priority="373" operator="lessThanOrEqual" aboveAverage="0" equalAverage="0" bottom="0" percent="0" rank="0" text="" dxfId="2">
      <formula>F37</formula>
    </cfRule>
  </conditionalFormatting>
  <conditionalFormatting sqref="AI38">
    <cfRule type="cellIs" priority="374" operator="lessThanOrEqual" aboveAverage="0" equalAverage="0" bottom="0" percent="0" rank="0" text="" dxfId="2">
      <formula>F38</formula>
    </cfRule>
  </conditionalFormatting>
  <conditionalFormatting sqref="AI39">
    <cfRule type="cellIs" priority="375" operator="lessThanOrEqual" aboveAverage="0" equalAverage="0" bottom="0" percent="0" rank="0" text="" dxfId="2">
      <formula>F39</formula>
    </cfRule>
  </conditionalFormatting>
  <conditionalFormatting sqref="AI40">
    <cfRule type="cellIs" priority="376" operator="lessThanOrEqual" aboveAverage="0" equalAverage="0" bottom="0" percent="0" rank="0" text="" dxfId="2">
      <formula>F40</formula>
    </cfRule>
  </conditionalFormatting>
  <conditionalFormatting sqref="AI41">
    <cfRule type="cellIs" priority="377" operator="lessThanOrEqual" aboveAverage="0" equalAverage="0" bottom="0" percent="0" rank="0" text="" dxfId="2">
      <formula>F41</formula>
    </cfRule>
  </conditionalFormatting>
  <conditionalFormatting sqref="AI42">
    <cfRule type="cellIs" priority="378" operator="lessThanOrEqual" aboveAverage="0" equalAverage="0" bottom="0" percent="0" rank="0" text="" dxfId="2">
      <formula>F42</formula>
    </cfRule>
  </conditionalFormatting>
  <conditionalFormatting sqref="AI43">
    <cfRule type="cellIs" priority="379" operator="lessThanOrEqual" aboveAverage="0" equalAverage="0" bottom="0" percent="0" rank="0" text="" dxfId="2">
      <formula>F43</formula>
    </cfRule>
  </conditionalFormatting>
  <conditionalFormatting sqref="AI44">
    <cfRule type="cellIs" priority="380" operator="lessThanOrEqual" aboveAverage="0" equalAverage="0" bottom="0" percent="0" rank="0" text="" dxfId="2">
      <formula>F44</formula>
    </cfRule>
  </conditionalFormatting>
  <conditionalFormatting sqref="AI46">
    <cfRule type="cellIs" priority="381" operator="lessThanOrEqual" aboveAverage="0" equalAverage="0" bottom="0" percent="0" rank="0" text="" dxfId="2">
      <formula>F46</formula>
    </cfRule>
  </conditionalFormatting>
  <conditionalFormatting sqref="AI47">
    <cfRule type="cellIs" priority="382" operator="lessThanOrEqual" aboveAverage="0" equalAverage="0" bottom="0" percent="0" rank="0" text="" dxfId="2">
      <formula>F47</formula>
    </cfRule>
  </conditionalFormatting>
  <conditionalFormatting sqref="AI48">
    <cfRule type="cellIs" priority="383" operator="lessThanOrEqual" aboveAverage="0" equalAverage="0" bottom="0" percent="0" rank="0" text="" dxfId="2">
      <formula>F48</formula>
    </cfRule>
  </conditionalFormatting>
  <conditionalFormatting sqref="AI49">
    <cfRule type="cellIs" priority="384" operator="lessThanOrEqual" aboveAverage="0" equalAverage="0" bottom="0" percent="0" rank="0" text="" dxfId="2">
      <formula>F49</formula>
    </cfRule>
  </conditionalFormatting>
  <conditionalFormatting sqref="AI51">
    <cfRule type="cellIs" priority="385" operator="lessThanOrEqual" aboveAverage="0" equalAverage="0" bottom="0" percent="0" rank="0" text="" dxfId="2">
      <formula>F51</formula>
    </cfRule>
  </conditionalFormatting>
  <conditionalFormatting sqref="AI7">
    <cfRule type="cellIs" priority="386" operator="lessThanOrEqual" aboveAverage="0" equalAverage="0" bottom="0" percent="0" rank="0" text="" dxfId="2">
      <formula>F7</formula>
    </cfRule>
  </conditionalFormatting>
  <conditionalFormatting sqref="AI9">
    <cfRule type="cellIs" priority="387" operator="lessThanOrEqual" aboveAverage="0" equalAverage="0" bottom="0" percent="0" rank="0" text="" dxfId="2">
      <formula>F9</formula>
    </cfRule>
  </conditionalFormatting>
  <conditionalFormatting sqref="AJ10">
    <cfRule type="cellIs" priority="388" operator="lessThanOrEqual" aboveAverage="0" equalAverage="0" bottom="0" percent="0" rank="0" text="" dxfId="2">
      <formula>G10</formula>
    </cfRule>
  </conditionalFormatting>
  <conditionalFormatting sqref="AJ11">
    <cfRule type="cellIs" priority="389" operator="lessThanOrEqual" aboveAverage="0" equalAverage="0" bottom="0" percent="0" rank="0" text="" dxfId="2">
      <formula>G11</formula>
    </cfRule>
  </conditionalFormatting>
  <conditionalFormatting sqref="AJ12">
    <cfRule type="cellIs" priority="390" operator="lessThanOrEqual" aboveAverage="0" equalAverage="0" bottom="0" percent="0" rank="0" text="" dxfId="2">
      <formula>G12</formula>
    </cfRule>
  </conditionalFormatting>
  <conditionalFormatting sqref="AJ13">
    <cfRule type="cellIs" priority="391" operator="lessThanOrEqual" aboveAverage="0" equalAverage="0" bottom="0" percent="0" rank="0" text="" dxfId="2">
      <formula>G13</formula>
    </cfRule>
  </conditionalFormatting>
  <conditionalFormatting sqref="AJ15">
    <cfRule type="cellIs" priority="392" operator="lessThanOrEqual" aboveAverage="0" equalAverage="0" bottom="0" percent="0" rank="0" text="" dxfId="2">
      <formula>G15</formula>
    </cfRule>
  </conditionalFormatting>
  <conditionalFormatting sqref="AJ16">
    <cfRule type="cellIs" priority="393" operator="lessThanOrEqual" aboveAverage="0" equalAverage="0" bottom="0" percent="0" rank="0" text="" dxfId="2">
      <formula>G16</formula>
    </cfRule>
  </conditionalFormatting>
  <conditionalFormatting sqref="AJ18">
    <cfRule type="cellIs" priority="394" operator="lessThanOrEqual" aboveAverage="0" equalAverage="0" bottom="0" percent="0" rank="0" text="" dxfId="2">
      <formula>G18</formula>
    </cfRule>
  </conditionalFormatting>
  <conditionalFormatting sqref="AJ19">
    <cfRule type="cellIs" priority="395" operator="lessThanOrEqual" aboveAverage="0" equalAverage="0" bottom="0" percent="0" rank="0" text="" dxfId="2">
      <formula>G19</formula>
    </cfRule>
  </conditionalFormatting>
  <conditionalFormatting sqref="AJ20">
    <cfRule type="cellIs" priority="396" operator="lessThanOrEqual" aboveAverage="0" equalAverage="0" bottom="0" percent="0" rank="0" text="" dxfId="2">
      <formula>G20</formula>
    </cfRule>
  </conditionalFormatting>
  <conditionalFormatting sqref="AJ21">
    <cfRule type="cellIs" priority="397" operator="lessThanOrEqual" aboveAverage="0" equalAverage="0" bottom="0" percent="0" rank="0" text="" dxfId="2">
      <formula>G21</formula>
    </cfRule>
  </conditionalFormatting>
  <conditionalFormatting sqref="AJ22">
    <cfRule type="cellIs" priority="398" operator="lessThanOrEqual" aboveAverage="0" equalAverage="0" bottom="0" percent="0" rank="0" text="" dxfId="2">
      <formula>G22</formula>
    </cfRule>
  </conditionalFormatting>
  <conditionalFormatting sqref="AJ23">
    <cfRule type="cellIs" priority="399" operator="lessThanOrEqual" aboveAverage="0" equalAverage="0" bottom="0" percent="0" rank="0" text="" dxfId="2">
      <formula>G23</formula>
    </cfRule>
  </conditionalFormatting>
  <conditionalFormatting sqref="AJ24">
    <cfRule type="cellIs" priority="400" operator="lessThanOrEqual" aboveAverage="0" equalAverage="0" bottom="0" percent="0" rank="0" text="" dxfId="2">
      <formula>G24</formula>
    </cfRule>
  </conditionalFormatting>
  <conditionalFormatting sqref="AJ28">
    <cfRule type="cellIs" priority="401" operator="lessThanOrEqual" aboveAverage="0" equalAverage="0" bottom="0" percent="0" rank="0" text="" dxfId="2">
      <formula>G28</formula>
    </cfRule>
  </conditionalFormatting>
  <conditionalFormatting sqref="AJ29">
    <cfRule type="cellIs" priority="402" operator="lessThanOrEqual" aboveAverage="0" equalAverage="0" bottom="0" percent="0" rank="0" text="" dxfId="2">
      <formula>G29</formula>
    </cfRule>
  </conditionalFormatting>
  <conditionalFormatting sqref="AJ32">
    <cfRule type="cellIs" priority="403" operator="lessThanOrEqual" aboveAverage="0" equalAverage="0" bottom="0" percent="0" rank="0" text="" dxfId="2">
      <formula>G32</formula>
    </cfRule>
  </conditionalFormatting>
  <conditionalFormatting sqref="AJ33">
    <cfRule type="cellIs" priority="404" operator="lessThanOrEqual" aboveAverage="0" equalAverage="0" bottom="0" percent="0" rank="0" text="" dxfId="2">
      <formula>G33</formula>
    </cfRule>
  </conditionalFormatting>
  <conditionalFormatting sqref="AJ34">
    <cfRule type="cellIs" priority="405" operator="lessThanOrEqual" aboveAverage="0" equalAverage="0" bottom="0" percent="0" rank="0" text="" dxfId="2">
      <formula>G34</formula>
    </cfRule>
  </conditionalFormatting>
  <conditionalFormatting sqref="AJ35">
    <cfRule type="cellIs" priority="406" operator="lessThanOrEqual" aboveAverage="0" equalAverage="0" bottom="0" percent="0" rank="0" text="" dxfId="2">
      <formula>G35</formula>
    </cfRule>
  </conditionalFormatting>
  <conditionalFormatting sqref="AJ36">
    <cfRule type="cellIs" priority="407" operator="lessThanOrEqual" aboveAverage="0" equalAverage="0" bottom="0" percent="0" rank="0" text="" dxfId="2">
      <formula>G36</formula>
    </cfRule>
  </conditionalFormatting>
  <conditionalFormatting sqref="AJ37">
    <cfRule type="cellIs" priority="408" operator="lessThanOrEqual" aboveAverage="0" equalAverage="0" bottom="0" percent="0" rank="0" text="" dxfId="2">
      <formula>G37</formula>
    </cfRule>
  </conditionalFormatting>
  <conditionalFormatting sqref="AJ38">
    <cfRule type="cellIs" priority="409" operator="lessThanOrEqual" aboveAverage="0" equalAverage="0" bottom="0" percent="0" rank="0" text="" dxfId="2">
      <formula>G38</formula>
    </cfRule>
  </conditionalFormatting>
  <conditionalFormatting sqref="AJ39">
    <cfRule type="cellIs" priority="410" operator="lessThanOrEqual" aboveAverage="0" equalAverage="0" bottom="0" percent="0" rank="0" text="" dxfId="2">
      <formula>G39</formula>
    </cfRule>
  </conditionalFormatting>
  <conditionalFormatting sqref="AJ40">
    <cfRule type="cellIs" priority="411" operator="lessThanOrEqual" aboveAverage="0" equalAverage="0" bottom="0" percent="0" rank="0" text="" dxfId="2">
      <formula>G40</formula>
    </cfRule>
  </conditionalFormatting>
  <conditionalFormatting sqref="AJ41">
    <cfRule type="cellIs" priority="412" operator="lessThanOrEqual" aboveAverage="0" equalAverage="0" bottom="0" percent="0" rank="0" text="" dxfId="2">
      <formula>G41</formula>
    </cfRule>
  </conditionalFormatting>
  <conditionalFormatting sqref="AJ42">
    <cfRule type="cellIs" priority="413" operator="lessThanOrEqual" aboveAverage="0" equalAverage="0" bottom="0" percent="0" rank="0" text="" dxfId="2">
      <formula>G42</formula>
    </cfRule>
  </conditionalFormatting>
  <conditionalFormatting sqref="AJ43">
    <cfRule type="cellIs" priority="414" operator="lessThanOrEqual" aboveAverage="0" equalAverage="0" bottom="0" percent="0" rank="0" text="" dxfId="2">
      <formula>G43</formula>
    </cfRule>
  </conditionalFormatting>
  <conditionalFormatting sqref="AJ44">
    <cfRule type="cellIs" priority="415" operator="lessThanOrEqual" aboveAverage="0" equalAverage="0" bottom="0" percent="0" rank="0" text="" dxfId="2">
      <formula>G44</formula>
    </cfRule>
  </conditionalFormatting>
  <conditionalFormatting sqref="AJ46">
    <cfRule type="cellIs" priority="416" operator="lessThanOrEqual" aboveAverage="0" equalAverage="0" bottom="0" percent="0" rank="0" text="" dxfId="2">
      <formula>G46</formula>
    </cfRule>
  </conditionalFormatting>
  <conditionalFormatting sqref="AJ47">
    <cfRule type="cellIs" priority="417" operator="lessThanOrEqual" aboveAverage="0" equalAverage="0" bottom="0" percent="0" rank="0" text="" dxfId="2">
      <formula>G47</formula>
    </cfRule>
  </conditionalFormatting>
  <conditionalFormatting sqref="AJ48">
    <cfRule type="cellIs" priority="418" operator="lessThanOrEqual" aboveAverage="0" equalAverage="0" bottom="0" percent="0" rank="0" text="" dxfId="2">
      <formula>G48</formula>
    </cfRule>
  </conditionalFormatting>
  <conditionalFormatting sqref="AJ49">
    <cfRule type="cellIs" priority="419" operator="lessThanOrEqual" aboveAverage="0" equalAverage="0" bottom="0" percent="0" rank="0" text="" dxfId="2">
      <formula>G49</formula>
    </cfRule>
  </conditionalFormatting>
  <conditionalFormatting sqref="AJ51">
    <cfRule type="cellIs" priority="420" operator="lessThanOrEqual" aboveAverage="0" equalAverage="0" bottom="0" percent="0" rank="0" text="" dxfId="2">
      <formula>G51</formula>
    </cfRule>
  </conditionalFormatting>
  <conditionalFormatting sqref="AJ7">
    <cfRule type="cellIs" priority="421" operator="lessThanOrEqual" aboveAverage="0" equalAverage="0" bottom="0" percent="0" rank="0" text="" dxfId="2">
      <formula>G7</formula>
    </cfRule>
  </conditionalFormatting>
  <conditionalFormatting sqref="AJ9">
    <cfRule type="cellIs" priority="422" operator="lessThanOrEqual" aboveAverage="0" equalAverage="0" bottom="0" percent="0" rank="0" text="" dxfId="2">
      <formula>G9</formula>
    </cfRule>
  </conditionalFormatting>
  <conditionalFormatting sqref="AL12">
    <cfRule type="cellIs" priority="423" operator="equal" aboveAverage="0" equalAverage="0" bottom="0" percent="0" rank="0" text="" dxfId="0">
      <formula>0</formula>
    </cfRule>
    <cfRule type="cellIs" priority="424" operator="lessThan" aboveAverage="0" equalAverage="0" bottom="0" percent="0" rank="0" text="" dxfId="1">
      <formula>E12</formula>
    </cfRule>
  </conditionalFormatting>
  <conditionalFormatting sqref="AL18">
    <cfRule type="cellIs" priority="425" operator="equal" aboveAverage="0" equalAverage="0" bottom="0" percent="0" rank="0" text="" dxfId="0">
      <formula>0</formula>
    </cfRule>
    <cfRule type="cellIs" priority="426" operator="lessThan" aboveAverage="0" equalAverage="0" bottom="0" percent="0" rank="0" text="" dxfId="1">
      <formula>E18</formula>
    </cfRule>
  </conditionalFormatting>
  <conditionalFormatting sqref="AL21">
    <cfRule type="cellIs" priority="427" operator="equal" aboveAverage="0" equalAverage="0" bottom="0" percent="0" rank="0" text="" dxfId="0">
      <formula>0</formula>
    </cfRule>
    <cfRule type="cellIs" priority="428" operator="lessThan" aboveAverage="0" equalAverage="0" bottom="0" percent="0" rank="0" text="" dxfId="1">
      <formula>E21</formula>
    </cfRule>
  </conditionalFormatting>
  <conditionalFormatting sqref="AL22">
    <cfRule type="cellIs" priority="429" operator="equal" aboveAverage="0" equalAverage="0" bottom="0" percent="0" rank="0" text="" dxfId="0">
      <formula>0</formula>
    </cfRule>
    <cfRule type="cellIs" priority="430" operator="lessThan" aboveAverage="0" equalAverage="0" bottom="0" percent="0" rank="0" text="" dxfId="1">
      <formula>E22</formula>
    </cfRule>
  </conditionalFormatting>
  <conditionalFormatting sqref="AL23">
    <cfRule type="cellIs" priority="431" operator="equal" aboveAverage="0" equalAverage="0" bottom="0" percent="0" rank="0" text="" dxfId="0">
      <formula>0</formula>
    </cfRule>
    <cfRule type="cellIs" priority="432" operator="lessThan" aboveAverage="0" equalAverage="0" bottom="0" percent="0" rank="0" text="" dxfId="1">
      <formula>E23</formula>
    </cfRule>
  </conditionalFormatting>
  <conditionalFormatting sqref="AL24">
    <cfRule type="cellIs" priority="433" operator="equal" aboveAverage="0" equalAverage="0" bottom="0" percent="0" rank="0" text="" dxfId="0">
      <formula>0</formula>
    </cfRule>
    <cfRule type="cellIs" priority="434" operator="lessThan" aboveAverage="0" equalAverage="0" bottom="0" percent="0" rank="0" text="" dxfId="1">
      <formula>E24</formula>
    </cfRule>
  </conditionalFormatting>
  <conditionalFormatting sqref="AL32">
    <cfRule type="cellIs" priority="435" operator="equal" aboveAverage="0" equalAverage="0" bottom="0" percent="0" rank="0" text="" dxfId="0">
      <formula>0</formula>
    </cfRule>
    <cfRule type="cellIs" priority="436" operator="lessThan" aboveAverage="0" equalAverage="0" bottom="0" percent="0" rank="0" text="" dxfId="1">
      <formula>E32</formula>
    </cfRule>
  </conditionalFormatting>
  <conditionalFormatting sqref="AL35">
    <cfRule type="cellIs" priority="437" operator="equal" aboveAverage="0" equalAverage="0" bottom="0" percent="0" rank="0" text="" dxfId="0">
      <formula>0</formula>
    </cfRule>
    <cfRule type="cellIs" priority="438" operator="lessThan" aboveAverage="0" equalAverage="0" bottom="0" percent="0" rank="0" text="" dxfId="1">
      <formula>E35</formula>
    </cfRule>
  </conditionalFormatting>
  <conditionalFormatting sqref="AL36">
    <cfRule type="cellIs" priority="439" operator="equal" aboveAverage="0" equalAverage="0" bottom="0" percent="0" rank="0" text="" dxfId="0">
      <formula>0</formula>
    </cfRule>
    <cfRule type="cellIs" priority="440" operator="lessThan" aboveAverage="0" equalAverage="0" bottom="0" percent="0" rank="0" text="" dxfId="1">
      <formula>E36</formula>
    </cfRule>
  </conditionalFormatting>
  <conditionalFormatting sqref="AL37">
    <cfRule type="cellIs" priority="441" operator="equal" aboveAverage="0" equalAverage="0" bottom="0" percent="0" rank="0" text="" dxfId="0">
      <formula>0</formula>
    </cfRule>
    <cfRule type="cellIs" priority="442" operator="lessThan" aboveAverage="0" equalAverage="0" bottom="0" percent="0" rank="0" text="" dxfId="1">
      <formula>E37</formula>
    </cfRule>
  </conditionalFormatting>
  <conditionalFormatting sqref="AL38">
    <cfRule type="cellIs" priority="443" operator="equal" aboveAverage="0" equalAverage="0" bottom="0" percent="0" rank="0" text="" dxfId="0">
      <formula>0</formula>
    </cfRule>
    <cfRule type="cellIs" priority="444" operator="lessThan" aboveAverage="0" equalAverage="0" bottom="0" percent="0" rank="0" text="" dxfId="1">
      <formula>E38</formula>
    </cfRule>
  </conditionalFormatting>
  <conditionalFormatting sqref="AL39">
    <cfRule type="cellIs" priority="445" operator="equal" aboveAverage="0" equalAverage="0" bottom="0" percent="0" rank="0" text="" dxfId="0">
      <formula>0</formula>
    </cfRule>
    <cfRule type="cellIs" priority="446" operator="lessThan" aboveAverage="0" equalAverage="0" bottom="0" percent="0" rank="0" text="" dxfId="1">
      <formula>E39</formula>
    </cfRule>
  </conditionalFormatting>
  <conditionalFormatting sqref="AL41">
    <cfRule type="cellIs" priority="447" operator="equal" aboveAverage="0" equalAverage="0" bottom="0" percent="0" rank="0" text="" dxfId="0">
      <formula>0</formula>
    </cfRule>
    <cfRule type="cellIs" priority="448" operator="lessThan" aboveAverage="0" equalAverage="0" bottom="0" percent="0" rank="0" text="" dxfId="1">
      <formula>E41</formula>
    </cfRule>
  </conditionalFormatting>
  <conditionalFormatting sqref="AL42">
    <cfRule type="cellIs" priority="449" operator="equal" aboveAverage="0" equalAverage="0" bottom="0" percent="0" rank="0" text="" dxfId="0">
      <formula>0</formula>
    </cfRule>
    <cfRule type="cellIs" priority="450" operator="lessThan" aboveAverage="0" equalAverage="0" bottom="0" percent="0" rank="0" text="" dxfId="1">
      <formula>E42</formula>
    </cfRule>
  </conditionalFormatting>
  <conditionalFormatting sqref="AL43">
    <cfRule type="cellIs" priority="451" operator="equal" aboveAverage="0" equalAverage="0" bottom="0" percent="0" rank="0" text="" dxfId="0">
      <formula>0</formula>
    </cfRule>
    <cfRule type="cellIs" priority="452" operator="lessThan" aboveAverage="0" equalAverage="0" bottom="0" percent="0" rank="0" text="" dxfId="1">
      <formula>E43</formula>
    </cfRule>
  </conditionalFormatting>
  <conditionalFormatting sqref="AL47">
    <cfRule type="cellIs" priority="453" operator="equal" aboveAverage="0" equalAverage="0" bottom="0" percent="0" rank="0" text="" dxfId="0">
      <formula>0</formula>
    </cfRule>
    <cfRule type="cellIs" priority="454" operator="lessThan" aboveAverage="0" equalAverage="0" bottom="0" percent="0" rank="0" text="" dxfId="1">
      <formula>E47</formula>
    </cfRule>
  </conditionalFormatting>
  <conditionalFormatting sqref="AL48">
    <cfRule type="cellIs" priority="455" operator="equal" aboveAverage="0" equalAverage="0" bottom="0" percent="0" rank="0" text="" dxfId="0">
      <formula>0</formula>
    </cfRule>
    <cfRule type="cellIs" priority="456" operator="lessThan" aboveAverage="0" equalAverage="0" bottom="0" percent="0" rank="0" text="" dxfId="1">
      <formula>E48</formula>
    </cfRule>
  </conditionalFormatting>
  <conditionalFormatting sqref="AL49">
    <cfRule type="cellIs" priority="457" operator="equal" aboveAverage="0" equalAverage="0" bottom="0" percent="0" rank="0" text="" dxfId="0">
      <formula>0</formula>
    </cfRule>
    <cfRule type="cellIs" priority="458" operator="lessThan" aboveAverage="0" equalAverage="0" bottom="0" percent="0" rank="0" text="" dxfId="1">
      <formula>E49</formula>
    </cfRule>
  </conditionalFormatting>
  <conditionalFormatting sqref="AL51">
    <cfRule type="cellIs" priority="459" operator="equal" aboveAverage="0" equalAverage="0" bottom="0" percent="0" rank="0" text="" dxfId="0">
      <formula>0</formula>
    </cfRule>
    <cfRule type="cellIs" priority="460" operator="lessThan" aboveAverage="0" equalAverage="0" bottom="0" percent="0" rank="0" text="" dxfId="1">
      <formula>E51</formula>
    </cfRule>
  </conditionalFormatting>
  <conditionalFormatting sqref="AL52">
    <cfRule type="cellIs" priority="461" operator="equal" aboveAverage="0" equalAverage="0" bottom="0" percent="0" rank="0" text="" dxfId="0">
      <formula>0</formula>
    </cfRule>
    <cfRule type="cellIs" priority="462" operator="lessThan" aboveAverage="0" equalAverage="0" bottom="0" percent="0" rank="0" text="" dxfId="1">
      <formula>E52</formula>
    </cfRule>
  </conditionalFormatting>
  <conditionalFormatting sqref="AM12">
    <cfRule type="expression" priority="463" aboveAverage="0" equalAverage="0" bottom="0" percent="0" rank="0" text="" dxfId="3">
      <formula>AND(AM12&gt;0,AM12&lt;50)</formula>
    </cfRule>
    <cfRule type="cellIs" priority="464" operator="greaterThan" aboveAverage="0" equalAverage="0" bottom="0" percent="0" rank="0" text="" dxfId="0">
      <formula>AL12</formula>
    </cfRule>
  </conditionalFormatting>
  <conditionalFormatting sqref="AM18">
    <cfRule type="expression" priority="465" aboveAverage="0" equalAverage="0" bottom="0" percent="0" rank="0" text="" dxfId="3">
      <formula>AND(AM18&gt;0,AM18&lt;100)</formula>
    </cfRule>
    <cfRule type="cellIs" priority="466" operator="greaterThan" aboveAverage="0" equalAverage="0" bottom="0" percent="0" rank="0" text="" dxfId="0">
      <formula>AL18</formula>
    </cfRule>
  </conditionalFormatting>
  <conditionalFormatting sqref="AM21">
    <cfRule type="expression" priority="467" aboveAverage="0" equalAverage="0" bottom="0" percent="0" rank="0" text="" dxfId="3">
      <formula>AND(AM21&gt;0,AM21&lt;10)</formula>
    </cfRule>
    <cfRule type="cellIs" priority="468" operator="greaterThan" aboveAverage="0" equalAverage="0" bottom="0" percent="0" rank="0" text="" dxfId="0">
      <formula>AL21</formula>
    </cfRule>
  </conditionalFormatting>
  <conditionalFormatting sqref="AM22">
    <cfRule type="expression" priority="469" aboveAverage="0" equalAverage="0" bottom="0" percent="0" rank="0" text="" dxfId="3">
      <formula>AND(AM22&gt;0,AM22&lt;50)</formula>
    </cfRule>
    <cfRule type="cellIs" priority="470" operator="greaterThan" aboveAverage="0" equalAverage="0" bottom="0" percent="0" rank="0" text="" dxfId="0">
      <formula>AL22</formula>
    </cfRule>
  </conditionalFormatting>
  <conditionalFormatting sqref="AM23">
    <cfRule type="expression" priority="471" aboveAverage="0" equalAverage="0" bottom="0" percent="0" rank="0" text="" dxfId="3">
      <formula>AND(AM23&gt;0,AM23&lt;50)</formula>
    </cfRule>
    <cfRule type="cellIs" priority="472" operator="greaterThan" aboveAverage="0" equalAverage="0" bottom="0" percent="0" rank="0" text="" dxfId="0">
      <formula>AL23</formula>
    </cfRule>
  </conditionalFormatting>
  <conditionalFormatting sqref="AM24">
    <cfRule type="expression" priority="473" aboveAverage="0" equalAverage="0" bottom="0" percent="0" rank="0" text="" dxfId="3">
      <formula>AND(AM24&gt;0,AM24&lt;100)</formula>
    </cfRule>
    <cfRule type="cellIs" priority="474" operator="greaterThan" aboveAverage="0" equalAverage="0" bottom="0" percent="0" rank="0" text="" dxfId="0">
      <formula>AL24</formula>
    </cfRule>
  </conditionalFormatting>
  <conditionalFormatting sqref="AM32">
    <cfRule type="expression" priority="475" aboveAverage="0" equalAverage="0" bottom="0" percent="0" rank="0" text="" dxfId="3">
      <formula>AND(AM32&gt;0,AM32&lt;20)</formula>
    </cfRule>
    <cfRule type="cellIs" priority="476" operator="greaterThan" aboveAverage="0" equalAverage="0" bottom="0" percent="0" rank="0" text="" dxfId="0">
      <formula>AL32</formula>
    </cfRule>
  </conditionalFormatting>
  <conditionalFormatting sqref="AM35">
    <cfRule type="expression" priority="477" aboveAverage="0" equalAverage="0" bottom="0" percent="0" rank="0" text="" dxfId="3">
      <formula>AND(AM35&gt;0,AM35&lt;50)</formula>
    </cfRule>
    <cfRule type="cellIs" priority="478" operator="greaterThan" aboveAverage="0" equalAverage="0" bottom="0" percent="0" rank="0" text="" dxfId="0">
      <formula>AL35</formula>
    </cfRule>
  </conditionalFormatting>
  <conditionalFormatting sqref="AM36">
    <cfRule type="cellIs" priority="479" operator="greaterThan" aboveAverage="0" equalAverage="0" bottom="0" percent="0" rank="0" text="" dxfId="0">
      <formula>AL36</formula>
    </cfRule>
  </conditionalFormatting>
  <conditionalFormatting sqref="AM37">
    <cfRule type="expression" priority="480" aboveAverage="0" equalAverage="0" bottom="0" percent="0" rank="0" text="" dxfId="3">
      <formula>AND(AM37&gt;0,AM37&lt;50)</formula>
    </cfRule>
    <cfRule type="cellIs" priority="481" operator="greaterThan" aboveAverage="0" equalAverage="0" bottom="0" percent="0" rank="0" text="" dxfId="0">
      <formula>AL37</formula>
    </cfRule>
  </conditionalFormatting>
  <conditionalFormatting sqref="AM38">
    <cfRule type="expression" priority="482" aboveAverage="0" equalAverage="0" bottom="0" percent="0" rank="0" text="" dxfId="3">
      <formula>AND(AM38&gt;0,AM38&lt;50)</formula>
    </cfRule>
    <cfRule type="cellIs" priority="483" operator="greaterThan" aboveAverage="0" equalAverage="0" bottom="0" percent="0" rank="0" text="" dxfId="0">
      <formula>AL38</formula>
    </cfRule>
  </conditionalFormatting>
  <conditionalFormatting sqref="AM39">
    <cfRule type="expression" priority="484" aboveAverage="0" equalAverage="0" bottom="0" percent="0" rank="0" text="" dxfId="3">
      <formula>AND(AM39&gt;0,AM39&lt;10)</formula>
    </cfRule>
    <cfRule type="cellIs" priority="485" operator="greaterThan" aboveAverage="0" equalAverage="0" bottom="0" percent="0" rank="0" text="" dxfId="0">
      <formula>AL39</formula>
    </cfRule>
  </conditionalFormatting>
  <conditionalFormatting sqref="AM41">
    <cfRule type="expression" priority="486" aboveAverage="0" equalAverage="0" bottom="0" percent="0" rank="0" text="" dxfId="3">
      <formula>AND(AM41&gt;0,AM41&lt;50)</formula>
    </cfRule>
    <cfRule type="cellIs" priority="487" operator="greaterThan" aboveAverage="0" equalAverage="0" bottom="0" percent="0" rank="0" text="" dxfId="0">
      <formula>AL41</formula>
    </cfRule>
  </conditionalFormatting>
  <conditionalFormatting sqref="AM42">
    <cfRule type="expression" priority="488" aboveAverage="0" equalAverage="0" bottom="0" percent="0" rank="0" text="" dxfId="3">
      <formula>AND(AM42&gt;0,AM42&lt;50)</formula>
    </cfRule>
    <cfRule type="cellIs" priority="489" operator="greaterThan" aboveAverage="0" equalAverage="0" bottom="0" percent="0" rank="0" text="" dxfId="0">
      <formula>AL42</formula>
    </cfRule>
  </conditionalFormatting>
  <conditionalFormatting sqref="AM43">
    <cfRule type="expression" priority="490" aboveAverage="0" equalAverage="0" bottom="0" percent="0" rank="0" text="" dxfId="3">
      <formula>AND(AM43&gt;0,AM43&lt;50)</formula>
    </cfRule>
    <cfRule type="cellIs" priority="491" operator="greaterThan" aboveAverage="0" equalAverage="0" bottom="0" percent="0" rank="0" text="" dxfId="0">
      <formula>AL43</formula>
    </cfRule>
  </conditionalFormatting>
  <conditionalFormatting sqref="AM47">
    <cfRule type="cellIs" priority="492" operator="greaterThan" aboveAverage="0" equalAverage="0" bottom="0" percent="0" rank="0" text="" dxfId="0">
      <formula>AL47</formula>
    </cfRule>
  </conditionalFormatting>
  <conditionalFormatting sqref="AM48">
    <cfRule type="expression" priority="493" aboveAverage="0" equalAverage="0" bottom="0" percent="0" rank="0" text="" dxfId="3">
      <formula>AND(AM48&gt;0,AM48&lt;10)</formula>
    </cfRule>
    <cfRule type="cellIs" priority="494" operator="greaterThan" aboveAverage="0" equalAverage="0" bottom="0" percent="0" rank="0" text="" dxfId="0">
      <formula>AL48</formula>
    </cfRule>
  </conditionalFormatting>
  <conditionalFormatting sqref="AM49">
    <cfRule type="expression" priority="495" aboveAverage="0" equalAverage="0" bottom="0" percent="0" rank="0" text="" dxfId="3">
      <formula>AND(AM49&gt;0,AM49&lt;50)</formula>
    </cfRule>
    <cfRule type="cellIs" priority="496" operator="greaterThan" aboveAverage="0" equalAverage="0" bottom="0" percent="0" rank="0" text="" dxfId="0">
      <formula>AL49</formula>
    </cfRule>
  </conditionalFormatting>
  <conditionalFormatting sqref="AM51">
    <cfRule type="expression" priority="497" aboveAverage="0" equalAverage="0" bottom="0" percent="0" rank="0" text="" dxfId="3">
      <formula>AND(AM51&gt;0,AM51&lt;5)</formula>
    </cfRule>
    <cfRule type="cellIs" priority="498" operator="greaterThan" aboveAverage="0" equalAverage="0" bottom="0" percent="0" rank="0" text="" dxfId="0">
      <formula>AL51</formula>
    </cfRule>
  </conditionalFormatting>
  <conditionalFormatting sqref="AM52">
    <cfRule type="expression" priority="499" aboveAverage="0" equalAverage="0" bottom="0" percent="0" rank="0" text="" dxfId="3">
      <formula>AND(AM52&gt;0,AM52&lt;10)</formula>
    </cfRule>
    <cfRule type="cellIs" priority="500" operator="greaterThan" aboveAverage="0" equalAverage="0" bottom="0" percent="0" rank="0" text="" dxfId="0">
      <formula>AL52</formula>
    </cfRule>
  </conditionalFormatting>
  <conditionalFormatting sqref="AN12">
    <cfRule type="cellIs" priority="501" operator="lessThanOrEqual" aboveAverage="0" equalAverage="0" bottom="0" percent="0" rank="0" text="" dxfId="2">
      <formula>F12</formula>
    </cfRule>
  </conditionalFormatting>
  <conditionalFormatting sqref="AN18">
    <cfRule type="cellIs" priority="502" operator="lessThanOrEqual" aboveAverage="0" equalAverage="0" bottom="0" percent="0" rank="0" text="" dxfId="2">
      <formula>F18</formula>
    </cfRule>
  </conditionalFormatting>
  <conditionalFormatting sqref="AN21">
    <cfRule type="cellIs" priority="503" operator="lessThanOrEqual" aboveAverage="0" equalAverage="0" bottom="0" percent="0" rank="0" text="" dxfId="2">
      <formula>F21</formula>
    </cfRule>
  </conditionalFormatting>
  <conditionalFormatting sqref="AN22">
    <cfRule type="cellIs" priority="504" operator="lessThanOrEqual" aboveAverage="0" equalAverage="0" bottom="0" percent="0" rank="0" text="" dxfId="2">
      <formula>F22</formula>
    </cfRule>
  </conditionalFormatting>
  <conditionalFormatting sqref="AN23">
    <cfRule type="cellIs" priority="505" operator="lessThanOrEqual" aboveAverage="0" equalAverage="0" bottom="0" percent="0" rank="0" text="" dxfId="2">
      <formula>F23</formula>
    </cfRule>
  </conditionalFormatting>
  <conditionalFormatting sqref="AN24">
    <cfRule type="cellIs" priority="506" operator="lessThanOrEqual" aboveAverage="0" equalAverage="0" bottom="0" percent="0" rank="0" text="" dxfId="2">
      <formula>F24</formula>
    </cfRule>
  </conditionalFormatting>
  <conditionalFormatting sqref="AN32">
    <cfRule type="cellIs" priority="507" operator="lessThanOrEqual" aboveAverage="0" equalAverage="0" bottom="0" percent="0" rank="0" text="" dxfId="2">
      <formula>F32</formula>
    </cfRule>
  </conditionalFormatting>
  <conditionalFormatting sqref="AN35">
    <cfRule type="cellIs" priority="508" operator="lessThanOrEqual" aboveAverage="0" equalAverage="0" bottom="0" percent="0" rank="0" text="" dxfId="2">
      <formula>F35</formula>
    </cfRule>
  </conditionalFormatting>
  <conditionalFormatting sqref="AN36">
    <cfRule type="cellIs" priority="509" operator="lessThanOrEqual" aboveAverage="0" equalAverage="0" bottom="0" percent="0" rank="0" text="" dxfId="2">
      <formula>F36</formula>
    </cfRule>
  </conditionalFormatting>
  <conditionalFormatting sqref="AN37">
    <cfRule type="cellIs" priority="510" operator="lessThanOrEqual" aboveAverage="0" equalAverage="0" bottom="0" percent="0" rank="0" text="" dxfId="2">
      <formula>F37</formula>
    </cfRule>
  </conditionalFormatting>
  <conditionalFormatting sqref="AN38">
    <cfRule type="cellIs" priority="511" operator="lessThanOrEqual" aboveAverage="0" equalAverage="0" bottom="0" percent="0" rank="0" text="" dxfId="2">
      <formula>F38</formula>
    </cfRule>
  </conditionalFormatting>
  <conditionalFormatting sqref="AN39">
    <cfRule type="cellIs" priority="512" operator="lessThanOrEqual" aboveAverage="0" equalAverage="0" bottom="0" percent="0" rank="0" text="" dxfId="2">
      <formula>F39</formula>
    </cfRule>
  </conditionalFormatting>
  <conditionalFormatting sqref="AN41">
    <cfRule type="cellIs" priority="513" operator="lessThanOrEqual" aboveAverage="0" equalAverage="0" bottom="0" percent="0" rank="0" text="" dxfId="2">
      <formula>F41</formula>
    </cfRule>
  </conditionalFormatting>
  <conditionalFormatting sqref="AN42">
    <cfRule type="cellIs" priority="514" operator="lessThanOrEqual" aboveAverage="0" equalAverage="0" bottom="0" percent="0" rank="0" text="" dxfId="2">
      <formula>F42</formula>
    </cfRule>
  </conditionalFormatting>
  <conditionalFormatting sqref="AN43">
    <cfRule type="cellIs" priority="515" operator="lessThanOrEqual" aboveAverage="0" equalAverage="0" bottom="0" percent="0" rank="0" text="" dxfId="2">
      <formula>F43</formula>
    </cfRule>
  </conditionalFormatting>
  <conditionalFormatting sqref="AN47">
    <cfRule type="cellIs" priority="516" operator="lessThanOrEqual" aboveAverage="0" equalAverage="0" bottom="0" percent="0" rank="0" text="" dxfId="2">
      <formula>F47</formula>
    </cfRule>
  </conditionalFormatting>
  <conditionalFormatting sqref="AN48">
    <cfRule type="cellIs" priority="517" operator="lessThanOrEqual" aboveAverage="0" equalAverage="0" bottom="0" percent="0" rank="0" text="" dxfId="2">
      <formula>F48</formula>
    </cfRule>
  </conditionalFormatting>
  <conditionalFormatting sqref="AN49">
    <cfRule type="cellIs" priority="518" operator="lessThanOrEqual" aboveAverage="0" equalAverage="0" bottom="0" percent="0" rank="0" text="" dxfId="2">
      <formula>F49</formula>
    </cfRule>
  </conditionalFormatting>
  <conditionalFormatting sqref="AN51">
    <cfRule type="cellIs" priority="519" operator="lessThanOrEqual" aboveAverage="0" equalAverage="0" bottom="0" percent="0" rank="0" text="" dxfId="2">
      <formula>F51</formula>
    </cfRule>
  </conditionalFormatting>
  <conditionalFormatting sqref="AN52">
    <cfRule type="cellIs" priority="520" operator="lessThanOrEqual" aboveAverage="0" equalAverage="0" bottom="0" percent="0" rank="0" text="" dxfId="2">
      <formula>F52</formula>
    </cfRule>
  </conditionalFormatting>
  <conditionalFormatting sqref="AO12">
    <cfRule type="cellIs" priority="521" operator="lessThanOrEqual" aboveAverage="0" equalAverage="0" bottom="0" percent="0" rank="0" text="" dxfId="2">
      <formula>G12</formula>
    </cfRule>
  </conditionalFormatting>
  <conditionalFormatting sqref="AO18">
    <cfRule type="cellIs" priority="522" operator="lessThanOrEqual" aboveAverage="0" equalAverage="0" bottom="0" percent="0" rank="0" text="" dxfId="2">
      <formula>G18</formula>
    </cfRule>
  </conditionalFormatting>
  <conditionalFormatting sqref="AO21">
    <cfRule type="cellIs" priority="523" operator="lessThanOrEqual" aboveAverage="0" equalAverage="0" bottom="0" percent="0" rank="0" text="" dxfId="2">
      <formula>G21</formula>
    </cfRule>
  </conditionalFormatting>
  <conditionalFormatting sqref="AO22">
    <cfRule type="cellIs" priority="524" operator="lessThanOrEqual" aboveAverage="0" equalAverage="0" bottom="0" percent="0" rank="0" text="" dxfId="2">
      <formula>G22</formula>
    </cfRule>
  </conditionalFormatting>
  <conditionalFormatting sqref="AO23">
    <cfRule type="cellIs" priority="525" operator="lessThanOrEqual" aboveAverage="0" equalAverage="0" bottom="0" percent="0" rank="0" text="" dxfId="2">
      <formula>G23</formula>
    </cfRule>
  </conditionalFormatting>
  <conditionalFormatting sqref="AO24">
    <cfRule type="cellIs" priority="526" operator="lessThanOrEqual" aboveAverage="0" equalAverage="0" bottom="0" percent="0" rank="0" text="" dxfId="2">
      <formula>G24</formula>
    </cfRule>
  </conditionalFormatting>
  <conditionalFormatting sqref="AO32">
    <cfRule type="cellIs" priority="527" operator="lessThanOrEqual" aboveAverage="0" equalAverage="0" bottom="0" percent="0" rank="0" text="" dxfId="2">
      <formula>G32</formula>
    </cfRule>
  </conditionalFormatting>
  <conditionalFormatting sqref="AO35">
    <cfRule type="cellIs" priority="528" operator="lessThanOrEqual" aboveAverage="0" equalAverage="0" bottom="0" percent="0" rank="0" text="" dxfId="2">
      <formula>G35</formula>
    </cfRule>
  </conditionalFormatting>
  <conditionalFormatting sqref="AO36">
    <cfRule type="cellIs" priority="529" operator="lessThanOrEqual" aboveAverage="0" equalAverage="0" bottom="0" percent="0" rank="0" text="" dxfId="2">
      <formula>G36</formula>
    </cfRule>
  </conditionalFormatting>
  <conditionalFormatting sqref="AO37">
    <cfRule type="cellIs" priority="530" operator="lessThanOrEqual" aboveAverage="0" equalAverage="0" bottom="0" percent="0" rank="0" text="" dxfId="2">
      <formula>G37</formula>
    </cfRule>
  </conditionalFormatting>
  <conditionalFormatting sqref="AO38">
    <cfRule type="cellIs" priority="531" operator="lessThanOrEqual" aboveAverage="0" equalAverage="0" bottom="0" percent="0" rank="0" text="" dxfId="2">
      <formula>G38</formula>
    </cfRule>
  </conditionalFormatting>
  <conditionalFormatting sqref="AO39">
    <cfRule type="cellIs" priority="532" operator="lessThanOrEqual" aboveAverage="0" equalAverage="0" bottom="0" percent="0" rank="0" text="" dxfId="2">
      <formula>G39</formula>
    </cfRule>
  </conditionalFormatting>
  <conditionalFormatting sqref="AO41">
    <cfRule type="cellIs" priority="533" operator="lessThanOrEqual" aboveAverage="0" equalAverage="0" bottom="0" percent="0" rank="0" text="" dxfId="2">
      <formula>G41</formula>
    </cfRule>
  </conditionalFormatting>
  <conditionalFormatting sqref="AO42">
    <cfRule type="cellIs" priority="534" operator="lessThanOrEqual" aboveAverage="0" equalAverage="0" bottom="0" percent="0" rank="0" text="" dxfId="2">
      <formula>G42</formula>
    </cfRule>
  </conditionalFormatting>
  <conditionalFormatting sqref="AO43">
    <cfRule type="cellIs" priority="535" operator="lessThanOrEqual" aboveAverage="0" equalAverage="0" bottom="0" percent="0" rank="0" text="" dxfId="2">
      <formula>G43</formula>
    </cfRule>
  </conditionalFormatting>
  <conditionalFormatting sqref="AO47">
    <cfRule type="cellIs" priority="536" operator="lessThanOrEqual" aboveAverage="0" equalAverage="0" bottom="0" percent="0" rank="0" text="" dxfId="2">
      <formula>G47</formula>
    </cfRule>
  </conditionalFormatting>
  <conditionalFormatting sqref="AO48">
    <cfRule type="cellIs" priority="537" operator="lessThanOrEqual" aboveAverage="0" equalAverage="0" bottom="0" percent="0" rank="0" text="" dxfId="2">
      <formula>G48</formula>
    </cfRule>
  </conditionalFormatting>
  <conditionalFormatting sqref="AO49">
    <cfRule type="cellIs" priority="538" operator="lessThanOrEqual" aboveAverage="0" equalAverage="0" bottom="0" percent="0" rank="0" text="" dxfId="2">
      <formula>G49</formula>
    </cfRule>
  </conditionalFormatting>
  <conditionalFormatting sqref="AO51">
    <cfRule type="cellIs" priority="539" operator="lessThanOrEqual" aboveAverage="0" equalAverage="0" bottom="0" percent="0" rank="0" text="" dxfId="2">
      <formula>G51</formula>
    </cfRule>
  </conditionalFormatting>
  <conditionalFormatting sqref="AO52">
    <cfRule type="cellIs" priority="540" operator="lessThanOrEqual" aboveAverage="0" equalAverage="0" bottom="0" percent="0" rank="0" text="" dxfId="2">
      <formula>G52</formula>
    </cfRule>
  </conditionalFormatting>
  <conditionalFormatting sqref="AQ18">
    <cfRule type="cellIs" priority="541" operator="equal" aboveAverage="0" equalAverage="0" bottom="0" percent="0" rank="0" text="" dxfId="0">
      <formula>0</formula>
    </cfRule>
    <cfRule type="cellIs" priority="542" operator="lessThan" aboveAverage="0" equalAverage="0" bottom="0" percent="0" rank="0" text="" dxfId="1">
      <formula>E18</formula>
    </cfRule>
  </conditionalFormatting>
  <conditionalFormatting sqref="AQ21">
    <cfRule type="cellIs" priority="543" operator="equal" aboveAverage="0" equalAverage="0" bottom="0" percent="0" rank="0" text="" dxfId="0">
      <formula>0</formula>
    </cfRule>
    <cfRule type="cellIs" priority="544" operator="lessThan" aboveAverage="0" equalAverage="0" bottom="0" percent="0" rank="0" text="" dxfId="1">
      <formula>E21</formula>
    </cfRule>
  </conditionalFormatting>
  <conditionalFormatting sqref="AQ23">
    <cfRule type="cellIs" priority="545" operator="equal" aboveAverage="0" equalAverage="0" bottom="0" percent="0" rank="0" text="" dxfId="0">
      <formula>0</formula>
    </cfRule>
    <cfRule type="cellIs" priority="546" operator="lessThan" aboveAverage="0" equalAverage="0" bottom="0" percent="0" rank="0" text="" dxfId="1">
      <formula>E23</formula>
    </cfRule>
  </conditionalFormatting>
  <conditionalFormatting sqref="AQ32">
    <cfRule type="cellIs" priority="547" operator="equal" aboveAverage="0" equalAverage="0" bottom="0" percent="0" rank="0" text="" dxfId="0">
      <formula>0</formula>
    </cfRule>
    <cfRule type="cellIs" priority="548" operator="lessThan" aboveAverage="0" equalAverage="0" bottom="0" percent="0" rank="0" text="" dxfId="1">
      <formula>E32</formula>
    </cfRule>
  </conditionalFormatting>
  <conditionalFormatting sqref="AQ55">
    <cfRule type="cellIs" priority="549" operator="equal" aboveAverage="0" equalAverage="0" bottom="0" percent="0" rank="0" text="" dxfId="0">
      <formula>0</formula>
    </cfRule>
    <cfRule type="cellIs" priority="550" operator="lessThan" aboveAverage="0" equalAverage="0" bottom="0" percent="0" rank="0" text="" dxfId="1">
      <formula>E55</formula>
    </cfRule>
  </conditionalFormatting>
  <conditionalFormatting sqref="AR18">
    <cfRule type="expression" priority="551" aboveAverage="0" equalAverage="0" bottom="0" percent="0" rank="0" text="" dxfId="3">
      <formula>AND(AR18&gt;0,AR18&lt;100)</formula>
    </cfRule>
    <cfRule type="cellIs" priority="552" operator="greaterThan" aboveAverage="0" equalAverage="0" bottom="0" percent="0" rank="0" text="" dxfId="0">
      <formula>AQ18</formula>
    </cfRule>
  </conditionalFormatting>
  <conditionalFormatting sqref="AR21">
    <cfRule type="expression" priority="553" aboveAverage="0" equalAverage="0" bottom="0" percent="0" rank="0" text="" dxfId="3">
      <formula>AND(AR21&gt;0,AR21&lt;10)</formula>
    </cfRule>
    <cfRule type="cellIs" priority="554" operator="greaterThan" aboveAverage="0" equalAverage="0" bottom="0" percent="0" rank="0" text="" dxfId="0">
      <formula>AQ21</formula>
    </cfRule>
  </conditionalFormatting>
  <conditionalFormatting sqref="AR23">
    <cfRule type="expression" priority="555" aboveAverage="0" equalAverage="0" bottom="0" percent="0" rank="0" text="" dxfId="3">
      <formula>AND(AR23&gt;0,AR23&lt;5)</formula>
    </cfRule>
    <cfRule type="cellIs" priority="556" operator="greaterThan" aboveAverage="0" equalAverage="0" bottom="0" percent="0" rank="0" text="" dxfId="0">
      <formula>AQ23</formula>
    </cfRule>
  </conditionalFormatting>
  <conditionalFormatting sqref="AR32">
    <cfRule type="expression" priority="557" aboveAverage="0" equalAverage="0" bottom="0" percent="0" rank="0" text="" dxfId="3">
      <formula>AND(AR32&gt;0,AR32&lt;10)</formula>
    </cfRule>
    <cfRule type="cellIs" priority="558" operator="greaterThan" aboveAverage="0" equalAverage="0" bottom="0" percent="0" rank="0" text="" dxfId="0">
      <formula>AQ32</formula>
    </cfRule>
  </conditionalFormatting>
  <conditionalFormatting sqref="AR55">
    <cfRule type="expression" priority="559" aboveAverage="0" equalAverage="0" bottom="0" percent="0" rank="0" text="" dxfId="3">
      <formula>AND(AR55&gt;0,AR55&lt;500)</formula>
    </cfRule>
    <cfRule type="cellIs" priority="560" operator="greaterThan" aboveAverage="0" equalAverage="0" bottom="0" percent="0" rank="0" text="" dxfId="0">
      <formula>AQ55</formula>
    </cfRule>
  </conditionalFormatting>
  <conditionalFormatting sqref="AS18">
    <cfRule type="cellIs" priority="561" operator="lessThanOrEqual" aboveAverage="0" equalAverage="0" bottom="0" percent="0" rank="0" text="" dxfId="2">
      <formula>F18</formula>
    </cfRule>
  </conditionalFormatting>
  <conditionalFormatting sqref="AS21">
    <cfRule type="cellIs" priority="562" operator="lessThanOrEqual" aboveAverage="0" equalAverage="0" bottom="0" percent="0" rank="0" text="" dxfId="2">
      <formula>F21</formula>
    </cfRule>
  </conditionalFormatting>
  <conditionalFormatting sqref="AS23">
    <cfRule type="cellIs" priority="563" operator="lessThanOrEqual" aboveAverage="0" equalAverage="0" bottom="0" percent="0" rank="0" text="" dxfId="2">
      <formula>F23</formula>
    </cfRule>
  </conditionalFormatting>
  <conditionalFormatting sqref="AS32">
    <cfRule type="cellIs" priority="564" operator="lessThanOrEqual" aboveAverage="0" equalAverage="0" bottom="0" percent="0" rank="0" text="" dxfId="2">
      <formula>F32</formula>
    </cfRule>
  </conditionalFormatting>
  <conditionalFormatting sqref="AS55">
    <cfRule type="cellIs" priority="565" operator="lessThanOrEqual" aboveAverage="0" equalAverage="0" bottom="0" percent="0" rank="0" text="" dxfId="2">
      <formula>F55</formula>
    </cfRule>
  </conditionalFormatting>
  <conditionalFormatting sqref="AT18">
    <cfRule type="cellIs" priority="566" operator="lessThanOrEqual" aboveAverage="0" equalAverage="0" bottom="0" percent="0" rank="0" text="" dxfId="2">
      <formula>G18</formula>
    </cfRule>
  </conditionalFormatting>
  <conditionalFormatting sqref="AT21">
    <cfRule type="cellIs" priority="567" operator="lessThanOrEqual" aboveAverage="0" equalAverage="0" bottom="0" percent="0" rank="0" text="" dxfId="2">
      <formula>G21</formula>
    </cfRule>
  </conditionalFormatting>
  <conditionalFormatting sqref="AT23">
    <cfRule type="cellIs" priority="568" operator="lessThanOrEqual" aboveAverage="0" equalAverage="0" bottom="0" percent="0" rank="0" text="" dxfId="2">
      <formula>G23</formula>
    </cfRule>
  </conditionalFormatting>
  <conditionalFormatting sqref="AT32">
    <cfRule type="cellIs" priority="569" operator="lessThanOrEqual" aboveAverage="0" equalAverage="0" bottom="0" percent="0" rank="0" text="" dxfId="2">
      <formula>G32</formula>
    </cfRule>
  </conditionalFormatting>
  <conditionalFormatting sqref="AT55">
    <cfRule type="cellIs" priority="570" operator="lessThanOrEqual" aboveAverage="0" equalAverage="0" bottom="0" percent="0" rank="0" text="" dxfId="2">
      <formula>G55</formula>
    </cfRule>
  </conditionalFormatting>
  <conditionalFormatting sqref="E10">
    <cfRule type="expression" priority="571" aboveAverage="0" equalAverage="0" bottom="0" percent="0" rank="0" text="" dxfId="4">
      <formula>AND(ISBLANK(D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572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573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574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1">
    <cfRule type="expression" priority="575" aboveAverage="0" equalAverage="0" bottom="0" percent="0" rank="0" text="" dxfId="4">
      <formula>AND(ISBLANK(D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576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577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578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2">
    <cfRule type="expression" priority="579" aboveAverage="0" equalAverage="0" bottom="0" percent="0" rank="0" text="" dxfId="4">
      <formula>AND(ISBLANK(D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580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581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582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3">
    <cfRule type="expression" priority="583" aboveAverage="0" equalAverage="0" bottom="0" percent="0" rank="0" text="" dxfId="4">
      <formula>AND(ISBLANK(D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584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585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586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4">
    <cfRule type="expression" priority="587" aboveAverage="0" equalAverage="0" bottom="0" percent="0" rank="0" text="" dxfId="4">
      <formula>AND(ISBLANK(D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588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589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590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5">
    <cfRule type="expression" priority="591" aboveAverage="0" equalAverage="0" bottom="0" percent="0" rank="0" text="" dxfId="4">
      <formula>AND(ISBLANK(D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592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593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594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6">
    <cfRule type="expression" priority="595" aboveAverage="0" equalAverage="0" bottom="0" percent="0" rank="0" text="" dxfId="4">
      <formula>AND(ISBLANK(D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596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597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598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7">
    <cfRule type="expression" priority="599" aboveAverage="0" equalAverage="0" bottom="0" percent="0" rank="0" text="" dxfId="4">
      <formula>AND(ISBLANK(D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600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601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602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8">
    <cfRule type="expression" priority="603" aboveAverage="0" equalAverage="0" bottom="0" percent="0" rank="0" text="" dxfId="4">
      <formula>AND(ISBLANK(D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604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605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606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9">
    <cfRule type="expression" priority="607" aboveAverage="0" equalAverage="0" bottom="0" percent="0" rank="0" text="" dxfId="4">
      <formula>AND(ISBLANK(D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608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609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610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0">
    <cfRule type="expression" priority="611" aboveAverage="0" equalAverage="0" bottom="0" percent="0" rank="0" text="" dxfId="4">
      <formula>AND(ISBLANK(D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612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613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614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1">
    <cfRule type="expression" priority="615" aboveAverage="0" equalAverage="0" bottom="0" percent="0" rank="0" text="" dxfId="4">
      <formula>AND(ISBLANK(D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616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617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618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2">
    <cfRule type="expression" priority="619" aboveAverage="0" equalAverage="0" bottom="0" percent="0" rank="0" text="" dxfId="4">
      <formula>AND(ISBLANK(D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620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621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622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3">
    <cfRule type="expression" priority="623" aboveAverage="0" equalAverage="0" bottom="0" percent="0" rank="0" text="" dxfId="4">
      <formula>AND(ISBLANK(D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624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625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626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4">
    <cfRule type="expression" priority="627" aboveAverage="0" equalAverage="0" bottom="0" percent="0" rank="0" text="" dxfId="4">
      <formula>AND(ISBLANK(D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628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629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630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5">
    <cfRule type="expression" priority="631" aboveAverage="0" equalAverage="0" bottom="0" percent="0" rank="0" text="" dxfId="4">
      <formula>AND(ISBLANK(D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632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633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634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6">
    <cfRule type="expression" priority="635" aboveAverage="0" equalAverage="0" bottom="0" percent="0" rank="0" text="" dxfId="4">
      <formula>AND(ISBLANK(D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636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637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638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7">
    <cfRule type="expression" priority="639" aboveAverage="0" equalAverage="0" bottom="0" percent="0" rank="0" text="" dxfId="4">
      <formula>AND(ISBLANK(D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640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641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642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8">
    <cfRule type="expression" priority="643" aboveAverage="0" equalAverage="0" bottom="0" percent="0" rank="0" text="" dxfId="4">
      <formula>AND(ISBLANK(D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644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645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646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9">
    <cfRule type="expression" priority="647" aboveAverage="0" equalAverage="0" bottom="0" percent="0" rank="0" text="" dxfId="4">
      <formula>AND(ISBLANK(D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648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649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650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0">
    <cfRule type="expression" priority="651" aboveAverage="0" equalAverage="0" bottom="0" percent="0" rank="0" text="" dxfId="4">
      <formula>AND(ISBLANK(D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652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653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654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1">
    <cfRule type="expression" priority="655" aboveAverage="0" equalAverage="0" bottom="0" percent="0" rank="0" text="" dxfId="4">
      <formula>AND(ISBLANK(D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656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657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658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2">
    <cfRule type="expression" priority="659" aboveAverage="0" equalAverage="0" bottom="0" percent="0" rank="0" text="" dxfId="4">
      <formula>AND(ISBLANK(D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660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661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662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3">
    <cfRule type="expression" priority="663" aboveAverage="0" equalAverage="0" bottom="0" percent="0" rank="0" text="" dxfId="4">
      <formula>AND(ISBLANK(D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664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665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666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4">
    <cfRule type="expression" priority="667" aboveAverage="0" equalAverage="0" bottom="0" percent="0" rank="0" text="" dxfId="4">
      <formula>AND(ISBLANK(D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668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669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670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5">
    <cfRule type="expression" priority="671" aboveAverage="0" equalAverage="0" bottom="0" percent="0" rank="0" text="" dxfId="4">
      <formula>AND(ISBLANK(D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672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673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674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6">
    <cfRule type="expression" priority="675" aboveAverage="0" equalAverage="0" bottom="0" percent="0" rank="0" text="" dxfId="4">
      <formula>AND(ISBLANK(D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676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677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678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7">
    <cfRule type="expression" priority="679" aboveAverage="0" equalAverage="0" bottom="0" percent="0" rank="0" text="" dxfId="4">
      <formula>AND(ISBLANK(D37)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680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681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682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8">
    <cfRule type="expression" priority="683" aboveAverage="0" equalAverage="0" bottom="0" percent="0" rank="0" text="" dxfId="4">
      <formula>AND(ISBLANK(D38)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684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685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686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9">
    <cfRule type="expression" priority="687" aboveAverage="0" equalAverage="0" bottom="0" percent="0" rank="0" text="" dxfId="4">
      <formula>AND(ISBLANK(D39)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688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689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690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40">
    <cfRule type="expression" priority="691" aboveAverage="0" equalAverage="0" bottom="0" percent="0" rank="0" text="" dxfId="4">
      <formula>AND(ISBLANK(D40)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692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693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694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41">
    <cfRule type="expression" priority="695" aboveAverage="0" equalAverage="0" bottom="0" percent="0" rank="0" text="" dxfId="4">
      <formula>AND(ISBLANK(D41)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696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697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698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42">
    <cfRule type="expression" priority="699" aboveAverage="0" equalAverage="0" bottom="0" percent="0" rank="0" text="" dxfId="4">
      <formula>AND(ISBLANK(D42)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700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701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702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43">
    <cfRule type="expression" priority="703" aboveAverage="0" equalAverage="0" bottom="0" percent="0" rank="0" text="" dxfId="4">
      <formula>AND(ISBLANK(D43)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704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705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706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44">
    <cfRule type="expression" priority="707" aboveAverage="0" equalAverage="0" bottom="0" percent="0" rank="0" text="" dxfId="4">
      <formula>AND(ISBLANK(D44)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708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709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710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45">
    <cfRule type="expression" priority="711" aboveAverage="0" equalAverage="0" bottom="0" percent="0" rank="0" text="" dxfId="4">
      <formula>AND(ISBLANK(D45)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712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713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714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46">
    <cfRule type="expression" priority="715" aboveAverage="0" equalAverage="0" bottom="0" percent="0" rank="0" text="" dxfId="4">
      <formula>AND(ISBLANK(D46)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716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717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718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47">
    <cfRule type="expression" priority="719" aboveAverage="0" equalAverage="0" bottom="0" percent="0" rank="0" text="" dxfId="4">
      <formula>AND(ISBLANK(D47)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720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721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722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48">
    <cfRule type="expression" priority="723" aboveAverage="0" equalAverage="0" bottom="0" percent="0" rank="0" text="" dxfId="4">
      <formula>AND(ISBLANK(D48)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724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725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726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49">
    <cfRule type="expression" priority="727" aboveAverage="0" equalAverage="0" bottom="0" percent="0" rank="0" text="" dxfId="4">
      <formula>AND(ISBLANK(D49)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728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729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730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50">
    <cfRule type="expression" priority="731" aboveAverage="0" equalAverage="0" bottom="0" percent="0" rank="0" text="" dxfId="4">
      <formula>AND(ISBLANK(D50)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732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733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734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51">
    <cfRule type="expression" priority="735" aboveAverage="0" equalAverage="0" bottom="0" percent="0" rank="0" text="" dxfId="4">
      <formula>AND(ISBLANK(D51)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736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737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738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52">
    <cfRule type="expression" priority="739" aboveAverage="0" equalAverage="0" bottom="0" percent="0" rank="0" text="" dxfId="4">
      <formula>AND(ISBLANK(D52)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740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741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742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53">
    <cfRule type="expression" priority="743" aboveAverage="0" equalAverage="0" bottom="0" percent="0" rank="0" text="" dxfId="4">
      <formula>AND(ISBLANK(D53)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744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745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746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54">
    <cfRule type="expression" priority="747" aboveAverage="0" equalAverage="0" bottom="0" percent="0" rank="0" text="" dxfId="4">
      <formula>AND(ISBLANK(D54)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748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749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750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55">
    <cfRule type="expression" priority="751" aboveAverage="0" equalAverage="0" bottom="0" percent="0" rank="0" text="" dxfId="4">
      <formula>AND(ISBLANK(D55)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752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753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754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7">
    <cfRule type="expression" priority="755" aboveAverage="0" equalAverage="0" bottom="0" percent="0" rank="0" text="" dxfId="4">
      <formula>AND(ISBLANK(D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756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757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758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8">
    <cfRule type="expression" priority="759" aboveAverage="0" equalAverage="0" bottom="0" percent="0" rank="0" text="" dxfId="4">
      <formula>AND(ISBLANK(D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760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761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762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9">
    <cfRule type="expression" priority="763" aboveAverage="0" equalAverage="0" bottom="0" percent="0" rank="0" text="" dxfId="4">
      <formula>AND(ISBLANK(D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764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765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766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M10">
    <cfRule type="cellIs" priority="767" operator="equal" aboveAverage="0" equalAverage="0" bottom="0" percent="0" rank="0" text="" dxfId="0">
      <formula>0</formula>
    </cfRule>
    <cfRule type="cellIs" priority="768" operator="lessThan" aboveAverage="0" equalAverage="0" bottom="0" percent="0" rank="0" text="" dxfId="1">
      <formula>E10</formula>
    </cfRule>
  </conditionalFormatting>
  <conditionalFormatting sqref="M11">
    <cfRule type="cellIs" priority="769" operator="equal" aboveAverage="0" equalAverage="0" bottom="0" percent="0" rank="0" text="" dxfId="0">
      <formula>0</formula>
    </cfRule>
    <cfRule type="cellIs" priority="770" operator="lessThan" aboveAverage="0" equalAverage="0" bottom="0" percent="0" rank="0" text="" dxfId="1">
      <formula>E11</formula>
    </cfRule>
  </conditionalFormatting>
  <conditionalFormatting sqref="M12">
    <cfRule type="cellIs" priority="771" operator="equal" aboveAverage="0" equalAverage="0" bottom="0" percent="0" rank="0" text="" dxfId="0">
      <formula>0</formula>
    </cfRule>
    <cfRule type="cellIs" priority="772" operator="lessThan" aboveAverage="0" equalAverage="0" bottom="0" percent="0" rank="0" text="" dxfId="1">
      <formula>E12</formula>
    </cfRule>
  </conditionalFormatting>
  <conditionalFormatting sqref="M13">
    <cfRule type="cellIs" priority="773" operator="equal" aboveAverage="0" equalAverage="0" bottom="0" percent="0" rank="0" text="" dxfId="0">
      <formula>0</formula>
    </cfRule>
    <cfRule type="cellIs" priority="774" operator="lessThan" aboveAverage="0" equalAverage="0" bottom="0" percent="0" rank="0" text="" dxfId="1">
      <formula>E13</formula>
    </cfRule>
  </conditionalFormatting>
  <conditionalFormatting sqref="M15">
    <cfRule type="cellIs" priority="775" operator="equal" aboveAverage="0" equalAverage="0" bottom="0" percent="0" rank="0" text="" dxfId="0">
      <formula>0</formula>
    </cfRule>
    <cfRule type="cellIs" priority="776" operator="lessThan" aboveAverage="0" equalAverage="0" bottom="0" percent="0" rank="0" text="" dxfId="1">
      <formula>E15</formula>
    </cfRule>
  </conditionalFormatting>
  <conditionalFormatting sqref="M16">
    <cfRule type="cellIs" priority="777" operator="equal" aboveAverage="0" equalAverage="0" bottom="0" percent="0" rank="0" text="" dxfId="0">
      <formula>0</formula>
    </cfRule>
    <cfRule type="cellIs" priority="778" operator="lessThan" aboveAverage="0" equalAverage="0" bottom="0" percent="0" rank="0" text="" dxfId="1">
      <formula>E16</formula>
    </cfRule>
  </conditionalFormatting>
  <conditionalFormatting sqref="M17">
    <cfRule type="cellIs" priority="779" operator="equal" aboveAverage="0" equalAverage="0" bottom="0" percent="0" rank="0" text="" dxfId="0">
      <formula>0</formula>
    </cfRule>
    <cfRule type="cellIs" priority="780" operator="lessThan" aboveAverage="0" equalAverage="0" bottom="0" percent="0" rank="0" text="" dxfId="1">
      <formula>E17</formula>
    </cfRule>
  </conditionalFormatting>
  <conditionalFormatting sqref="M18">
    <cfRule type="cellIs" priority="781" operator="equal" aboveAverage="0" equalAverage="0" bottom="0" percent="0" rank="0" text="" dxfId="0">
      <formula>0</formula>
    </cfRule>
    <cfRule type="cellIs" priority="782" operator="lessThan" aboveAverage="0" equalAverage="0" bottom="0" percent="0" rank="0" text="" dxfId="1">
      <formula>E18</formula>
    </cfRule>
  </conditionalFormatting>
  <conditionalFormatting sqref="M19">
    <cfRule type="cellIs" priority="783" operator="equal" aboveAverage="0" equalAverage="0" bottom="0" percent="0" rank="0" text="" dxfId="0">
      <formula>0</formula>
    </cfRule>
    <cfRule type="cellIs" priority="784" operator="lessThan" aboveAverage="0" equalAverage="0" bottom="0" percent="0" rank="0" text="" dxfId="1">
      <formula>E19</formula>
    </cfRule>
  </conditionalFormatting>
  <conditionalFormatting sqref="M20">
    <cfRule type="cellIs" priority="785" operator="equal" aboveAverage="0" equalAverage="0" bottom="0" percent="0" rank="0" text="" dxfId="0">
      <formula>0</formula>
    </cfRule>
    <cfRule type="cellIs" priority="786" operator="lessThan" aboveAverage="0" equalAverage="0" bottom="0" percent="0" rank="0" text="" dxfId="1">
      <formula>E20</formula>
    </cfRule>
  </conditionalFormatting>
  <conditionalFormatting sqref="M21">
    <cfRule type="cellIs" priority="787" operator="equal" aboveAverage="0" equalAverage="0" bottom="0" percent="0" rank="0" text="" dxfId="0">
      <formula>0</formula>
    </cfRule>
    <cfRule type="cellIs" priority="788" operator="lessThan" aboveAverage="0" equalAverage="0" bottom="0" percent="0" rank="0" text="" dxfId="1">
      <formula>E21</formula>
    </cfRule>
  </conditionalFormatting>
  <conditionalFormatting sqref="M22">
    <cfRule type="cellIs" priority="789" operator="equal" aboveAverage="0" equalAverage="0" bottom="0" percent="0" rank="0" text="" dxfId="0">
      <formula>0</formula>
    </cfRule>
    <cfRule type="cellIs" priority="790" operator="lessThan" aboveAverage="0" equalAverage="0" bottom="0" percent="0" rank="0" text="" dxfId="1">
      <formula>E22</formula>
    </cfRule>
  </conditionalFormatting>
  <conditionalFormatting sqref="M23">
    <cfRule type="cellIs" priority="791" operator="equal" aboveAverage="0" equalAverage="0" bottom="0" percent="0" rank="0" text="" dxfId="0">
      <formula>0</formula>
    </cfRule>
    <cfRule type="cellIs" priority="792" operator="lessThan" aboveAverage="0" equalAverage="0" bottom="0" percent="0" rank="0" text="" dxfId="1">
      <formula>E23</formula>
    </cfRule>
  </conditionalFormatting>
  <conditionalFormatting sqref="M24">
    <cfRule type="cellIs" priority="793" operator="equal" aboveAverage="0" equalAverage="0" bottom="0" percent="0" rank="0" text="" dxfId="0">
      <formula>0</formula>
    </cfRule>
    <cfRule type="cellIs" priority="794" operator="lessThan" aboveAverage="0" equalAverage="0" bottom="0" percent="0" rank="0" text="" dxfId="1">
      <formula>E24</formula>
    </cfRule>
  </conditionalFormatting>
  <conditionalFormatting sqref="M25">
    <cfRule type="cellIs" priority="795" operator="equal" aboveAverage="0" equalAverage="0" bottom="0" percent="0" rank="0" text="" dxfId="0">
      <formula>0</formula>
    </cfRule>
    <cfRule type="cellIs" priority="796" operator="lessThan" aboveAverage="0" equalAverage="0" bottom="0" percent="0" rank="0" text="" dxfId="1">
      <formula>E25</formula>
    </cfRule>
  </conditionalFormatting>
  <conditionalFormatting sqref="M27">
    <cfRule type="cellIs" priority="797" operator="equal" aboveAverage="0" equalAverage="0" bottom="0" percent="0" rank="0" text="" dxfId="0">
      <formula>0</formula>
    </cfRule>
    <cfRule type="cellIs" priority="798" operator="lessThan" aboveAverage="0" equalAverage="0" bottom="0" percent="0" rank="0" text="" dxfId="1">
      <formula>E27</formula>
    </cfRule>
  </conditionalFormatting>
  <conditionalFormatting sqref="M28">
    <cfRule type="cellIs" priority="799" operator="equal" aboveAverage="0" equalAverage="0" bottom="0" percent="0" rank="0" text="" dxfId="0">
      <formula>0</formula>
    </cfRule>
    <cfRule type="cellIs" priority="800" operator="lessThan" aboveAverage="0" equalAverage="0" bottom="0" percent="0" rank="0" text="" dxfId="1">
      <formula>E28</formula>
    </cfRule>
  </conditionalFormatting>
  <conditionalFormatting sqref="M29">
    <cfRule type="cellIs" priority="801" operator="equal" aboveAverage="0" equalAverage="0" bottom="0" percent="0" rank="0" text="" dxfId="0">
      <formula>0</formula>
    </cfRule>
    <cfRule type="cellIs" priority="802" operator="lessThan" aboveAverage="0" equalAverage="0" bottom="0" percent="0" rank="0" text="" dxfId="1">
      <formula>E29</formula>
    </cfRule>
  </conditionalFormatting>
  <conditionalFormatting sqref="M32">
    <cfRule type="cellIs" priority="803" operator="equal" aboveAverage="0" equalAverage="0" bottom="0" percent="0" rank="0" text="" dxfId="0">
      <formula>0</formula>
    </cfRule>
    <cfRule type="cellIs" priority="804" operator="lessThan" aboveAverage="0" equalAverage="0" bottom="0" percent="0" rank="0" text="" dxfId="1">
      <formula>E32</formula>
    </cfRule>
  </conditionalFormatting>
  <conditionalFormatting sqref="M33">
    <cfRule type="cellIs" priority="805" operator="equal" aboveAverage="0" equalAverage="0" bottom="0" percent="0" rank="0" text="" dxfId="0">
      <formula>0</formula>
    </cfRule>
    <cfRule type="cellIs" priority="806" operator="lessThan" aboveAverage="0" equalAverage="0" bottom="0" percent="0" rank="0" text="" dxfId="1">
      <formula>E33</formula>
    </cfRule>
  </conditionalFormatting>
  <conditionalFormatting sqref="M34">
    <cfRule type="cellIs" priority="807" operator="equal" aboveAverage="0" equalAverage="0" bottom="0" percent="0" rank="0" text="" dxfId="0">
      <formula>0</formula>
    </cfRule>
    <cfRule type="cellIs" priority="808" operator="lessThan" aboveAverage="0" equalAverage="0" bottom="0" percent="0" rank="0" text="" dxfId="1">
      <formula>E34</formula>
    </cfRule>
  </conditionalFormatting>
  <conditionalFormatting sqref="M35">
    <cfRule type="cellIs" priority="809" operator="equal" aboveAverage="0" equalAverage="0" bottom="0" percent="0" rank="0" text="" dxfId="0">
      <formula>0</formula>
    </cfRule>
    <cfRule type="cellIs" priority="810" operator="lessThan" aboveAverage="0" equalAverage="0" bottom="0" percent="0" rank="0" text="" dxfId="1">
      <formula>E35</formula>
    </cfRule>
  </conditionalFormatting>
  <conditionalFormatting sqref="M36">
    <cfRule type="cellIs" priority="811" operator="equal" aboveAverage="0" equalAverage="0" bottom="0" percent="0" rank="0" text="" dxfId="0">
      <formula>0</formula>
    </cfRule>
    <cfRule type="cellIs" priority="812" operator="lessThan" aboveAverage="0" equalAverage="0" bottom="0" percent="0" rank="0" text="" dxfId="1">
      <formula>E36</formula>
    </cfRule>
  </conditionalFormatting>
  <conditionalFormatting sqref="M37">
    <cfRule type="cellIs" priority="813" operator="equal" aboveAverage="0" equalAverage="0" bottom="0" percent="0" rank="0" text="" dxfId="0">
      <formula>0</formula>
    </cfRule>
    <cfRule type="cellIs" priority="814" operator="lessThan" aboveAverage="0" equalAverage="0" bottom="0" percent="0" rank="0" text="" dxfId="1">
      <formula>E37</formula>
    </cfRule>
  </conditionalFormatting>
  <conditionalFormatting sqref="M38">
    <cfRule type="cellIs" priority="815" operator="equal" aboveAverage="0" equalAverage="0" bottom="0" percent="0" rank="0" text="" dxfId="0">
      <formula>0</formula>
    </cfRule>
    <cfRule type="cellIs" priority="816" operator="lessThan" aboveAverage="0" equalAverage="0" bottom="0" percent="0" rank="0" text="" dxfId="1">
      <formula>E38</formula>
    </cfRule>
  </conditionalFormatting>
  <conditionalFormatting sqref="M39">
    <cfRule type="cellIs" priority="817" operator="equal" aboveAverage="0" equalAverage="0" bottom="0" percent="0" rank="0" text="" dxfId="0">
      <formula>0</formula>
    </cfRule>
    <cfRule type="cellIs" priority="818" operator="lessThan" aboveAverage="0" equalAverage="0" bottom="0" percent="0" rank="0" text="" dxfId="1">
      <formula>E39</formula>
    </cfRule>
  </conditionalFormatting>
  <conditionalFormatting sqref="M40">
    <cfRule type="cellIs" priority="819" operator="equal" aboveAverage="0" equalAverage="0" bottom="0" percent="0" rank="0" text="" dxfId="0">
      <formula>0</formula>
    </cfRule>
    <cfRule type="cellIs" priority="820" operator="lessThan" aboveAverage="0" equalAverage="0" bottom="0" percent="0" rank="0" text="" dxfId="1">
      <formula>E40</formula>
    </cfRule>
  </conditionalFormatting>
  <conditionalFormatting sqref="M41">
    <cfRule type="cellIs" priority="821" operator="equal" aboveAverage="0" equalAverage="0" bottom="0" percent="0" rank="0" text="" dxfId="0">
      <formula>0</formula>
    </cfRule>
    <cfRule type="cellIs" priority="822" operator="lessThan" aboveAverage="0" equalAverage="0" bottom="0" percent="0" rank="0" text="" dxfId="1">
      <formula>E41</formula>
    </cfRule>
  </conditionalFormatting>
  <conditionalFormatting sqref="M42">
    <cfRule type="cellIs" priority="823" operator="equal" aboveAverage="0" equalAverage="0" bottom="0" percent="0" rank="0" text="" dxfId="0">
      <formula>0</formula>
    </cfRule>
    <cfRule type="cellIs" priority="824" operator="lessThan" aboveAverage="0" equalAverage="0" bottom="0" percent="0" rank="0" text="" dxfId="1">
      <formula>E42</formula>
    </cfRule>
  </conditionalFormatting>
  <conditionalFormatting sqref="M43">
    <cfRule type="cellIs" priority="825" operator="equal" aboveAverage="0" equalAverage="0" bottom="0" percent="0" rank="0" text="" dxfId="0">
      <formula>0</formula>
    </cfRule>
    <cfRule type="cellIs" priority="826" operator="lessThan" aboveAverage="0" equalAverage="0" bottom="0" percent="0" rank="0" text="" dxfId="1">
      <formula>E43</formula>
    </cfRule>
  </conditionalFormatting>
  <conditionalFormatting sqref="M44">
    <cfRule type="cellIs" priority="827" operator="equal" aboveAverage="0" equalAverage="0" bottom="0" percent="0" rank="0" text="" dxfId="0">
      <formula>0</formula>
    </cfRule>
    <cfRule type="cellIs" priority="828" operator="lessThan" aboveAverage="0" equalAverage="0" bottom="0" percent="0" rank="0" text="" dxfId="1">
      <formula>E44</formula>
    </cfRule>
  </conditionalFormatting>
  <conditionalFormatting sqref="M45">
    <cfRule type="cellIs" priority="829" operator="equal" aboveAverage="0" equalAverage="0" bottom="0" percent="0" rank="0" text="" dxfId="0">
      <formula>0</formula>
    </cfRule>
    <cfRule type="cellIs" priority="830" operator="lessThan" aboveAverage="0" equalAverage="0" bottom="0" percent="0" rank="0" text="" dxfId="1">
      <formula>E45</formula>
    </cfRule>
  </conditionalFormatting>
  <conditionalFormatting sqref="M46">
    <cfRule type="cellIs" priority="831" operator="equal" aboveAverage="0" equalAverage="0" bottom="0" percent="0" rank="0" text="" dxfId="0">
      <formula>0</formula>
    </cfRule>
    <cfRule type="cellIs" priority="832" operator="lessThan" aboveAverage="0" equalAverage="0" bottom="0" percent="0" rank="0" text="" dxfId="1">
      <formula>E46</formula>
    </cfRule>
  </conditionalFormatting>
  <conditionalFormatting sqref="M47">
    <cfRule type="cellIs" priority="833" operator="equal" aboveAverage="0" equalAverage="0" bottom="0" percent="0" rank="0" text="" dxfId="0">
      <formula>0</formula>
    </cfRule>
    <cfRule type="cellIs" priority="834" operator="lessThan" aboveAverage="0" equalAverage="0" bottom="0" percent="0" rank="0" text="" dxfId="1">
      <formula>E47</formula>
    </cfRule>
  </conditionalFormatting>
  <conditionalFormatting sqref="M48">
    <cfRule type="cellIs" priority="835" operator="equal" aboveAverage="0" equalAverage="0" bottom="0" percent="0" rank="0" text="" dxfId="0">
      <formula>0</formula>
    </cfRule>
    <cfRule type="cellIs" priority="836" operator="lessThan" aboveAverage="0" equalAverage="0" bottom="0" percent="0" rank="0" text="" dxfId="1">
      <formula>E48</formula>
    </cfRule>
  </conditionalFormatting>
  <conditionalFormatting sqref="M49">
    <cfRule type="cellIs" priority="837" operator="equal" aboveAverage="0" equalAverage="0" bottom="0" percent="0" rank="0" text="" dxfId="0">
      <formula>0</formula>
    </cfRule>
    <cfRule type="cellIs" priority="838" operator="lessThan" aboveAverage="0" equalAverage="0" bottom="0" percent="0" rank="0" text="" dxfId="1">
      <formula>E49</formula>
    </cfRule>
  </conditionalFormatting>
  <conditionalFormatting sqref="M50">
    <cfRule type="cellIs" priority="839" operator="equal" aboveAverage="0" equalAverage="0" bottom="0" percent="0" rank="0" text="" dxfId="0">
      <formula>0</formula>
    </cfRule>
    <cfRule type="cellIs" priority="840" operator="lessThan" aboveAverage="0" equalAverage="0" bottom="0" percent="0" rank="0" text="" dxfId="1">
      <formula>E50</formula>
    </cfRule>
  </conditionalFormatting>
  <conditionalFormatting sqref="M51">
    <cfRule type="cellIs" priority="841" operator="equal" aboveAverage="0" equalAverage="0" bottom="0" percent="0" rank="0" text="" dxfId="0">
      <formula>0</formula>
    </cfRule>
    <cfRule type="cellIs" priority="842" operator="lessThan" aboveAverage="0" equalAverage="0" bottom="0" percent="0" rank="0" text="" dxfId="1">
      <formula>E51</formula>
    </cfRule>
  </conditionalFormatting>
  <conditionalFormatting sqref="M52">
    <cfRule type="cellIs" priority="843" operator="equal" aboveAverage="0" equalAverage="0" bottom="0" percent="0" rank="0" text="" dxfId="0">
      <formula>0</formula>
    </cfRule>
    <cfRule type="cellIs" priority="844" operator="lessThan" aboveAverage="0" equalAverage="0" bottom="0" percent="0" rank="0" text="" dxfId="1">
      <formula>E52</formula>
    </cfRule>
  </conditionalFormatting>
  <conditionalFormatting sqref="M53">
    <cfRule type="cellIs" priority="845" operator="equal" aboveAverage="0" equalAverage="0" bottom="0" percent="0" rank="0" text="" dxfId="0">
      <formula>0</formula>
    </cfRule>
    <cfRule type="cellIs" priority="846" operator="lessThan" aboveAverage="0" equalAverage="0" bottom="0" percent="0" rank="0" text="" dxfId="1">
      <formula>E53</formula>
    </cfRule>
  </conditionalFormatting>
  <conditionalFormatting sqref="M54">
    <cfRule type="cellIs" priority="847" operator="equal" aboveAverage="0" equalAverage="0" bottom="0" percent="0" rank="0" text="" dxfId="0">
      <formula>0</formula>
    </cfRule>
    <cfRule type="cellIs" priority="848" operator="lessThan" aboveAverage="0" equalAverage="0" bottom="0" percent="0" rank="0" text="" dxfId="1">
      <formula>E54</formula>
    </cfRule>
  </conditionalFormatting>
  <conditionalFormatting sqref="M55">
    <cfRule type="cellIs" priority="849" operator="equal" aboveAverage="0" equalAverage="0" bottom="0" percent="0" rank="0" text="" dxfId="0">
      <formula>0</formula>
    </cfRule>
    <cfRule type="cellIs" priority="850" operator="lessThan" aboveAverage="0" equalAverage="0" bottom="0" percent="0" rank="0" text="" dxfId="1">
      <formula>E55</formula>
    </cfRule>
  </conditionalFormatting>
  <conditionalFormatting sqref="M7">
    <cfRule type="cellIs" priority="851" operator="equal" aboveAverage="0" equalAverage="0" bottom="0" percent="0" rank="0" text="" dxfId="0">
      <formula>0</formula>
    </cfRule>
    <cfRule type="cellIs" priority="852" operator="lessThan" aboveAverage="0" equalAverage="0" bottom="0" percent="0" rank="0" text="" dxfId="1">
      <formula>E7</formula>
    </cfRule>
  </conditionalFormatting>
  <conditionalFormatting sqref="M9">
    <cfRule type="cellIs" priority="853" operator="equal" aboveAverage="0" equalAverage="0" bottom="0" percent="0" rank="0" text="" dxfId="0">
      <formula>0</formula>
    </cfRule>
    <cfRule type="cellIs" priority="854" operator="lessThan" aboveAverage="0" equalAverage="0" bottom="0" percent="0" rank="0" text="" dxfId="1">
      <formula>E9</formula>
    </cfRule>
  </conditionalFormatting>
  <conditionalFormatting sqref="N10">
    <cfRule type="cellIs" priority="855" operator="greaterThan" aboveAverage="0" equalAverage="0" bottom="0" percent="0" rank="0" text="" dxfId="0">
      <formula>M10</formula>
    </cfRule>
  </conditionalFormatting>
  <conditionalFormatting sqref="N11">
    <cfRule type="cellIs" priority="856" operator="greaterThan" aboveAverage="0" equalAverage="0" bottom="0" percent="0" rank="0" text="" dxfId="0">
      <formula>M11</formula>
    </cfRule>
  </conditionalFormatting>
  <conditionalFormatting sqref="N12">
    <cfRule type="cellIs" priority="857" operator="greaterThan" aboveAverage="0" equalAverage="0" bottom="0" percent="0" rank="0" text="" dxfId="0">
      <formula>M12</formula>
    </cfRule>
  </conditionalFormatting>
  <conditionalFormatting sqref="N13">
    <cfRule type="cellIs" priority="858" operator="greaterThan" aboveAverage="0" equalAverage="0" bottom="0" percent="0" rank="0" text="" dxfId="0">
      <formula>M13</formula>
    </cfRule>
  </conditionalFormatting>
  <conditionalFormatting sqref="N15">
    <cfRule type="cellIs" priority="859" operator="greaterThan" aboveAverage="0" equalAverage="0" bottom="0" percent="0" rank="0" text="" dxfId="0">
      <formula>M15</formula>
    </cfRule>
  </conditionalFormatting>
  <conditionalFormatting sqref="N16">
    <cfRule type="cellIs" priority="860" operator="greaterThan" aboveAverage="0" equalAverage="0" bottom="0" percent="0" rank="0" text="" dxfId="0">
      <formula>M16</formula>
    </cfRule>
  </conditionalFormatting>
  <conditionalFormatting sqref="N17">
    <cfRule type="expression" priority="861" aboveAverage="0" equalAverage="0" bottom="0" percent="0" rank="0" text="" dxfId="3">
      <formula>AND(N17&gt;0,N17&lt;8000)</formula>
    </cfRule>
    <cfRule type="cellIs" priority="862" operator="greaterThan" aboveAverage="0" equalAverage="0" bottom="0" percent="0" rank="0" text="" dxfId="0">
      <formula>M17</formula>
    </cfRule>
  </conditionalFormatting>
  <conditionalFormatting sqref="N18">
    <cfRule type="cellIs" priority="863" operator="greaterThan" aboveAverage="0" equalAverage="0" bottom="0" percent="0" rank="0" text="" dxfId="0">
      <formula>M18</formula>
    </cfRule>
  </conditionalFormatting>
  <conditionalFormatting sqref="N19">
    <cfRule type="cellIs" priority="864" operator="greaterThan" aboveAverage="0" equalAverage="0" bottom="0" percent="0" rank="0" text="" dxfId="0">
      <formula>M19</formula>
    </cfRule>
  </conditionalFormatting>
  <conditionalFormatting sqref="N20">
    <cfRule type="cellIs" priority="865" operator="greaterThan" aboveAverage="0" equalAverage="0" bottom="0" percent="0" rank="0" text="" dxfId="0">
      <formula>M20</formula>
    </cfRule>
  </conditionalFormatting>
  <conditionalFormatting sqref="N21">
    <cfRule type="cellIs" priority="866" operator="greaterThan" aboveAverage="0" equalAverage="0" bottom="0" percent="0" rank="0" text="" dxfId="0">
      <formula>M21</formula>
    </cfRule>
  </conditionalFormatting>
  <conditionalFormatting sqref="N22">
    <cfRule type="cellIs" priority="867" operator="greaterThan" aboveAverage="0" equalAverage="0" bottom="0" percent="0" rank="0" text="" dxfId="0">
      <formula>M22</formula>
    </cfRule>
  </conditionalFormatting>
  <conditionalFormatting sqref="N23">
    <cfRule type="cellIs" priority="868" operator="greaterThan" aboveAverage="0" equalAverage="0" bottom="0" percent="0" rank="0" text="" dxfId="0">
      <formula>M23</formula>
    </cfRule>
  </conditionalFormatting>
  <conditionalFormatting sqref="N24">
    <cfRule type="cellIs" priority="869" operator="greaterThan" aboveAverage="0" equalAverage="0" bottom="0" percent="0" rank="0" text="" dxfId="0">
      <formula>M24</formula>
    </cfRule>
  </conditionalFormatting>
  <conditionalFormatting sqref="N25">
    <cfRule type="cellIs" priority="870" operator="greaterThan" aboveAverage="0" equalAverage="0" bottom="0" percent="0" rank="0" text="" dxfId="0">
      <formula>M25</formula>
    </cfRule>
  </conditionalFormatting>
  <conditionalFormatting sqref="N27">
    <cfRule type="cellIs" priority="871" operator="greaterThan" aboveAverage="0" equalAverage="0" bottom="0" percent="0" rank="0" text="" dxfId="0">
      <formula>M27</formula>
    </cfRule>
  </conditionalFormatting>
  <conditionalFormatting sqref="N28">
    <cfRule type="cellIs" priority="872" operator="greaterThan" aboveAverage="0" equalAverage="0" bottom="0" percent="0" rank="0" text="" dxfId="0">
      <formula>M28</formula>
    </cfRule>
  </conditionalFormatting>
  <conditionalFormatting sqref="N29">
    <cfRule type="cellIs" priority="873" operator="greaterThan" aboveAverage="0" equalAverage="0" bottom="0" percent="0" rank="0" text="" dxfId="0">
      <formula>M29</formula>
    </cfRule>
  </conditionalFormatting>
  <conditionalFormatting sqref="N32">
    <cfRule type="cellIs" priority="874" operator="greaterThan" aboveAverage="0" equalAverage="0" bottom="0" percent="0" rank="0" text="" dxfId="0">
      <formula>M32</formula>
    </cfRule>
  </conditionalFormatting>
  <conditionalFormatting sqref="N33">
    <cfRule type="cellIs" priority="875" operator="greaterThan" aboveAverage="0" equalAverage="0" bottom="0" percent="0" rank="0" text="" dxfId="0">
      <formula>M33</formula>
    </cfRule>
  </conditionalFormatting>
  <conditionalFormatting sqref="N34">
    <cfRule type="cellIs" priority="876" operator="greaterThan" aboveAverage="0" equalAverage="0" bottom="0" percent="0" rank="0" text="" dxfId="0">
      <formula>M34</formula>
    </cfRule>
  </conditionalFormatting>
  <conditionalFormatting sqref="N35">
    <cfRule type="cellIs" priority="877" operator="greaterThan" aboveAverage="0" equalAverage="0" bottom="0" percent="0" rank="0" text="" dxfId="0">
      <formula>M35</formula>
    </cfRule>
  </conditionalFormatting>
  <conditionalFormatting sqref="N36">
    <cfRule type="cellIs" priority="878" operator="greaterThan" aboveAverage="0" equalAverage="0" bottom="0" percent="0" rank="0" text="" dxfId="0">
      <formula>M36</formula>
    </cfRule>
  </conditionalFormatting>
  <conditionalFormatting sqref="N37">
    <cfRule type="cellIs" priority="879" operator="greaterThan" aboveAverage="0" equalAverage="0" bottom="0" percent="0" rank="0" text="" dxfId="0">
      <formula>M37</formula>
    </cfRule>
  </conditionalFormatting>
  <conditionalFormatting sqref="N38">
    <cfRule type="cellIs" priority="880" operator="greaterThan" aboveAverage="0" equalAverage="0" bottom="0" percent="0" rank="0" text="" dxfId="0">
      <formula>M38</formula>
    </cfRule>
  </conditionalFormatting>
  <conditionalFormatting sqref="N39">
    <cfRule type="cellIs" priority="881" operator="greaterThan" aboveAverage="0" equalAverage="0" bottom="0" percent="0" rank="0" text="" dxfId="0">
      <formula>M39</formula>
    </cfRule>
  </conditionalFormatting>
  <conditionalFormatting sqref="N40">
    <cfRule type="cellIs" priority="882" operator="greaterThan" aboveAverage="0" equalAverage="0" bottom="0" percent="0" rank="0" text="" dxfId="0">
      <formula>M40</formula>
    </cfRule>
  </conditionalFormatting>
  <conditionalFormatting sqref="N41">
    <cfRule type="cellIs" priority="883" operator="greaterThan" aboveAverage="0" equalAverage="0" bottom="0" percent="0" rank="0" text="" dxfId="0">
      <formula>M41</formula>
    </cfRule>
  </conditionalFormatting>
  <conditionalFormatting sqref="N42">
    <cfRule type="cellIs" priority="884" operator="greaterThan" aboveAverage="0" equalAverage="0" bottom="0" percent="0" rank="0" text="" dxfId="0">
      <formula>M42</formula>
    </cfRule>
  </conditionalFormatting>
  <conditionalFormatting sqref="N43">
    <cfRule type="cellIs" priority="885" operator="greaterThan" aboveAverage="0" equalAverage="0" bottom="0" percent="0" rank="0" text="" dxfId="0">
      <formula>M43</formula>
    </cfRule>
  </conditionalFormatting>
  <conditionalFormatting sqref="N44">
    <cfRule type="cellIs" priority="886" operator="greaterThan" aboveAverage="0" equalAverage="0" bottom="0" percent="0" rank="0" text="" dxfId="0">
      <formula>M44</formula>
    </cfRule>
  </conditionalFormatting>
  <conditionalFormatting sqref="N45">
    <cfRule type="cellIs" priority="887" operator="greaterThan" aboveAverage="0" equalAverage="0" bottom="0" percent="0" rank="0" text="" dxfId="0">
      <formula>M45</formula>
    </cfRule>
  </conditionalFormatting>
  <conditionalFormatting sqref="N46">
    <cfRule type="cellIs" priority="888" operator="greaterThan" aboveAverage="0" equalAverage="0" bottom="0" percent="0" rank="0" text="" dxfId="0">
      <formula>M46</formula>
    </cfRule>
  </conditionalFormatting>
  <conditionalFormatting sqref="N47">
    <cfRule type="cellIs" priority="889" operator="greaterThan" aboveAverage="0" equalAverage="0" bottom="0" percent="0" rank="0" text="" dxfId="0">
      <formula>M47</formula>
    </cfRule>
  </conditionalFormatting>
  <conditionalFormatting sqref="N48">
    <cfRule type="cellIs" priority="890" operator="greaterThan" aboveAverage="0" equalAverage="0" bottom="0" percent="0" rank="0" text="" dxfId="0">
      <formula>M48</formula>
    </cfRule>
  </conditionalFormatting>
  <conditionalFormatting sqref="N49">
    <cfRule type="cellIs" priority="891" operator="greaterThan" aboveAverage="0" equalAverage="0" bottom="0" percent="0" rank="0" text="" dxfId="0">
      <formula>M49</formula>
    </cfRule>
  </conditionalFormatting>
  <conditionalFormatting sqref="N50">
    <cfRule type="cellIs" priority="892" operator="greaterThan" aboveAverage="0" equalAverage="0" bottom="0" percent="0" rank="0" text="" dxfId="0">
      <formula>M50</formula>
    </cfRule>
  </conditionalFormatting>
  <conditionalFormatting sqref="N51">
    <cfRule type="cellIs" priority="893" operator="greaterThan" aboveAverage="0" equalAverage="0" bottom="0" percent="0" rank="0" text="" dxfId="0">
      <formula>M51</formula>
    </cfRule>
  </conditionalFormatting>
  <conditionalFormatting sqref="N52">
    <cfRule type="cellIs" priority="894" operator="greaterThan" aboveAverage="0" equalAverage="0" bottom="0" percent="0" rank="0" text="" dxfId="0">
      <formula>M52</formula>
    </cfRule>
  </conditionalFormatting>
  <conditionalFormatting sqref="N53">
    <cfRule type="cellIs" priority="895" operator="greaterThan" aboveAverage="0" equalAverage="0" bottom="0" percent="0" rank="0" text="" dxfId="0">
      <formula>M53</formula>
    </cfRule>
  </conditionalFormatting>
  <conditionalFormatting sqref="N54">
    <cfRule type="expression" priority="896" aboveAverage="0" equalAverage="0" bottom="0" percent="0" rank="0" text="" dxfId="3">
      <formula>AND(N54&gt;0,N54&lt;100)</formula>
    </cfRule>
    <cfRule type="cellIs" priority="897" operator="greaterThan" aboveAverage="0" equalAverage="0" bottom="0" percent="0" rank="0" text="" dxfId="0">
      <formula>M54</formula>
    </cfRule>
  </conditionalFormatting>
  <conditionalFormatting sqref="N55">
    <cfRule type="cellIs" priority="898" operator="greaterThan" aboveAverage="0" equalAverage="0" bottom="0" percent="0" rank="0" text="" dxfId="0">
      <formula>M55</formula>
    </cfRule>
  </conditionalFormatting>
  <conditionalFormatting sqref="N7">
    <cfRule type="cellIs" priority="899" operator="greaterThan" aboveAverage="0" equalAverage="0" bottom="0" percent="0" rank="0" text="" dxfId="0">
      <formula>M7</formula>
    </cfRule>
  </conditionalFormatting>
  <conditionalFormatting sqref="N9">
    <cfRule type="cellIs" priority="900" operator="greaterThan" aboveAverage="0" equalAverage="0" bottom="0" percent="0" rank="0" text="" dxfId="0">
      <formula>M9</formula>
    </cfRule>
  </conditionalFormatting>
  <conditionalFormatting sqref="O10">
    <cfRule type="cellIs" priority="901" operator="lessThanOrEqual" aboveAverage="0" equalAverage="0" bottom="0" percent="0" rank="0" text="" dxfId="2">
      <formula>F10</formula>
    </cfRule>
  </conditionalFormatting>
  <conditionalFormatting sqref="O11">
    <cfRule type="cellIs" priority="902" operator="lessThanOrEqual" aboveAverage="0" equalAverage="0" bottom="0" percent="0" rank="0" text="" dxfId="2">
      <formula>F11</formula>
    </cfRule>
  </conditionalFormatting>
  <conditionalFormatting sqref="O12">
    <cfRule type="cellIs" priority="903" operator="lessThanOrEqual" aboveAverage="0" equalAverage="0" bottom="0" percent="0" rank="0" text="" dxfId="2">
      <formula>F12</formula>
    </cfRule>
  </conditionalFormatting>
  <conditionalFormatting sqref="O13">
    <cfRule type="cellIs" priority="904" operator="lessThanOrEqual" aboveAverage="0" equalAverage="0" bottom="0" percent="0" rank="0" text="" dxfId="2">
      <formula>F13</formula>
    </cfRule>
  </conditionalFormatting>
  <conditionalFormatting sqref="O15">
    <cfRule type="cellIs" priority="905" operator="lessThanOrEqual" aboveAverage="0" equalAverage="0" bottom="0" percent="0" rank="0" text="" dxfId="2">
      <formula>F15</formula>
    </cfRule>
  </conditionalFormatting>
  <conditionalFormatting sqref="O16">
    <cfRule type="cellIs" priority="906" operator="lessThanOrEqual" aboveAverage="0" equalAverage="0" bottom="0" percent="0" rank="0" text="" dxfId="2">
      <formula>F16</formula>
    </cfRule>
  </conditionalFormatting>
  <conditionalFormatting sqref="O17">
    <cfRule type="cellIs" priority="907" operator="lessThanOrEqual" aboveAverage="0" equalAverage="0" bottom="0" percent="0" rank="0" text="" dxfId="2">
      <formula>F17</formula>
    </cfRule>
  </conditionalFormatting>
  <conditionalFormatting sqref="O18">
    <cfRule type="cellIs" priority="908" operator="lessThanOrEqual" aboveAverage="0" equalAverage="0" bottom="0" percent="0" rank="0" text="" dxfId="2">
      <formula>F18</formula>
    </cfRule>
  </conditionalFormatting>
  <conditionalFormatting sqref="O19">
    <cfRule type="cellIs" priority="909" operator="lessThanOrEqual" aboveAverage="0" equalAverage="0" bottom="0" percent="0" rank="0" text="" dxfId="2">
      <formula>F19</formula>
    </cfRule>
  </conditionalFormatting>
  <conditionalFormatting sqref="O20">
    <cfRule type="cellIs" priority="910" operator="lessThanOrEqual" aboveAverage="0" equalAverage="0" bottom="0" percent="0" rank="0" text="" dxfId="2">
      <formula>F20</formula>
    </cfRule>
  </conditionalFormatting>
  <conditionalFormatting sqref="O21">
    <cfRule type="cellIs" priority="911" operator="lessThanOrEqual" aboveAverage="0" equalAverage="0" bottom="0" percent="0" rank="0" text="" dxfId="2">
      <formula>F21</formula>
    </cfRule>
  </conditionalFormatting>
  <conditionalFormatting sqref="O22">
    <cfRule type="cellIs" priority="912" operator="lessThanOrEqual" aboveAverage="0" equalAverage="0" bottom="0" percent="0" rank="0" text="" dxfId="2">
      <formula>F22</formula>
    </cfRule>
  </conditionalFormatting>
  <conditionalFormatting sqref="O23">
    <cfRule type="cellIs" priority="913" operator="lessThanOrEqual" aboveAverage="0" equalAverage="0" bottom="0" percent="0" rank="0" text="" dxfId="2">
      <formula>F23</formula>
    </cfRule>
  </conditionalFormatting>
  <conditionalFormatting sqref="O24">
    <cfRule type="cellIs" priority="914" operator="lessThanOrEqual" aboveAverage="0" equalAverage="0" bottom="0" percent="0" rank="0" text="" dxfId="2">
      <formula>F24</formula>
    </cfRule>
  </conditionalFormatting>
  <conditionalFormatting sqref="O25">
    <cfRule type="cellIs" priority="915" operator="lessThanOrEqual" aboveAverage="0" equalAverage="0" bottom="0" percent="0" rank="0" text="" dxfId="2">
      <formula>F25</formula>
    </cfRule>
  </conditionalFormatting>
  <conditionalFormatting sqref="O27">
    <cfRule type="cellIs" priority="916" operator="lessThanOrEqual" aboveAverage="0" equalAverage="0" bottom="0" percent="0" rank="0" text="" dxfId="2">
      <formula>F27</formula>
    </cfRule>
  </conditionalFormatting>
  <conditionalFormatting sqref="O28">
    <cfRule type="cellIs" priority="917" operator="lessThanOrEqual" aboveAverage="0" equalAverage="0" bottom="0" percent="0" rank="0" text="" dxfId="2">
      <formula>F28</formula>
    </cfRule>
  </conditionalFormatting>
  <conditionalFormatting sqref="O29">
    <cfRule type="cellIs" priority="918" operator="lessThanOrEqual" aboveAverage="0" equalAverage="0" bottom="0" percent="0" rank="0" text="" dxfId="2">
      <formula>F29</formula>
    </cfRule>
  </conditionalFormatting>
  <conditionalFormatting sqref="O32">
    <cfRule type="cellIs" priority="919" operator="lessThanOrEqual" aboveAverage="0" equalAverage="0" bottom="0" percent="0" rank="0" text="" dxfId="2">
      <formula>F32</formula>
    </cfRule>
  </conditionalFormatting>
  <conditionalFormatting sqref="O33">
    <cfRule type="cellIs" priority="920" operator="lessThanOrEqual" aboveAverage="0" equalAverage="0" bottom="0" percent="0" rank="0" text="" dxfId="2">
      <formula>F33</formula>
    </cfRule>
  </conditionalFormatting>
  <conditionalFormatting sqref="O34">
    <cfRule type="cellIs" priority="921" operator="lessThanOrEqual" aboveAverage="0" equalAverage="0" bottom="0" percent="0" rank="0" text="" dxfId="2">
      <formula>F34</formula>
    </cfRule>
  </conditionalFormatting>
  <conditionalFormatting sqref="O35">
    <cfRule type="cellIs" priority="922" operator="lessThanOrEqual" aboveAverage="0" equalAverage="0" bottom="0" percent="0" rank="0" text="" dxfId="2">
      <formula>F35</formula>
    </cfRule>
  </conditionalFormatting>
  <conditionalFormatting sqref="O36">
    <cfRule type="cellIs" priority="923" operator="lessThanOrEqual" aboveAverage="0" equalAverage="0" bottom="0" percent="0" rank="0" text="" dxfId="2">
      <formula>F36</formula>
    </cfRule>
  </conditionalFormatting>
  <conditionalFormatting sqref="O37">
    <cfRule type="cellIs" priority="924" operator="lessThanOrEqual" aboveAverage="0" equalAverage="0" bottom="0" percent="0" rank="0" text="" dxfId="2">
      <formula>F37</formula>
    </cfRule>
  </conditionalFormatting>
  <conditionalFormatting sqref="O38">
    <cfRule type="cellIs" priority="925" operator="lessThanOrEqual" aboveAverage="0" equalAverage="0" bottom="0" percent="0" rank="0" text="" dxfId="2">
      <formula>F38</formula>
    </cfRule>
  </conditionalFormatting>
  <conditionalFormatting sqref="O39">
    <cfRule type="cellIs" priority="926" operator="lessThanOrEqual" aboveAverage="0" equalAverage="0" bottom="0" percent="0" rank="0" text="" dxfId="2">
      <formula>F39</formula>
    </cfRule>
  </conditionalFormatting>
  <conditionalFormatting sqref="O40">
    <cfRule type="cellIs" priority="927" operator="lessThanOrEqual" aboveAverage="0" equalAverage="0" bottom="0" percent="0" rank="0" text="" dxfId="2">
      <formula>F40</formula>
    </cfRule>
  </conditionalFormatting>
  <conditionalFormatting sqref="O41">
    <cfRule type="cellIs" priority="928" operator="lessThanOrEqual" aboveAverage="0" equalAverage="0" bottom="0" percent="0" rank="0" text="" dxfId="2">
      <formula>F41</formula>
    </cfRule>
  </conditionalFormatting>
  <conditionalFormatting sqref="O42">
    <cfRule type="cellIs" priority="929" operator="lessThanOrEqual" aboveAverage="0" equalAverage="0" bottom="0" percent="0" rank="0" text="" dxfId="2">
      <formula>F42</formula>
    </cfRule>
  </conditionalFormatting>
  <conditionalFormatting sqref="O43">
    <cfRule type="cellIs" priority="930" operator="lessThanOrEqual" aboveAverage="0" equalAverage="0" bottom="0" percent="0" rank="0" text="" dxfId="2">
      <formula>F43</formula>
    </cfRule>
  </conditionalFormatting>
  <conditionalFormatting sqref="O44">
    <cfRule type="cellIs" priority="931" operator="lessThanOrEqual" aboveAverage="0" equalAverage="0" bottom="0" percent="0" rank="0" text="" dxfId="2">
      <formula>F44</formula>
    </cfRule>
  </conditionalFormatting>
  <conditionalFormatting sqref="O45">
    <cfRule type="cellIs" priority="932" operator="lessThanOrEqual" aboveAverage="0" equalAverage="0" bottom="0" percent="0" rank="0" text="" dxfId="2">
      <formula>F45</formula>
    </cfRule>
  </conditionalFormatting>
  <conditionalFormatting sqref="O46">
    <cfRule type="cellIs" priority="933" operator="lessThanOrEqual" aboveAverage="0" equalAverage="0" bottom="0" percent="0" rank="0" text="" dxfId="2">
      <formula>F46</formula>
    </cfRule>
  </conditionalFormatting>
  <conditionalFormatting sqref="O47">
    <cfRule type="cellIs" priority="934" operator="lessThanOrEqual" aboveAverage="0" equalAverage="0" bottom="0" percent="0" rank="0" text="" dxfId="2">
      <formula>F47</formula>
    </cfRule>
  </conditionalFormatting>
  <conditionalFormatting sqref="O48">
    <cfRule type="cellIs" priority="935" operator="lessThanOrEqual" aboveAverage="0" equalAverage="0" bottom="0" percent="0" rank="0" text="" dxfId="2">
      <formula>F48</formula>
    </cfRule>
  </conditionalFormatting>
  <conditionalFormatting sqref="O49">
    <cfRule type="cellIs" priority="936" operator="lessThanOrEqual" aboveAverage="0" equalAverage="0" bottom="0" percent="0" rank="0" text="" dxfId="2">
      <formula>F49</formula>
    </cfRule>
  </conditionalFormatting>
  <conditionalFormatting sqref="O50">
    <cfRule type="cellIs" priority="937" operator="lessThanOrEqual" aboveAverage="0" equalAverage="0" bottom="0" percent="0" rank="0" text="" dxfId="2">
      <formula>F50</formula>
    </cfRule>
  </conditionalFormatting>
  <conditionalFormatting sqref="O51">
    <cfRule type="cellIs" priority="938" operator="lessThanOrEqual" aboveAverage="0" equalAverage="0" bottom="0" percent="0" rank="0" text="" dxfId="2">
      <formula>F51</formula>
    </cfRule>
  </conditionalFormatting>
  <conditionalFormatting sqref="O52">
    <cfRule type="cellIs" priority="939" operator="lessThanOrEqual" aboveAverage="0" equalAverage="0" bottom="0" percent="0" rank="0" text="" dxfId="2">
      <formula>F52</formula>
    </cfRule>
  </conditionalFormatting>
  <conditionalFormatting sqref="O53">
    <cfRule type="cellIs" priority="940" operator="lessThanOrEqual" aboveAverage="0" equalAverage="0" bottom="0" percent="0" rank="0" text="" dxfId="2">
      <formula>F53</formula>
    </cfRule>
  </conditionalFormatting>
  <conditionalFormatting sqref="O54">
    <cfRule type="cellIs" priority="941" operator="lessThanOrEqual" aboveAverage="0" equalAverage="0" bottom="0" percent="0" rank="0" text="" dxfId="2">
      <formula>F54</formula>
    </cfRule>
  </conditionalFormatting>
  <conditionalFormatting sqref="O55">
    <cfRule type="cellIs" priority="942" operator="lessThanOrEqual" aboveAverage="0" equalAverage="0" bottom="0" percent="0" rank="0" text="" dxfId="2">
      <formula>F55</formula>
    </cfRule>
  </conditionalFormatting>
  <conditionalFormatting sqref="O7">
    <cfRule type="cellIs" priority="943" operator="lessThanOrEqual" aboveAverage="0" equalAverage="0" bottom="0" percent="0" rank="0" text="" dxfId="2">
      <formula>F7</formula>
    </cfRule>
  </conditionalFormatting>
  <conditionalFormatting sqref="O9">
    <cfRule type="cellIs" priority="944" operator="lessThanOrEqual" aboveAverage="0" equalAverage="0" bottom="0" percent="0" rank="0" text="" dxfId="2">
      <formula>F9</formula>
    </cfRule>
  </conditionalFormatting>
  <conditionalFormatting sqref="P10">
    <cfRule type="cellIs" priority="945" operator="lessThanOrEqual" aboveAverage="0" equalAverage="0" bottom="0" percent="0" rank="0" text="" dxfId="2">
      <formula>G10</formula>
    </cfRule>
  </conditionalFormatting>
  <conditionalFormatting sqref="P11">
    <cfRule type="cellIs" priority="946" operator="lessThanOrEqual" aboveAverage="0" equalAverage="0" bottom="0" percent="0" rank="0" text="" dxfId="2">
      <formula>G11</formula>
    </cfRule>
  </conditionalFormatting>
  <conditionalFormatting sqref="P12">
    <cfRule type="cellIs" priority="947" operator="lessThanOrEqual" aboveAverage="0" equalAverage="0" bottom="0" percent="0" rank="0" text="" dxfId="2">
      <formula>G12</formula>
    </cfRule>
  </conditionalFormatting>
  <conditionalFormatting sqref="P13">
    <cfRule type="cellIs" priority="948" operator="lessThanOrEqual" aboveAverage="0" equalAverage="0" bottom="0" percent="0" rank="0" text="" dxfId="2">
      <formula>G13</formula>
    </cfRule>
  </conditionalFormatting>
  <conditionalFormatting sqref="P15">
    <cfRule type="cellIs" priority="949" operator="lessThanOrEqual" aboveAverage="0" equalAverage="0" bottom="0" percent="0" rank="0" text="" dxfId="2">
      <formula>G15</formula>
    </cfRule>
  </conditionalFormatting>
  <conditionalFormatting sqref="P16">
    <cfRule type="cellIs" priority="950" operator="lessThanOrEqual" aboveAverage="0" equalAverage="0" bottom="0" percent="0" rank="0" text="" dxfId="2">
      <formula>G16</formula>
    </cfRule>
  </conditionalFormatting>
  <conditionalFormatting sqref="P17">
    <cfRule type="cellIs" priority="951" operator="lessThanOrEqual" aboveAverage="0" equalAverage="0" bottom="0" percent="0" rank="0" text="" dxfId="2">
      <formula>G17</formula>
    </cfRule>
  </conditionalFormatting>
  <conditionalFormatting sqref="P18">
    <cfRule type="cellIs" priority="952" operator="lessThanOrEqual" aboveAverage="0" equalAverage="0" bottom="0" percent="0" rank="0" text="" dxfId="2">
      <formula>G18</formula>
    </cfRule>
  </conditionalFormatting>
  <conditionalFormatting sqref="P19">
    <cfRule type="cellIs" priority="953" operator="lessThanOrEqual" aboveAverage="0" equalAverage="0" bottom="0" percent="0" rank="0" text="" dxfId="2">
      <formula>G19</formula>
    </cfRule>
  </conditionalFormatting>
  <conditionalFormatting sqref="P20">
    <cfRule type="cellIs" priority="954" operator="lessThanOrEqual" aboveAverage="0" equalAverage="0" bottom="0" percent="0" rank="0" text="" dxfId="2">
      <formula>G20</formula>
    </cfRule>
  </conditionalFormatting>
  <conditionalFormatting sqref="P21">
    <cfRule type="cellIs" priority="955" operator="lessThanOrEqual" aboveAverage="0" equalAverage="0" bottom="0" percent="0" rank="0" text="" dxfId="2">
      <formula>G21</formula>
    </cfRule>
  </conditionalFormatting>
  <conditionalFormatting sqref="P22">
    <cfRule type="cellIs" priority="956" operator="lessThanOrEqual" aboveAverage="0" equalAverage="0" bottom="0" percent="0" rank="0" text="" dxfId="2">
      <formula>G22</formula>
    </cfRule>
  </conditionalFormatting>
  <conditionalFormatting sqref="P23">
    <cfRule type="cellIs" priority="957" operator="lessThanOrEqual" aboveAverage="0" equalAverage="0" bottom="0" percent="0" rank="0" text="" dxfId="2">
      <formula>G23</formula>
    </cfRule>
  </conditionalFormatting>
  <conditionalFormatting sqref="P24">
    <cfRule type="cellIs" priority="958" operator="lessThanOrEqual" aboveAverage="0" equalAverage="0" bottom="0" percent="0" rank="0" text="" dxfId="2">
      <formula>G24</formula>
    </cfRule>
  </conditionalFormatting>
  <conditionalFormatting sqref="P25">
    <cfRule type="cellIs" priority="959" operator="lessThanOrEqual" aboveAverage="0" equalAverage="0" bottom="0" percent="0" rank="0" text="" dxfId="2">
      <formula>G25</formula>
    </cfRule>
  </conditionalFormatting>
  <conditionalFormatting sqref="P27">
    <cfRule type="cellIs" priority="960" operator="lessThanOrEqual" aboveAverage="0" equalAverage="0" bottom="0" percent="0" rank="0" text="" dxfId="2">
      <formula>G27</formula>
    </cfRule>
  </conditionalFormatting>
  <conditionalFormatting sqref="P28">
    <cfRule type="cellIs" priority="961" operator="lessThanOrEqual" aboveAverage="0" equalAverage="0" bottom="0" percent="0" rank="0" text="" dxfId="2">
      <formula>G28</formula>
    </cfRule>
  </conditionalFormatting>
  <conditionalFormatting sqref="P29">
    <cfRule type="cellIs" priority="962" operator="lessThanOrEqual" aboveAverage="0" equalAverage="0" bottom="0" percent="0" rank="0" text="" dxfId="2">
      <formula>G29</formula>
    </cfRule>
  </conditionalFormatting>
  <conditionalFormatting sqref="P32">
    <cfRule type="cellIs" priority="963" operator="lessThanOrEqual" aboveAverage="0" equalAverage="0" bottom="0" percent="0" rank="0" text="" dxfId="2">
      <formula>G32</formula>
    </cfRule>
  </conditionalFormatting>
  <conditionalFormatting sqref="P33">
    <cfRule type="cellIs" priority="964" operator="lessThanOrEqual" aboveAverage="0" equalAverage="0" bottom="0" percent="0" rank="0" text="" dxfId="2">
      <formula>G33</formula>
    </cfRule>
  </conditionalFormatting>
  <conditionalFormatting sqref="P34">
    <cfRule type="cellIs" priority="965" operator="lessThanOrEqual" aboveAverage="0" equalAverage="0" bottom="0" percent="0" rank="0" text="" dxfId="2">
      <formula>G34</formula>
    </cfRule>
  </conditionalFormatting>
  <conditionalFormatting sqref="P35">
    <cfRule type="cellIs" priority="966" operator="lessThanOrEqual" aboveAverage="0" equalAverage="0" bottom="0" percent="0" rank="0" text="" dxfId="2">
      <formula>G35</formula>
    </cfRule>
  </conditionalFormatting>
  <conditionalFormatting sqref="P36">
    <cfRule type="cellIs" priority="967" operator="lessThanOrEqual" aboveAverage="0" equalAverage="0" bottom="0" percent="0" rank="0" text="" dxfId="2">
      <formula>G36</formula>
    </cfRule>
  </conditionalFormatting>
  <conditionalFormatting sqref="P37">
    <cfRule type="cellIs" priority="968" operator="lessThanOrEqual" aboveAverage="0" equalAverage="0" bottom="0" percent="0" rank="0" text="" dxfId="2">
      <formula>G37</formula>
    </cfRule>
  </conditionalFormatting>
  <conditionalFormatting sqref="P38">
    <cfRule type="cellIs" priority="969" operator="lessThanOrEqual" aboveAverage="0" equalAverage="0" bottom="0" percent="0" rank="0" text="" dxfId="2">
      <formula>G38</formula>
    </cfRule>
  </conditionalFormatting>
  <conditionalFormatting sqref="P39">
    <cfRule type="cellIs" priority="970" operator="lessThanOrEqual" aboveAverage="0" equalAverage="0" bottom="0" percent="0" rank="0" text="" dxfId="2">
      <formula>G39</formula>
    </cfRule>
  </conditionalFormatting>
  <conditionalFormatting sqref="P40">
    <cfRule type="cellIs" priority="971" operator="lessThanOrEqual" aboveAverage="0" equalAverage="0" bottom="0" percent="0" rank="0" text="" dxfId="2">
      <formula>G40</formula>
    </cfRule>
  </conditionalFormatting>
  <conditionalFormatting sqref="P41">
    <cfRule type="cellIs" priority="972" operator="lessThanOrEqual" aboveAverage="0" equalAverage="0" bottom="0" percent="0" rank="0" text="" dxfId="2">
      <formula>G41</formula>
    </cfRule>
  </conditionalFormatting>
  <conditionalFormatting sqref="P42">
    <cfRule type="cellIs" priority="973" operator="lessThanOrEqual" aboveAverage="0" equalAverage="0" bottom="0" percent="0" rank="0" text="" dxfId="2">
      <formula>G42</formula>
    </cfRule>
  </conditionalFormatting>
  <conditionalFormatting sqref="P43">
    <cfRule type="cellIs" priority="974" operator="lessThanOrEqual" aboveAverage="0" equalAverage="0" bottom="0" percent="0" rank="0" text="" dxfId="2">
      <formula>G43</formula>
    </cfRule>
  </conditionalFormatting>
  <conditionalFormatting sqref="P44">
    <cfRule type="cellIs" priority="975" operator="lessThanOrEqual" aboveAverage="0" equalAverage="0" bottom="0" percent="0" rank="0" text="" dxfId="2">
      <formula>G44</formula>
    </cfRule>
  </conditionalFormatting>
  <conditionalFormatting sqref="P45">
    <cfRule type="cellIs" priority="976" operator="lessThanOrEqual" aboveAverage="0" equalAverage="0" bottom="0" percent="0" rank="0" text="" dxfId="2">
      <formula>G45</formula>
    </cfRule>
  </conditionalFormatting>
  <conditionalFormatting sqref="P46">
    <cfRule type="cellIs" priority="977" operator="lessThanOrEqual" aboveAverage="0" equalAverage="0" bottom="0" percent="0" rank="0" text="" dxfId="2">
      <formula>G46</formula>
    </cfRule>
  </conditionalFormatting>
  <conditionalFormatting sqref="P47">
    <cfRule type="cellIs" priority="978" operator="lessThanOrEqual" aboveAverage="0" equalAverage="0" bottom="0" percent="0" rank="0" text="" dxfId="2">
      <formula>G47</formula>
    </cfRule>
  </conditionalFormatting>
  <conditionalFormatting sqref="P48">
    <cfRule type="cellIs" priority="979" operator="lessThanOrEqual" aboveAverage="0" equalAverage="0" bottom="0" percent="0" rank="0" text="" dxfId="2">
      <formula>G48</formula>
    </cfRule>
  </conditionalFormatting>
  <conditionalFormatting sqref="P49">
    <cfRule type="cellIs" priority="980" operator="lessThanOrEqual" aboveAverage="0" equalAverage="0" bottom="0" percent="0" rank="0" text="" dxfId="2">
      <formula>G49</formula>
    </cfRule>
  </conditionalFormatting>
  <conditionalFormatting sqref="P50">
    <cfRule type="cellIs" priority="981" operator="lessThanOrEqual" aboveAverage="0" equalAverage="0" bottom="0" percent="0" rank="0" text="" dxfId="2">
      <formula>G50</formula>
    </cfRule>
  </conditionalFormatting>
  <conditionalFormatting sqref="P51">
    <cfRule type="cellIs" priority="982" operator="lessThanOrEqual" aboveAverage="0" equalAverage="0" bottom="0" percent="0" rank="0" text="" dxfId="2">
      <formula>G51</formula>
    </cfRule>
  </conditionalFormatting>
  <conditionalFormatting sqref="P52">
    <cfRule type="cellIs" priority="983" operator="lessThanOrEqual" aboveAverage="0" equalAverage="0" bottom="0" percent="0" rank="0" text="" dxfId="2">
      <formula>G52</formula>
    </cfRule>
  </conditionalFormatting>
  <conditionalFormatting sqref="P53">
    <cfRule type="cellIs" priority="984" operator="lessThanOrEqual" aboveAverage="0" equalAverage="0" bottom="0" percent="0" rank="0" text="" dxfId="2">
      <formula>G53</formula>
    </cfRule>
  </conditionalFormatting>
  <conditionalFormatting sqref="P54">
    <cfRule type="cellIs" priority="985" operator="lessThanOrEqual" aboveAverage="0" equalAverage="0" bottom="0" percent="0" rank="0" text="" dxfId="2">
      <formula>G54</formula>
    </cfRule>
  </conditionalFormatting>
  <conditionalFormatting sqref="P55">
    <cfRule type="cellIs" priority="986" operator="lessThanOrEqual" aboveAverage="0" equalAverage="0" bottom="0" percent="0" rank="0" text="" dxfId="2">
      <formula>G55</formula>
    </cfRule>
  </conditionalFormatting>
  <conditionalFormatting sqref="P7">
    <cfRule type="cellIs" priority="987" operator="lessThanOrEqual" aboveAverage="0" equalAverage="0" bottom="0" percent="0" rank="0" text="" dxfId="2">
      <formula>G7</formula>
    </cfRule>
  </conditionalFormatting>
  <conditionalFormatting sqref="P9">
    <cfRule type="cellIs" priority="988" operator="lessThanOrEqual" aboveAverage="0" equalAverage="0" bottom="0" percent="0" rank="0" text="" dxfId="2">
      <formula>G9</formula>
    </cfRule>
  </conditionalFormatting>
  <conditionalFormatting sqref="R12">
    <cfRule type="cellIs" priority="989" operator="equal" aboveAverage="0" equalAverage="0" bottom="0" percent="0" rank="0" text="" dxfId="0">
      <formula>0</formula>
    </cfRule>
    <cfRule type="cellIs" priority="990" operator="lessThan" aboveAverage="0" equalAverage="0" bottom="0" percent="0" rank="0" text="" dxfId="1">
      <formula>E12</formula>
    </cfRule>
  </conditionalFormatting>
  <conditionalFormatting sqref="R13">
    <cfRule type="cellIs" priority="991" operator="equal" aboveAverage="0" equalAverage="0" bottom="0" percent="0" rank="0" text="" dxfId="0">
      <formula>0</formula>
    </cfRule>
    <cfRule type="cellIs" priority="992" operator="lessThan" aboveAverage="0" equalAverage="0" bottom="0" percent="0" rank="0" text="" dxfId="1">
      <formula>E13</formula>
    </cfRule>
  </conditionalFormatting>
  <conditionalFormatting sqref="R18">
    <cfRule type="cellIs" priority="993" operator="equal" aboveAverage="0" equalAverage="0" bottom="0" percent="0" rank="0" text="" dxfId="0">
      <formula>0</formula>
    </cfRule>
    <cfRule type="cellIs" priority="994" operator="lessThan" aboveAverage="0" equalAverage="0" bottom="0" percent="0" rank="0" text="" dxfId="1">
      <formula>E18</formula>
    </cfRule>
  </conditionalFormatting>
  <conditionalFormatting sqref="R20">
    <cfRule type="cellIs" priority="995" operator="equal" aboveAverage="0" equalAverage="0" bottom="0" percent="0" rank="0" text="" dxfId="0">
      <formula>0</formula>
    </cfRule>
    <cfRule type="cellIs" priority="996" operator="lessThan" aboveAverage="0" equalAverage="0" bottom="0" percent="0" rank="0" text="" dxfId="1">
      <formula>E20</formula>
    </cfRule>
  </conditionalFormatting>
  <conditionalFormatting sqref="R21">
    <cfRule type="cellIs" priority="997" operator="equal" aboveAverage="0" equalAverage="0" bottom="0" percent="0" rank="0" text="" dxfId="0">
      <formula>0</formula>
    </cfRule>
    <cfRule type="cellIs" priority="998" operator="lessThan" aboveAverage="0" equalAverage="0" bottom="0" percent="0" rank="0" text="" dxfId="1">
      <formula>E21</formula>
    </cfRule>
  </conditionalFormatting>
  <conditionalFormatting sqref="R22">
    <cfRule type="cellIs" priority="999" operator="equal" aboveAverage="0" equalAverage="0" bottom="0" percent="0" rank="0" text="" dxfId="0">
      <formula>0</formula>
    </cfRule>
    <cfRule type="cellIs" priority="1000" operator="lessThan" aboveAverage="0" equalAverage="0" bottom="0" percent="0" rank="0" text="" dxfId="1">
      <formula>E22</formula>
    </cfRule>
  </conditionalFormatting>
  <conditionalFormatting sqref="R23">
    <cfRule type="cellIs" priority="1001" operator="equal" aboveAverage="0" equalAverage="0" bottom="0" percent="0" rank="0" text="" dxfId="0">
      <formula>0</formula>
    </cfRule>
    <cfRule type="cellIs" priority="1002" operator="lessThan" aboveAverage="0" equalAverage="0" bottom="0" percent="0" rank="0" text="" dxfId="1">
      <formula>E23</formula>
    </cfRule>
  </conditionalFormatting>
  <conditionalFormatting sqref="R24">
    <cfRule type="cellIs" priority="1003" operator="equal" aboveAverage="0" equalAverage="0" bottom="0" percent="0" rank="0" text="" dxfId="0">
      <formula>0</formula>
    </cfRule>
    <cfRule type="cellIs" priority="1004" operator="lessThan" aboveAverage="0" equalAverage="0" bottom="0" percent="0" rank="0" text="" dxfId="1">
      <formula>E24</formula>
    </cfRule>
  </conditionalFormatting>
  <conditionalFormatting sqref="R28">
    <cfRule type="cellIs" priority="1005" operator="equal" aboveAverage="0" equalAverage="0" bottom="0" percent="0" rank="0" text="" dxfId="0">
      <formula>0</formula>
    </cfRule>
    <cfRule type="cellIs" priority="1006" operator="lessThan" aboveAverage="0" equalAverage="0" bottom="0" percent="0" rank="0" text="" dxfId="1">
      <formula>E28</formula>
    </cfRule>
  </conditionalFormatting>
  <conditionalFormatting sqref="R29">
    <cfRule type="cellIs" priority="1007" operator="equal" aboveAverage="0" equalAverage="0" bottom="0" percent="0" rank="0" text="" dxfId="0">
      <formula>0</formula>
    </cfRule>
    <cfRule type="cellIs" priority="1008" operator="lessThan" aboveAverage="0" equalAverage="0" bottom="0" percent="0" rank="0" text="" dxfId="1">
      <formula>E29</formula>
    </cfRule>
  </conditionalFormatting>
  <conditionalFormatting sqref="R30">
    <cfRule type="cellIs" priority="1009" operator="equal" aboveAverage="0" equalAverage="0" bottom="0" percent="0" rank="0" text="" dxfId="0">
      <formula>0</formula>
    </cfRule>
    <cfRule type="cellIs" priority="1010" operator="lessThan" aboveAverage="0" equalAverage="0" bottom="0" percent="0" rank="0" text="" dxfId="1">
      <formula>E30</formula>
    </cfRule>
  </conditionalFormatting>
  <conditionalFormatting sqref="R31">
    <cfRule type="cellIs" priority="1011" operator="equal" aboveAverage="0" equalAverage="0" bottom="0" percent="0" rank="0" text="" dxfId="0">
      <formula>0</formula>
    </cfRule>
    <cfRule type="cellIs" priority="1012" operator="lessThan" aboveAverage="0" equalAverage="0" bottom="0" percent="0" rank="0" text="" dxfId="1">
      <formula>E31</formula>
    </cfRule>
  </conditionalFormatting>
  <conditionalFormatting sqref="R32">
    <cfRule type="cellIs" priority="1013" operator="equal" aboveAverage="0" equalAverage="0" bottom="0" percent="0" rank="0" text="" dxfId="0">
      <formula>0</formula>
    </cfRule>
    <cfRule type="cellIs" priority="1014" operator="lessThan" aboveAverage="0" equalAverage="0" bottom="0" percent="0" rank="0" text="" dxfId="1">
      <formula>E32</formula>
    </cfRule>
  </conditionalFormatting>
  <conditionalFormatting sqref="R35">
    <cfRule type="cellIs" priority="1015" operator="equal" aboveAverage="0" equalAverage="0" bottom="0" percent="0" rank="0" text="" dxfId="0">
      <formula>0</formula>
    </cfRule>
    <cfRule type="cellIs" priority="1016" operator="lessThan" aboveAverage="0" equalAverage="0" bottom="0" percent="0" rank="0" text="" dxfId="1">
      <formula>E35</formula>
    </cfRule>
  </conditionalFormatting>
  <conditionalFormatting sqref="R36">
    <cfRule type="cellIs" priority="1017" operator="equal" aboveAverage="0" equalAverage="0" bottom="0" percent="0" rank="0" text="" dxfId="0">
      <formula>0</formula>
    </cfRule>
    <cfRule type="cellIs" priority="1018" operator="lessThan" aboveAverage="0" equalAverage="0" bottom="0" percent="0" rank="0" text="" dxfId="1">
      <formula>E36</formula>
    </cfRule>
  </conditionalFormatting>
  <conditionalFormatting sqref="R37">
    <cfRule type="cellIs" priority="1019" operator="equal" aboveAverage="0" equalAverage="0" bottom="0" percent="0" rank="0" text="" dxfId="0">
      <formula>0</formula>
    </cfRule>
    <cfRule type="cellIs" priority="1020" operator="lessThan" aboveAverage="0" equalAverage="0" bottom="0" percent="0" rank="0" text="" dxfId="1">
      <formula>E37</formula>
    </cfRule>
  </conditionalFormatting>
  <conditionalFormatting sqref="R38">
    <cfRule type="cellIs" priority="1021" operator="equal" aboveAverage="0" equalAverage="0" bottom="0" percent="0" rank="0" text="" dxfId="0">
      <formula>0</formula>
    </cfRule>
    <cfRule type="cellIs" priority="1022" operator="lessThan" aboveAverage="0" equalAverage="0" bottom="0" percent="0" rank="0" text="" dxfId="1">
      <formula>E38</formula>
    </cfRule>
  </conditionalFormatting>
  <conditionalFormatting sqref="R39">
    <cfRule type="cellIs" priority="1023" operator="equal" aboveAverage="0" equalAverage="0" bottom="0" percent="0" rank="0" text="" dxfId="0">
      <formula>0</formula>
    </cfRule>
    <cfRule type="cellIs" priority="1024" operator="lessThan" aboveAverage="0" equalAverage="0" bottom="0" percent="0" rank="0" text="" dxfId="1">
      <formula>E39</formula>
    </cfRule>
  </conditionalFormatting>
  <conditionalFormatting sqref="R40">
    <cfRule type="cellIs" priority="1025" operator="equal" aboveAverage="0" equalAverage="0" bottom="0" percent="0" rank="0" text="" dxfId="0">
      <formula>0</formula>
    </cfRule>
    <cfRule type="cellIs" priority="1026" operator="lessThan" aboveAverage="0" equalAverage="0" bottom="0" percent="0" rank="0" text="" dxfId="1">
      <formula>E40</formula>
    </cfRule>
  </conditionalFormatting>
  <conditionalFormatting sqref="R41">
    <cfRule type="cellIs" priority="1027" operator="equal" aboveAverage="0" equalAverage="0" bottom="0" percent="0" rank="0" text="" dxfId="0">
      <formula>0</formula>
    </cfRule>
    <cfRule type="cellIs" priority="1028" operator="lessThan" aboveAverage="0" equalAverage="0" bottom="0" percent="0" rank="0" text="" dxfId="1">
      <formula>E41</formula>
    </cfRule>
  </conditionalFormatting>
  <conditionalFormatting sqref="R42">
    <cfRule type="cellIs" priority="1029" operator="equal" aboveAverage="0" equalAverage="0" bottom="0" percent="0" rank="0" text="" dxfId="0">
      <formula>0</formula>
    </cfRule>
    <cfRule type="cellIs" priority="1030" operator="lessThan" aboveAverage="0" equalAverage="0" bottom="0" percent="0" rank="0" text="" dxfId="1">
      <formula>E42</formula>
    </cfRule>
  </conditionalFormatting>
  <conditionalFormatting sqref="R43">
    <cfRule type="cellIs" priority="1031" operator="equal" aboveAverage="0" equalAverage="0" bottom="0" percent="0" rank="0" text="" dxfId="0">
      <formula>0</formula>
    </cfRule>
    <cfRule type="cellIs" priority="1032" operator="lessThan" aboveAverage="0" equalAverage="0" bottom="0" percent="0" rank="0" text="" dxfId="1">
      <formula>E43</formula>
    </cfRule>
  </conditionalFormatting>
  <conditionalFormatting sqref="R44">
    <cfRule type="cellIs" priority="1033" operator="equal" aboveAverage="0" equalAverage="0" bottom="0" percent="0" rank="0" text="" dxfId="0">
      <formula>0</formula>
    </cfRule>
    <cfRule type="cellIs" priority="1034" operator="lessThan" aboveAverage="0" equalAverage="0" bottom="0" percent="0" rank="0" text="" dxfId="1">
      <formula>E44</formula>
    </cfRule>
  </conditionalFormatting>
  <conditionalFormatting sqref="R47">
    <cfRule type="cellIs" priority="1035" operator="equal" aboveAverage="0" equalAverage="0" bottom="0" percent="0" rank="0" text="" dxfId="0">
      <formula>0</formula>
    </cfRule>
    <cfRule type="cellIs" priority="1036" operator="lessThan" aboveAverage="0" equalAverage="0" bottom="0" percent="0" rank="0" text="" dxfId="1">
      <formula>E47</formula>
    </cfRule>
  </conditionalFormatting>
  <conditionalFormatting sqref="R48">
    <cfRule type="cellIs" priority="1037" operator="equal" aboveAverage="0" equalAverage="0" bottom="0" percent="0" rank="0" text="" dxfId="0">
      <formula>0</formula>
    </cfRule>
    <cfRule type="cellIs" priority="1038" operator="lessThan" aboveAverage="0" equalAverage="0" bottom="0" percent="0" rank="0" text="" dxfId="1">
      <formula>E48</formula>
    </cfRule>
  </conditionalFormatting>
  <conditionalFormatting sqref="R49">
    <cfRule type="cellIs" priority="1039" operator="equal" aboveAverage="0" equalAverage="0" bottom="0" percent="0" rank="0" text="" dxfId="0">
      <formula>0</formula>
    </cfRule>
    <cfRule type="cellIs" priority="1040" operator="lessThan" aboveAverage="0" equalAverage="0" bottom="0" percent="0" rank="0" text="" dxfId="1">
      <formula>E49</formula>
    </cfRule>
  </conditionalFormatting>
  <conditionalFormatting sqref="R50">
    <cfRule type="cellIs" priority="1041" operator="equal" aboveAverage="0" equalAverage="0" bottom="0" percent="0" rank="0" text="" dxfId="0">
      <formula>0</formula>
    </cfRule>
    <cfRule type="cellIs" priority="1042" operator="lessThan" aboveAverage="0" equalAverage="0" bottom="0" percent="0" rank="0" text="" dxfId="1">
      <formula>E50</formula>
    </cfRule>
  </conditionalFormatting>
  <conditionalFormatting sqref="R51">
    <cfRule type="cellIs" priority="1043" operator="equal" aboveAverage="0" equalAverage="0" bottom="0" percent="0" rank="0" text="" dxfId="0">
      <formula>0</formula>
    </cfRule>
    <cfRule type="cellIs" priority="1044" operator="lessThan" aboveAverage="0" equalAverage="0" bottom="0" percent="0" rank="0" text="" dxfId="1">
      <formula>E51</formula>
    </cfRule>
  </conditionalFormatting>
  <conditionalFormatting sqref="R55">
    <cfRule type="cellIs" priority="1045" operator="equal" aboveAverage="0" equalAverage="0" bottom="0" percent="0" rank="0" text="" dxfId="0">
      <formula>0</formula>
    </cfRule>
    <cfRule type="cellIs" priority="1046" operator="lessThan" aboveAverage="0" equalAverage="0" bottom="0" percent="0" rank="0" text="" dxfId="1">
      <formula>E55</formula>
    </cfRule>
  </conditionalFormatting>
  <conditionalFormatting sqref="R7">
    <cfRule type="cellIs" priority="1047" operator="equal" aboveAverage="0" equalAverage="0" bottom="0" percent="0" rank="0" text="" dxfId="0">
      <formula>0</formula>
    </cfRule>
    <cfRule type="cellIs" priority="1048" operator="lessThan" aboveAverage="0" equalAverage="0" bottom="0" percent="0" rank="0" text="" dxfId="1">
      <formula>E7</formula>
    </cfRule>
  </conditionalFormatting>
  <conditionalFormatting sqref="R9">
    <cfRule type="cellIs" priority="1049" operator="equal" aboveAverage="0" equalAverage="0" bottom="0" percent="0" rank="0" text="" dxfId="0">
      <formula>0</formula>
    </cfRule>
    <cfRule type="cellIs" priority="1050" operator="lessThan" aboveAverage="0" equalAverage="0" bottom="0" percent="0" rank="0" text="" dxfId="1">
      <formula>E9</formula>
    </cfRule>
  </conditionalFormatting>
  <conditionalFormatting sqref="S12">
    <cfRule type="expression" priority="1051" aboveAverage="0" equalAverage="0" bottom="0" percent="0" rank="0" text="" dxfId="3">
      <formula>AND(S12&gt;0,S12&lt;10)</formula>
    </cfRule>
    <cfRule type="cellIs" priority="1052" operator="greaterThan" aboveAverage="0" equalAverage="0" bottom="0" percent="0" rank="0" text="" dxfId="0">
      <formula>R12</formula>
    </cfRule>
  </conditionalFormatting>
  <conditionalFormatting sqref="S13">
    <cfRule type="expression" priority="1053" aboveAverage="0" equalAverage="0" bottom="0" percent="0" rank="0" text="" dxfId="3">
      <formula>AND(S13&gt;0,S13&lt;5)</formula>
    </cfRule>
    <cfRule type="cellIs" priority="1054" operator="greaterThan" aboveAverage="0" equalAverage="0" bottom="0" percent="0" rank="0" text="" dxfId="0">
      <formula>R13</formula>
    </cfRule>
  </conditionalFormatting>
  <conditionalFormatting sqref="S18">
    <cfRule type="expression" priority="1055" aboveAverage="0" equalAverage="0" bottom="0" percent="0" rank="0" text="" dxfId="3">
      <formula>AND(S18&gt;0,S18&lt;10)</formula>
    </cfRule>
    <cfRule type="cellIs" priority="1056" operator="greaterThan" aboveAverage="0" equalAverage="0" bottom="0" percent="0" rank="0" text="" dxfId="0">
      <formula>R18</formula>
    </cfRule>
  </conditionalFormatting>
  <conditionalFormatting sqref="S20">
    <cfRule type="cellIs" priority="1057" operator="greaterThan" aboveAverage="0" equalAverage="0" bottom="0" percent="0" rank="0" text="" dxfId="0">
      <formula>R20</formula>
    </cfRule>
  </conditionalFormatting>
  <conditionalFormatting sqref="S21">
    <cfRule type="expression" priority="1058" aboveAverage="0" equalAverage="0" bottom="0" percent="0" rank="0" text="" dxfId="3">
      <formula>AND(S21&gt;0,S21&lt;5)</formula>
    </cfRule>
    <cfRule type="cellIs" priority="1059" operator="greaterThan" aboveAverage="0" equalAverage="0" bottom="0" percent="0" rank="0" text="" dxfId="0">
      <formula>R21</formula>
    </cfRule>
  </conditionalFormatting>
  <conditionalFormatting sqref="S22">
    <cfRule type="expression" priority="1060" aboveAverage="0" equalAverage="0" bottom="0" percent="0" rank="0" text="" dxfId="3">
      <formula>AND(S22&gt;0,S22&lt;5)</formula>
    </cfRule>
    <cfRule type="cellIs" priority="1061" operator="greaterThan" aboveAverage="0" equalAverage="0" bottom="0" percent="0" rank="0" text="" dxfId="0">
      <formula>R22</formula>
    </cfRule>
  </conditionalFormatting>
  <conditionalFormatting sqref="S23">
    <cfRule type="cellIs" priority="1062" operator="greaterThan" aboveAverage="0" equalAverage="0" bottom="0" percent="0" rank="0" text="" dxfId="0">
      <formula>R23</formula>
    </cfRule>
  </conditionalFormatting>
  <conditionalFormatting sqref="S24">
    <cfRule type="expression" priority="1063" aboveAverage="0" equalAverage="0" bottom="0" percent="0" rank="0" text="" dxfId="3">
      <formula>AND(S24&gt;0,S24&lt;10)</formula>
    </cfRule>
    <cfRule type="cellIs" priority="1064" operator="greaterThan" aboveAverage="0" equalAverage="0" bottom="0" percent="0" rank="0" text="" dxfId="0">
      <formula>R24</formula>
    </cfRule>
  </conditionalFormatting>
  <conditionalFormatting sqref="S28">
    <cfRule type="cellIs" priority="1065" operator="greaterThan" aboveAverage="0" equalAverage="0" bottom="0" percent="0" rank="0" text="" dxfId="0">
      <formula>R28</formula>
    </cfRule>
  </conditionalFormatting>
  <conditionalFormatting sqref="S29">
    <cfRule type="cellIs" priority="1066" operator="greaterThan" aboveAverage="0" equalAverage="0" bottom="0" percent="0" rank="0" text="" dxfId="0">
      <formula>R29</formula>
    </cfRule>
  </conditionalFormatting>
  <conditionalFormatting sqref="S30">
    <cfRule type="cellIs" priority="1067" operator="greaterThan" aboveAverage="0" equalAverage="0" bottom="0" percent="0" rank="0" text="" dxfId="0">
      <formula>R30</formula>
    </cfRule>
  </conditionalFormatting>
  <conditionalFormatting sqref="S31">
    <cfRule type="cellIs" priority="1068" operator="greaterThan" aboveAverage="0" equalAverage="0" bottom="0" percent="0" rank="0" text="" dxfId="0">
      <formula>R31</formula>
    </cfRule>
  </conditionalFormatting>
  <conditionalFormatting sqref="S32">
    <cfRule type="expression" priority="1069" aboveAverage="0" equalAverage="0" bottom="0" percent="0" rank="0" text="" dxfId="3">
      <formula>AND(S32&gt;0,S32&lt;5)</formula>
    </cfRule>
    <cfRule type="cellIs" priority="1070" operator="greaterThan" aboveAverage="0" equalAverage="0" bottom="0" percent="0" rank="0" text="" dxfId="0">
      <formula>R32</formula>
    </cfRule>
  </conditionalFormatting>
  <conditionalFormatting sqref="S35">
    <cfRule type="expression" priority="1071" aboveAverage="0" equalAverage="0" bottom="0" percent="0" rank="0" text="" dxfId="3">
      <formula>AND(S35&gt;0,S35&lt;10)</formula>
    </cfRule>
    <cfRule type="cellIs" priority="1072" operator="greaterThan" aboveAverage="0" equalAverage="0" bottom="0" percent="0" rank="0" text="" dxfId="0">
      <formula>R35</formula>
    </cfRule>
  </conditionalFormatting>
  <conditionalFormatting sqref="S36">
    <cfRule type="expression" priority="1073" aboveAverage="0" equalAverage="0" bottom="0" percent="0" rank="0" text="" dxfId="3">
      <formula>AND(S36&gt;0,S36&lt;10)</formula>
    </cfRule>
    <cfRule type="cellIs" priority="1074" operator="greaterThan" aboveAverage="0" equalAverage="0" bottom="0" percent="0" rank="0" text="" dxfId="0">
      <formula>R36</formula>
    </cfRule>
  </conditionalFormatting>
  <conditionalFormatting sqref="S37">
    <cfRule type="expression" priority="1075" aboveAverage="0" equalAverage="0" bottom="0" percent="0" rank="0" text="" dxfId="3">
      <formula>AND(S37&gt;0,S37&lt;10)</formula>
    </cfRule>
    <cfRule type="cellIs" priority="1076" operator="greaterThan" aboveAverage="0" equalAverage="0" bottom="0" percent="0" rank="0" text="" dxfId="0">
      <formula>R37</formula>
    </cfRule>
  </conditionalFormatting>
  <conditionalFormatting sqref="S38">
    <cfRule type="expression" priority="1077" aboveAverage="0" equalAverage="0" bottom="0" percent="0" rank="0" text="" dxfId="3">
      <formula>AND(S38&gt;0,S38&lt;10)</formula>
    </cfRule>
    <cfRule type="cellIs" priority="1078" operator="greaterThan" aboveAverage="0" equalAverage="0" bottom="0" percent="0" rank="0" text="" dxfId="0">
      <formula>R38</formula>
    </cfRule>
  </conditionalFormatting>
  <conditionalFormatting sqref="S39">
    <cfRule type="cellIs" priority="1079" operator="greaterThan" aboveAverage="0" equalAverage="0" bottom="0" percent="0" rank="0" text="" dxfId="0">
      <formula>R39</formula>
    </cfRule>
  </conditionalFormatting>
  <conditionalFormatting sqref="S40">
    <cfRule type="expression" priority="1080" aboveAverage="0" equalAverage="0" bottom="0" percent="0" rank="0" text="" dxfId="3">
      <formula>AND(S40&gt;0,S40&lt;10)</formula>
    </cfRule>
    <cfRule type="cellIs" priority="1081" operator="greaterThan" aboveAverage="0" equalAverage="0" bottom="0" percent="0" rank="0" text="" dxfId="0">
      <formula>R40</formula>
    </cfRule>
  </conditionalFormatting>
  <conditionalFormatting sqref="S41">
    <cfRule type="expression" priority="1082" aboveAverage="0" equalAverage="0" bottom="0" percent="0" rank="0" text="" dxfId="3">
      <formula>AND(S41&gt;0,S41&lt;10)</formula>
    </cfRule>
    <cfRule type="cellIs" priority="1083" operator="greaterThan" aboveAverage="0" equalAverage="0" bottom="0" percent="0" rank="0" text="" dxfId="0">
      <formula>R41</formula>
    </cfRule>
  </conditionalFormatting>
  <conditionalFormatting sqref="S42">
    <cfRule type="expression" priority="1084" aboveAverage="0" equalAverage="0" bottom="0" percent="0" rank="0" text="" dxfId="3">
      <formula>AND(S42&gt;0,S42&lt;10)</formula>
    </cfRule>
    <cfRule type="cellIs" priority="1085" operator="greaterThan" aboveAverage="0" equalAverage="0" bottom="0" percent="0" rank="0" text="" dxfId="0">
      <formula>R42</formula>
    </cfRule>
  </conditionalFormatting>
  <conditionalFormatting sqref="S43">
    <cfRule type="expression" priority="1086" aboveAverage="0" equalAverage="0" bottom="0" percent="0" rank="0" text="" dxfId="3">
      <formula>AND(S43&gt;0,S43&lt;10)</formula>
    </cfRule>
    <cfRule type="cellIs" priority="1087" operator="greaterThan" aboveAverage="0" equalAverage="0" bottom="0" percent="0" rank="0" text="" dxfId="0">
      <formula>R43</formula>
    </cfRule>
  </conditionalFormatting>
  <conditionalFormatting sqref="S44">
    <cfRule type="expression" priority="1088" aboveAverage="0" equalAverage="0" bottom="0" percent="0" rank="0" text="" dxfId="3">
      <formula>AND(S44&gt;0,S44&lt;10)</formula>
    </cfRule>
    <cfRule type="cellIs" priority="1089" operator="greaterThan" aboveAverage="0" equalAverage="0" bottom="0" percent="0" rank="0" text="" dxfId="0">
      <formula>R44</formula>
    </cfRule>
  </conditionalFormatting>
  <conditionalFormatting sqref="S47">
    <cfRule type="expression" priority="1090" aboveAverage="0" equalAverage="0" bottom="0" percent="0" rank="0" text="" dxfId="3">
      <formula>AND(S47&gt;0,S47&lt;10)</formula>
    </cfRule>
    <cfRule type="cellIs" priority="1091" operator="greaterThan" aboveAverage="0" equalAverage="0" bottom="0" percent="0" rank="0" text="" dxfId="0">
      <formula>R47</formula>
    </cfRule>
  </conditionalFormatting>
  <conditionalFormatting sqref="S48">
    <cfRule type="cellIs" priority="1092" operator="greaterThan" aboveAverage="0" equalAverage="0" bottom="0" percent="0" rank="0" text="" dxfId="0">
      <formula>R48</formula>
    </cfRule>
  </conditionalFormatting>
  <conditionalFormatting sqref="S49">
    <cfRule type="expression" priority="1093" aboveAverage="0" equalAverage="0" bottom="0" percent="0" rank="0" text="" dxfId="3">
      <formula>AND(S49&gt;0,S49&lt;10)</formula>
    </cfRule>
    <cfRule type="cellIs" priority="1094" operator="greaterThan" aboveAverage="0" equalAverage="0" bottom="0" percent="0" rank="0" text="" dxfId="0">
      <formula>R49</formula>
    </cfRule>
  </conditionalFormatting>
  <conditionalFormatting sqref="S50">
    <cfRule type="cellIs" priority="1095" operator="greaterThan" aboveAverage="0" equalAverage="0" bottom="0" percent="0" rank="0" text="" dxfId="0">
      <formula>R50</formula>
    </cfRule>
  </conditionalFormatting>
  <conditionalFormatting sqref="S51">
    <cfRule type="cellIs" priority="1096" operator="greaterThan" aboveAverage="0" equalAverage="0" bottom="0" percent="0" rank="0" text="" dxfId="0">
      <formula>R51</formula>
    </cfRule>
  </conditionalFormatting>
  <conditionalFormatting sqref="S55">
    <cfRule type="cellIs" priority="1097" operator="greaterThan" aboveAverage="0" equalAverage="0" bottom="0" percent="0" rank="0" text="" dxfId="0">
      <formula>R55</formula>
    </cfRule>
  </conditionalFormatting>
  <conditionalFormatting sqref="S7">
    <cfRule type="expression" priority="1098" aboveAverage="0" equalAverage="0" bottom="0" percent="0" rank="0" text="" dxfId="3">
      <formula>AND(S7&gt;0,S7&lt;10)</formula>
    </cfRule>
    <cfRule type="cellIs" priority="1099" operator="greaterThan" aboveAverage="0" equalAverage="0" bottom="0" percent="0" rank="0" text="" dxfId="0">
      <formula>R7</formula>
    </cfRule>
  </conditionalFormatting>
  <conditionalFormatting sqref="S9">
    <cfRule type="expression" priority="1100" aboveAverage="0" equalAverage="0" bottom="0" percent="0" rank="0" text="" dxfId="3">
      <formula>AND(S9&gt;0,S9&lt;10)</formula>
    </cfRule>
    <cfRule type="cellIs" priority="1101" operator="greaterThan" aboveAverage="0" equalAverage="0" bottom="0" percent="0" rank="0" text="" dxfId="0">
      <formula>R9</formula>
    </cfRule>
  </conditionalFormatting>
  <conditionalFormatting sqref="T12">
    <cfRule type="cellIs" priority="1102" operator="lessThanOrEqual" aboveAverage="0" equalAverage="0" bottom="0" percent="0" rank="0" text="" dxfId="2">
      <formula>F12</formula>
    </cfRule>
  </conditionalFormatting>
  <conditionalFormatting sqref="T13">
    <cfRule type="cellIs" priority="1103" operator="lessThanOrEqual" aboveAverage="0" equalAverage="0" bottom="0" percent="0" rank="0" text="" dxfId="2">
      <formula>F13</formula>
    </cfRule>
  </conditionalFormatting>
  <conditionalFormatting sqref="T18">
    <cfRule type="cellIs" priority="1104" operator="lessThanOrEqual" aboveAverage="0" equalAverage="0" bottom="0" percent="0" rank="0" text="" dxfId="2">
      <formula>F18</formula>
    </cfRule>
  </conditionalFormatting>
  <conditionalFormatting sqref="T20">
    <cfRule type="cellIs" priority="1105" operator="lessThanOrEqual" aboveAverage="0" equalAverage="0" bottom="0" percent="0" rank="0" text="" dxfId="2">
      <formula>F20</formula>
    </cfRule>
  </conditionalFormatting>
  <conditionalFormatting sqref="T21">
    <cfRule type="cellIs" priority="1106" operator="lessThanOrEqual" aboveAverage="0" equalAverage="0" bottom="0" percent="0" rank="0" text="" dxfId="2">
      <formula>F21</formula>
    </cfRule>
  </conditionalFormatting>
  <conditionalFormatting sqref="T22">
    <cfRule type="cellIs" priority="1107" operator="lessThanOrEqual" aboveAverage="0" equalAverage="0" bottom="0" percent="0" rank="0" text="" dxfId="2">
      <formula>F22</formula>
    </cfRule>
  </conditionalFormatting>
  <conditionalFormatting sqref="T23">
    <cfRule type="cellIs" priority="1108" operator="lessThanOrEqual" aboveAverage="0" equalAverage="0" bottom="0" percent="0" rank="0" text="" dxfId="2">
      <formula>F23</formula>
    </cfRule>
  </conditionalFormatting>
  <conditionalFormatting sqref="T24">
    <cfRule type="cellIs" priority="1109" operator="lessThanOrEqual" aboveAverage="0" equalAverage="0" bottom="0" percent="0" rank="0" text="" dxfId="2">
      <formula>F24</formula>
    </cfRule>
  </conditionalFormatting>
  <conditionalFormatting sqref="T28">
    <cfRule type="cellIs" priority="1110" operator="lessThanOrEqual" aboveAverage="0" equalAverage="0" bottom="0" percent="0" rank="0" text="" dxfId="2">
      <formula>F28</formula>
    </cfRule>
  </conditionalFormatting>
  <conditionalFormatting sqref="T29">
    <cfRule type="cellIs" priority="1111" operator="lessThanOrEqual" aboveAverage="0" equalAverage="0" bottom="0" percent="0" rank="0" text="" dxfId="2">
      <formula>F29</formula>
    </cfRule>
  </conditionalFormatting>
  <conditionalFormatting sqref="T30">
    <cfRule type="cellIs" priority="1112" operator="lessThanOrEqual" aboveAverage="0" equalAverage="0" bottom="0" percent="0" rank="0" text="" dxfId="2">
      <formula>F30</formula>
    </cfRule>
  </conditionalFormatting>
  <conditionalFormatting sqref="T31">
    <cfRule type="cellIs" priority="1113" operator="lessThanOrEqual" aboveAverage="0" equalAverage="0" bottom="0" percent="0" rank="0" text="" dxfId="2">
      <formula>F31</formula>
    </cfRule>
  </conditionalFormatting>
  <conditionalFormatting sqref="T32">
    <cfRule type="cellIs" priority="1114" operator="lessThanOrEqual" aboveAverage="0" equalAverage="0" bottom="0" percent="0" rank="0" text="" dxfId="2">
      <formula>F32</formula>
    </cfRule>
  </conditionalFormatting>
  <conditionalFormatting sqref="T35">
    <cfRule type="cellIs" priority="1115" operator="lessThanOrEqual" aboveAverage="0" equalAverage="0" bottom="0" percent="0" rank="0" text="" dxfId="2">
      <formula>F35</formula>
    </cfRule>
  </conditionalFormatting>
  <conditionalFormatting sqref="T36">
    <cfRule type="cellIs" priority="1116" operator="lessThanOrEqual" aboveAverage="0" equalAverage="0" bottom="0" percent="0" rank="0" text="" dxfId="2">
      <formula>F36</formula>
    </cfRule>
  </conditionalFormatting>
  <conditionalFormatting sqref="T37">
    <cfRule type="cellIs" priority="1117" operator="lessThanOrEqual" aboveAverage="0" equalAverage="0" bottom="0" percent="0" rank="0" text="" dxfId="2">
      <formula>F37</formula>
    </cfRule>
  </conditionalFormatting>
  <conditionalFormatting sqref="T38">
    <cfRule type="cellIs" priority="1118" operator="lessThanOrEqual" aboveAverage="0" equalAverage="0" bottom="0" percent="0" rank="0" text="" dxfId="2">
      <formula>F38</formula>
    </cfRule>
  </conditionalFormatting>
  <conditionalFormatting sqref="T39">
    <cfRule type="cellIs" priority="1119" operator="lessThanOrEqual" aboveAverage="0" equalAverage="0" bottom="0" percent="0" rank="0" text="" dxfId="2">
      <formula>F39</formula>
    </cfRule>
  </conditionalFormatting>
  <conditionalFormatting sqref="T40">
    <cfRule type="cellIs" priority="1120" operator="lessThanOrEqual" aboveAverage="0" equalAverage="0" bottom="0" percent="0" rank="0" text="" dxfId="2">
      <formula>F40</formula>
    </cfRule>
  </conditionalFormatting>
  <conditionalFormatting sqref="T41">
    <cfRule type="cellIs" priority="1121" operator="lessThanOrEqual" aboveAverage="0" equalAverage="0" bottom="0" percent="0" rank="0" text="" dxfId="2">
      <formula>F41</formula>
    </cfRule>
  </conditionalFormatting>
  <conditionalFormatting sqref="T42">
    <cfRule type="cellIs" priority="1122" operator="lessThanOrEqual" aboveAverage="0" equalAverage="0" bottom="0" percent="0" rank="0" text="" dxfId="2">
      <formula>F42</formula>
    </cfRule>
  </conditionalFormatting>
  <conditionalFormatting sqref="T43">
    <cfRule type="cellIs" priority="1123" operator="lessThanOrEqual" aboveAverage="0" equalAverage="0" bottom="0" percent="0" rank="0" text="" dxfId="2">
      <formula>F43</formula>
    </cfRule>
  </conditionalFormatting>
  <conditionalFormatting sqref="T44">
    <cfRule type="cellIs" priority="1124" operator="lessThanOrEqual" aboveAverage="0" equalAverage="0" bottom="0" percent="0" rank="0" text="" dxfId="2">
      <formula>F44</formula>
    </cfRule>
  </conditionalFormatting>
  <conditionalFormatting sqref="T47">
    <cfRule type="cellIs" priority="1125" operator="lessThanOrEqual" aboveAverage="0" equalAverage="0" bottom="0" percent="0" rank="0" text="" dxfId="2">
      <formula>F47</formula>
    </cfRule>
  </conditionalFormatting>
  <conditionalFormatting sqref="T48">
    <cfRule type="cellIs" priority="1126" operator="lessThanOrEqual" aboveAverage="0" equalAverage="0" bottom="0" percent="0" rank="0" text="" dxfId="2">
      <formula>F48</formula>
    </cfRule>
  </conditionalFormatting>
  <conditionalFormatting sqref="T49">
    <cfRule type="cellIs" priority="1127" operator="lessThanOrEqual" aboveAverage="0" equalAverage="0" bottom="0" percent="0" rank="0" text="" dxfId="2">
      <formula>F49</formula>
    </cfRule>
  </conditionalFormatting>
  <conditionalFormatting sqref="T50">
    <cfRule type="cellIs" priority="1128" operator="lessThanOrEqual" aboveAverage="0" equalAverage="0" bottom="0" percent="0" rank="0" text="" dxfId="2">
      <formula>F50</formula>
    </cfRule>
  </conditionalFormatting>
  <conditionalFormatting sqref="T51">
    <cfRule type="cellIs" priority="1129" operator="lessThanOrEqual" aboveAverage="0" equalAverage="0" bottom="0" percent="0" rank="0" text="" dxfId="2">
      <formula>F51</formula>
    </cfRule>
  </conditionalFormatting>
  <conditionalFormatting sqref="T55">
    <cfRule type="cellIs" priority="1130" operator="lessThanOrEqual" aboveAverage="0" equalAverage="0" bottom="0" percent="0" rank="0" text="" dxfId="2">
      <formula>F55</formula>
    </cfRule>
  </conditionalFormatting>
  <conditionalFormatting sqref="T7">
    <cfRule type="cellIs" priority="1131" operator="lessThanOrEqual" aboveAverage="0" equalAverage="0" bottom="0" percent="0" rank="0" text="" dxfId="2">
      <formula>F7</formula>
    </cfRule>
  </conditionalFormatting>
  <conditionalFormatting sqref="T9">
    <cfRule type="cellIs" priority="1132" operator="lessThanOrEqual" aboveAverage="0" equalAverage="0" bottom="0" percent="0" rank="0" text="" dxfId="2">
      <formula>F9</formula>
    </cfRule>
  </conditionalFormatting>
  <conditionalFormatting sqref="U12">
    <cfRule type="cellIs" priority="1133" operator="lessThanOrEqual" aboveAverage="0" equalAverage="0" bottom="0" percent="0" rank="0" text="" dxfId="2">
      <formula>G12</formula>
    </cfRule>
  </conditionalFormatting>
  <conditionalFormatting sqref="U13">
    <cfRule type="cellIs" priority="1134" operator="lessThanOrEqual" aboveAverage="0" equalAverage="0" bottom="0" percent="0" rank="0" text="" dxfId="2">
      <formula>G13</formula>
    </cfRule>
  </conditionalFormatting>
  <conditionalFormatting sqref="U18">
    <cfRule type="cellIs" priority="1135" operator="lessThanOrEqual" aboveAverage="0" equalAverage="0" bottom="0" percent="0" rank="0" text="" dxfId="2">
      <formula>G18</formula>
    </cfRule>
  </conditionalFormatting>
  <conditionalFormatting sqref="U20">
    <cfRule type="cellIs" priority="1136" operator="lessThanOrEqual" aboveAverage="0" equalAverage="0" bottom="0" percent="0" rank="0" text="" dxfId="2">
      <formula>G20</formula>
    </cfRule>
  </conditionalFormatting>
  <conditionalFormatting sqref="U21">
    <cfRule type="cellIs" priority="1137" operator="lessThanOrEqual" aboveAverage="0" equalAverage="0" bottom="0" percent="0" rank="0" text="" dxfId="2">
      <formula>G21</formula>
    </cfRule>
  </conditionalFormatting>
  <conditionalFormatting sqref="U22">
    <cfRule type="cellIs" priority="1138" operator="lessThanOrEqual" aboveAverage="0" equalAverage="0" bottom="0" percent="0" rank="0" text="" dxfId="2">
      <formula>G22</formula>
    </cfRule>
  </conditionalFormatting>
  <conditionalFormatting sqref="U23">
    <cfRule type="cellIs" priority="1139" operator="lessThanOrEqual" aboveAverage="0" equalAverage="0" bottom="0" percent="0" rank="0" text="" dxfId="2">
      <formula>G23</formula>
    </cfRule>
  </conditionalFormatting>
  <conditionalFormatting sqref="U24">
    <cfRule type="cellIs" priority="1140" operator="lessThanOrEqual" aboveAverage="0" equalAverage="0" bottom="0" percent="0" rank="0" text="" dxfId="2">
      <formula>G24</formula>
    </cfRule>
  </conditionalFormatting>
  <conditionalFormatting sqref="U28">
    <cfRule type="cellIs" priority="1141" operator="lessThanOrEqual" aboveAverage="0" equalAverage="0" bottom="0" percent="0" rank="0" text="" dxfId="2">
      <formula>G28</formula>
    </cfRule>
  </conditionalFormatting>
  <conditionalFormatting sqref="U29">
    <cfRule type="cellIs" priority="1142" operator="lessThanOrEqual" aboveAverage="0" equalAverage="0" bottom="0" percent="0" rank="0" text="" dxfId="2">
      <formula>G29</formula>
    </cfRule>
  </conditionalFormatting>
  <conditionalFormatting sqref="U30">
    <cfRule type="cellIs" priority="1143" operator="lessThanOrEqual" aboveAverage="0" equalAverage="0" bottom="0" percent="0" rank="0" text="" dxfId="2">
      <formula>G30</formula>
    </cfRule>
  </conditionalFormatting>
  <conditionalFormatting sqref="U31">
    <cfRule type="cellIs" priority="1144" operator="lessThanOrEqual" aboveAverage="0" equalAverage="0" bottom="0" percent="0" rank="0" text="" dxfId="2">
      <formula>G31</formula>
    </cfRule>
  </conditionalFormatting>
  <conditionalFormatting sqref="U32">
    <cfRule type="cellIs" priority="1145" operator="lessThanOrEqual" aboveAverage="0" equalAverage="0" bottom="0" percent="0" rank="0" text="" dxfId="2">
      <formula>G32</formula>
    </cfRule>
  </conditionalFormatting>
  <conditionalFormatting sqref="U35">
    <cfRule type="cellIs" priority="1146" operator="lessThanOrEqual" aboveAverage="0" equalAverage="0" bottom="0" percent="0" rank="0" text="" dxfId="2">
      <formula>G35</formula>
    </cfRule>
  </conditionalFormatting>
  <conditionalFormatting sqref="U36">
    <cfRule type="cellIs" priority="1147" operator="lessThanOrEqual" aboveAverage="0" equalAverage="0" bottom="0" percent="0" rank="0" text="" dxfId="2">
      <formula>G36</formula>
    </cfRule>
  </conditionalFormatting>
  <conditionalFormatting sqref="U37">
    <cfRule type="cellIs" priority="1148" operator="lessThanOrEqual" aboveAverage="0" equalAverage="0" bottom="0" percent="0" rank="0" text="" dxfId="2">
      <formula>G37</formula>
    </cfRule>
  </conditionalFormatting>
  <conditionalFormatting sqref="U38">
    <cfRule type="cellIs" priority="1149" operator="lessThanOrEqual" aboveAverage="0" equalAverage="0" bottom="0" percent="0" rank="0" text="" dxfId="2">
      <formula>G38</formula>
    </cfRule>
  </conditionalFormatting>
  <conditionalFormatting sqref="U39">
    <cfRule type="cellIs" priority="1150" operator="lessThanOrEqual" aboveAverage="0" equalAverage="0" bottom="0" percent="0" rank="0" text="" dxfId="2">
      <formula>G39</formula>
    </cfRule>
  </conditionalFormatting>
  <conditionalFormatting sqref="U40">
    <cfRule type="cellIs" priority="1151" operator="lessThanOrEqual" aboveAverage="0" equalAverage="0" bottom="0" percent="0" rank="0" text="" dxfId="2">
      <formula>G40</formula>
    </cfRule>
  </conditionalFormatting>
  <conditionalFormatting sqref="U41">
    <cfRule type="cellIs" priority="1152" operator="lessThanOrEqual" aboveAverage="0" equalAverage="0" bottom="0" percent="0" rank="0" text="" dxfId="2">
      <formula>G41</formula>
    </cfRule>
  </conditionalFormatting>
  <conditionalFormatting sqref="U42">
    <cfRule type="cellIs" priority="1153" operator="lessThanOrEqual" aboveAverage="0" equalAverage="0" bottom="0" percent="0" rank="0" text="" dxfId="2">
      <formula>G42</formula>
    </cfRule>
  </conditionalFormatting>
  <conditionalFormatting sqref="U43">
    <cfRule type="cellIs" priority="1154" operator="lessThanOrEqual" aboveAverage="0" equalAverage="0" bottom="0" percent="0" rank="0" text="" dxfId="2">
      <formula>G43</formula>
    </cfRule>
  </conditionalFormatting>
  <conditionalFormatting sqref="U44">
    <cfRule type="cellIs" priority="1155" operator="lessThanOrEqual" aboveAverage="0" equalAverage="0" bottom="0" percent="0" rank="0" text="" dxfId="2">
      <formula>G44</formula>
    </cfRule>
  </conditionalFormatting>
  <conditionalFormatting sqref="U47">
    <cfRule type="cellIs" priority="1156" operator="lessThanOrEqual" aboveAverage="0" equalAverage="0" bottom="0" percent="0" rank="0" text="" dxfId="2">
      <formula>G47</formula>
    </cfRule>
  </conditionalFormatting>
  <conditionalFormatting sqref="U48">
    <cfRule type="cellIs" priority="1157" operator="lessThanOrEqual" aboveAverage="0" equalAverage="0" bottom="0" percent="0" rank="0" text="" dxfId="2">
      <formula>G48</formula>
    </cfRule>
  </conditionalFormatting>
  <conditionalFormatting sqref="U49">
    <cfRule type="cellIs" priority="1158" operator="lessThanOrEqual" aboveAverage="0" equalAverage="0" bottom="0" percent="0" rank="0" text="" dxfId="2">
      <formula>G49</formula>
    </cfRule>
  </conditionalFormatting>
  <conditionalFormatting sqref="U50">
    <cfRule type="cellIs" priority="1159" operator="lessThanOrEqual" aboveAverage="0" equalAverage="0" bottom="0" percent="0" rank="0" text="" dxfId="2">
      <formula>G50</formula>
    </cfRule>
  </conditionalFormatting>
  <conditionalFormatting sqref="U51">
    <cfRule type="cellIs" priority="1160" operator="lessThanOrEqual" aboveAverage="0" equalAverage="0" bottom="0" percent="0" rank="0" text="" dxfId="2">
      <formula>G51</formula>
    </cfRule>
  </conditionalFormatting>
  <conditionalFormatting sqref="U55">
    <cfRule type="cellIs" priority="1161" operator="lessThanOrEqual" aboveAverage="0" equalAverage="0" bottom="0" percent="0" rank="0" text="" dxfId="2">
      <formula>G55</formula>
    </cfRule>
  </conditionalFormatting>
  <conditionalFormatting sqref="U7">
    <cfRule type="cellIs" priority="1162" operator="lessThanOrEqual" aboveAverage="0" equalAverage="0" bottom="0" percent="0" rank="0" text="" dxfId="2">
      <formula>G7</formula>
    </cfRule>
  </conditionalFormatting>
  <conditionalFormatting sqref="U9">
    <cfRule type="cellIs" priority="1163" operator="lessThanOrEqual" aboveAverage="0" equalAverage="0" bottom="0" percent="0" rank="0" text="" dxfId="2">
      <formula>G9</formula>
    </cfRule>
  </conditionalFormatting>
  <conditionalFormatting sqref="W21">
    <cfRule type="cellIs" priority="1164" operator="equal" aboveAverage="0" equalAverage="0" bottom="0" percent="0" rank="0" text="" dxfId="0">
      <formula>0</formula>
    </cfRule>
    <cfRule type="cellIs" priority="1165" operator="lessThan" aboveAverage="0" equalAverage="0" bottom="0" percent="0" rank="0" text="" dxfId="1">
      <formula>E21</formula>
    </cfRule>
  </conditionalFormatting>
  <conditionalFormatting sqref="W24">
    <cfRule type="cellIs" priority="1166" operator="equal" aboveAverage="0" equalAverage="0" bottom="0" percent="0" rank="0" text="" dxfId="0">
      <formula>0</formula>
    </cfRule>
    <cfRule type="cellIs" priority="1167" operator="lessThan" aboveAverage="0" equalAverage="0" bottom="0" percent="0" rank="0" text="" dxfId="1">
      <formula>E24</formula>
    </cfRule>
  </conditionalFormatting>
  <conditionalFormatting sqref="W32">
    <cfRule type="cellIs" priority="1168" operator="equal" aboveAverage="0" equalAverage="0" bottom="0" percent="0" rank="0" text="" dxfId="0">
      <formula>0</formula>
    </cfRule>
    <cfRule type="cellIs" priority="1169" operator="lessThan" aboveAverage="0" equalAverage="0" bottom="0" percent="0" rank="0" text="" dxfId="1">
      <formula>E32</formula>
    </cfRule>
  </conditionalFormatting>
  <conditionalFormatting sqref="X21">
    <cfRule type="expression" priority="1170" aboveAverage="0" equalAverage="0" bottom="0" percent="0" rank="0" text="" dxfId="3">
      <formula>AND(X21&gt;0,X21&lt;10)</formula>
    </cfRule>
    <cfRule type="cellIs" priority="1171" operator="greaterThan" aboveAverage="0" equalAverage="0" bottom="0" percent="0" rank="0" text="" dxfId="0">
      <formula>W21</formula>
    </cfRule>
  </conditionalFormatting>
  <conditionalFormatting sqref="X24">
    <cfRule type="expression" priority="1172" aboveAverage="0" equalAverage="0" bottom="0" percent="0" rank="0" text="" dxfId="3">
      <formula>AND(X24&gt;0,X24&lt;50)</formula>
    </cfRule>
    <cfRule type="cellIs" priority="1173" operator="greaterThan" aboveAverage="0" equalAverage="0" bottom="0" percent="0" rank="0" text="" dxfId="0">
      <formula>W24</formula>
    </cfRule>
  </conditionalFormatting>
  <conditionalFormatting sqref="X32">
    <cfRule type="cellIs" priority="1174" operator="greaterThan" aboveAverage="0" equalAverage="0" bottom="0" percent="0" rank="0" text="" dxfId="0">
      <formula>W32</formula>
    </cfRule>
  </conditionalFormatting>
  <conditionalFormatting sqref="Y21">
    <cfRule type="cellIs" priority="1175" operator="lessThanOrEqual" aboveAverage="0" equalAverage="0" bottom="0" percent="0" rank="0" text="" dxfId="2">
      <formula>F21</formula>
    </cfRule>
  </conditionalFormatting>
  <conditionalFormatting sqref="Y24">
    <cfRule type="cellIs" priority="1176" operator="lessThanOrEqual" aboveAverage="0" equalAverage="0" bottom="0" percent="0" rank="0" text="" dxfId="2">
      <formula>F24</formula>
    </cfRule>
  </conditionalFormatting>
  <conditionalFormatting sqref="Y32">
    <cfRule type="cellIs" priority="1177" operator="lessThanOrEqual" aboveAverage="0" equalAverage="0" bottom="0" percent="0" rank="0" text="" dxfId="2">
      <formula>F32</formula>
    </cfRule>
  </conditionalFormatting>
  <conditionalFormatting sqref="Z21">
    <cfRule type="cellIs" priority="1178" operator="lessThanOrEqual" aboveAverage="0" equalAverage="0" bottom="0" percent="0" rank="0" text="" dxfId="2">
      <formula>G21</formula>
    </cfRule>
  </conditionalFormatting>
  <conditionalFormatting sqref="Z24">
    <cfRule type="cellIs" priority="1179" operator="lessThanOrEqual" aboveAverage="0" equalAverage="0" bottom="0" percent="0" rank="0" text="" dxfId="2">
      <formula>G24</formula>
    </cfRule>
  </conditionalFormatting>
  <conditionalFormatting sqref="Z32">
    <cfRule type="cellIs" priority="1180" operator="lessThanOrEqual" aboveAverage="0" equalAverage="0" bottom="0" percent="0" rank="0" text="" dxfId="2">
      <formula>G32</formula>
    </cfRule>
  </conditionalFormatting>
  <hyperlinks>
    <hyperlink ref="Q7" r:id="rId2" display="478-7018-1-ND"/>
    <hyperlink ref="V7" r:id="rId3" display="2332586"/>
    <hyperlink ref="AF7" r:id="rId4" display="58106033C104KAT4A"/>
    <hyperlink ref="AK7" r:id="rId5" display="95W9161"/>
    <hyperlink ref="AF8" r:id="rId6" display="58112065C105KAZ4A"/>
    <hyperlink ref="Q9" r:id="rId7" display="490-12330-1-ND"/>
    <hyperlink ref="V9" r:id="rId8" display="2672160"/>
    <hyperlink ref="AF9" r:id="rId9" display="81GRT188R61H105KE3D"/>
    <hyperlink ref="AK9" r:id="rId10" display="01AC8937"/>
    <hyperlink ref="Q10" r:id="rId11" display="478-9979-1-ND"/>
    <hyperlink ref="AF10" r:id="rId12" display="58112065D106KAT2A"/>
    <hyperlink ref="AK10" r:id="rId13" display="54Y9832"/>
    <hyperlink ref="Q11" r:id="rId14" display="478-11792-1-ND"/>
    <hyperlink ref="AF11" r:id="rId15" display="5810402ZD103KAT2A"/>
    <hyperlink ref="AK11" r:id="rId16" display="56K4247"/>
    <hyperlink ref="Q12" r:id="rId17" display="445-5952-1-ND"/>
    <hyperlink ref="V12" r:id="rId18" display="2346908"/>
    <hyperlink ref="AF12" r:id="rId19" display="810C1608X7R1H474K"/>
    <hyperlink ref="AK12" r:id="rId20" display="04X3261"/>
    <hyperlink ref="AP12" r:id="rId21" display="7883007"/>
    <hyperlink ref="Q13" r:id="rId22" display="478-9558-1-ND"/>
    <hyperlink ref="V13" r:id="rId23" display="2479895RL"/>
    <hyperlink ref="AF13" r:id="rId24" display="58112065C225K4T2A"/>
    <hyperlink ref="AK13" r:id="rId25" display="49Y1344"/>
    <hyperlink ref="Q14" r:id="rId26" display="06033C471KAT4A-ND"/>
    <hyperlink ref="AF14" r:id="rId27" display="58106033C471KAT4A"/>
    <hyperlink ref="Q15" r:id="rId28" display="478-10695-1-ND"/>
    <hyperlink ref="AF15" r:id="rId29" display="58112065C475KAT4A"/>
    <hyperlink ref="AK15" r:id="rId30" display="83T5807"/>
    <hyperlink ref="Q16" r:id="rId31" display="478-11366-1-ND"/>
    <hyperlink ref="AF16" r:id="rId32" display="58106033C100KAT2A"/>
    <hyperlink ref="AK16" r:id="rId33" display="66M3081"/>
    <hyperlink ref="Q17" r:id="rId34" display="06033C122KAT2A-ND"/>
    <hyperlink ref="AF17" r:id="rId35" display="58106033C122KAT2A"/>
    <hyperlink ref="Q18" r:id="rId36" display="478-1129-1-ND"/>
    <hyperlink ref="V18" r:id="rId37" display="1327670"/>
    <hyperlink ref="AF18" r:id="rId38" display="581040210D104K"/>
    <hyperlink ref="AK18" r:id="rId39" display="34M9179"/>
    <hyperlink ref="AP18" r:id="rId40" display="6983207"/>
    <hyperlink ref="AU18" r:id="rId41" display="0402ZD104KAT2A"/>
    <hyperlink ref="Q19" r:id="rId42" display="478-10040-1-ND"/>
    <hyperlink ref="AF19" r:id="rId43" display="58112063D226MAT2A"/>
    <hyperlink ref="AK19" r:id="rId44" display="64W1111"/>
    <hyperlink ref="Q20" r:id="rId45" display="478-11513-1-ND"/>
    <hyperlink ref="V20" r:id="rId46" display="3358918"/>
    <hyperlink ref="AF20" r:id="rId47" display="5810805ZC106KAT4A"/>
    <hyperlink ref="AK20" r:id="rId48" display="50AH3286"/>
    <hyperlink ref="Q21" r:id="rId49" display="MBR0540CT-ND"/>
    <hyperlink ref="V21" r:id="rId50" display="1706803"/>
    <hyperlink ref="AA21" r:id="rId51" display="C232833"/>
    <hyperlink ref="AF21" r:id="rId52" display="512MBR0540"/>
    <hyperlink ref="AK21" r:id="rId53" display="31Y2486"/>
    <hyperlink ref="AP21" r:id="rId54" display="7390527"/>
    <hyperlink ref="AU21" r:id="rId55" display="MBR0540FAI"/>
    <hyperlink ref="Q22" r:id="rId56" display="732-150060AS75000CT-ND"/>
    <hyperlink ref="V22" r:id="rId57" display="2900757"/>
    <hyperlink ref="AF22" r:id="rId58" display="710150060AS75000"/>
    <hyperlink ref="AK22" r:id="rId59" display="65AC4282"/>
    <hyperlink ref="AP22" r:id="rId60" display="1766200"/>
    <hyperlink ref="D23" r:id="rId61" display="ESDA18-1K"/>
    <hyperlink ref="Q23" r:id="rId62" display="497-10767-1-ND"/>
    <hyperlink ref="V23" r:id="rId63" display="1889334"/>
    <hyperlink ref="AF23" r:id="rId64" display="511ESDA181K"/>
    <hyperlink ref="AK23" r:id="rId65" display="39T6627"/>
    <hyperlink ref="AP23" r:id="rId66" display="8290318P"/>
    <hyperlink ref="AU23" r:id="rId67" display="ESDA181K"/>
    <hyperlink ref="Q24" r:id="rId68" display="490-5202-1-ND"/>
    <hyperlink ref="V24" r:id="rId69" display="2443232"/>
    <hyperlink ref="AA24" r:id="rId70" display="C237347"/>
    <hyperlink ref="AF24" r:id="rId71" display="81BLM15PD800SN1D"/>
    <hyperlink ref="AK24" r:id="rId72" display="87X8569"/>
    <hyperlink ref="AP24" r:id="rId73" display="8390809"/>
    <hyperlink ref="Q25" r:id="rId74" display="FTSH-140-01-F-DV-P-ND"/>
    <hyperlink ref="AF25" r:id="rId75" display="200FTSH14001FDVP"/>
    <hyperlink ref="AF26" r:id="rId76" display="806KLDHCX0202AC1"/>
    <hyperlink ref="Q27" r:id="rId77" display="102-6192-ND"/>
    <hyperlink ref="AF27" r:id="rId78" display="490TB00650803BE"/>
    <hyperlink ref="Q28" r:id="rId79" display="WM9810-ND"/>
    <hyperlink ref="V28" r:id="rId80" display="2903525"/>
    <hyperlink ref="AF28" r:id="rId81" display="538878980306"/>
    <hyperlink ref="AK28" r:id="rId82" display="78R3064"/>
    <hyperlink ref="Q29" r:id="rId83" display="541-1221-1-ND"/>
    <hyperlink ref="V29" r:id="rId84" display="2545044"/>
    <hyperlink ref="AF29" r:id="rId85" display="70IHLP2020BZER3R3M1"/>
    <hyperlink ref="AK29" r:id="rId86" display="77R1954"/>
    <hyperlink ref="V30" r:id="rId87" display="2408105"/>
    <hyperlink ref="AF30" r:id="rId88" display="994LPS4018103MRB"/>
    <hyperlink ref="V31" r:id="rId89" display="2289110"/>
    <hyperlink ref="AF31" r:id="rId90" display="994XAL7030272MEB"/>
    <hyperlink ref="D32" r:id="rId91" display="2N7000"/>
    <hyperlink ref="Q32" r:id="rId92" display="2N7000FS-ND"/>
    <hyperlink ref="V32" r:id="rId93" display="9845178"/>
    <hyperlink ref="AA32" r:id="rId94" display="C232838"/>
    <hyperlink ref="AF32" r:id="rId95" display="5122N7000"/>
    <hyperlink ref="AK32" r:id="rId96" display="58K9650"/>
    <hyperlink ref="AP32" r:id="rId97" display="6714733"/>
    <hyperlink ref="AU32" r:id="rId98" display="2N7000FAI"/>
    <hyperlink ref="Q33" r:id="rId99" display="541-4125-1-ND"/>
    <hyperlink ref="AF33" r:id="rId100" display="71CRCW08050000Z0EAC"/>
    <hyperlink ref="AK33" r:id="rId101" display="45AC9154"/>
    <hyperlink ref="Q34" r:id="rId102" display="541-4012-1-ND"/>
    <hyperlink ref="AF34" r:id="rId103" display="71CRCW06030000Z0EAC"/>
    <hyperlink ref="AK34" r:id="rId104" display="45AC9045"/>
    <hyperlink ref="Q35" r:id="rId105" display="541-10.0KHCT-ND"/>
    <hyperlink ref="V35" r:id="rId106" display="1469748"/>
    <hyperlink ref="AF35" r:id="rId107" display="71CRCW060310KE3"/>
    <hyperlink ref="AK35" r:id="rId108" display="61M5335"/>
    <hyperlink ref="AP35" r:id="rId109" display="6789667"/>
    <hyperlink ref="Q36" r:id="rId110" display="541-2.00KHCT-ND"/>
    <hyperlink ref="V36" r:id="rId111" display="1469764"/>
    <hyperlink ref="AF36" r:id="rId112" display="71CRCW06032.0KE3"/>
    <hyperlink ref="AK36" r:id="rId113" display="52K8223"/>
    <hyperlink ref="AP36" r:id="rId114" display="8306292"/>
    <hyperlink ref="Q37" r:id="rId115" display="541-8.20KHCT-ND"/>
    <hyperlink ref="V37" r:id="rId116" display="1652902"/>
    <hyperlink ref="AF37" r:id="rId117" display="71CRCW06038.2KE3"/>
    <hyperlink ref="AK37" r:id="rId118" display="73T8723"/>
    <hyperlink ref="AP37" r:id="rId119" display="6790759"/>
    <hyperlink ref="Q38" r:id="rId120" display="541-7.87KHCT-ND"/>
    <hyperlink ref="V38" r:id="rId121" display="2138416"/>
    <hyperlink ref="AF38" r:id="rId122" display="71CRCW06037.87KE3"/>
    <hyperlink ref="AK38" r:id="rId123" display="52K8698"/>
    <hyperlink ref="AP38" r:id="rId124" display="6790715"/>
    <hyperlink ref="Q39" r:id="rId125" display="541-30.1HCT-ND"/>
    <hyperlink ref="V39" r:id="rId126" display="1151926"/>
    <hyperlink ref="AF39" r:id="rId127" display="71CRCW060330.1E3"/>
    <hyperlink ref="AK39" r:id="rId128" display="52K8406"/>
    <hyperlink ref="AP39" r:id="rId129" display="8306347"/>
    <hyperlink ref="Q40" r:id="rId130" display="541-43.0HCT-ND"/>
    <hyperlink ref="V40" r:id="rId131" display="2141236"/>
    <hyperlink ref="AF40" r:id="rId132" display="71CRCW060343E3"/>
    <hyperlink ref="AK40" r:id="rId133" display="29AC3581"/>
    <hyperlink ref="Q41" r:id="rId134" display="541-300HCT-ND"/>
    <hyperlink ref="V41" r:id="rId135" display="1469799"/>
    <hyperlink ref="AF41" r:id="rId136" display="71CRCW0603300E3"/>
    <hyperlink ref="AK41" r:id="rId137" display="61M5381"/>
    <hyperlink ref="AP41" r:id="rId138" display="6790172"/>
    <hyperlink ref="Q42" r:id="rId139" display="541-5.10KHCT-ND"/>
    <hyperlink ref="V42" r:id="rId140" display="1469819"/>
    <hyperlink ref="AF42" r:id="rId141" display="71CRCW06035.1KE3"/>
    <hyperlink ref="AK42" r:id="rId142" display="52K8571"/>
    <hyperlink ref="AP42" r:id="rId143" display="1694438"/>
    <hyperlink ref="Q43" r:id="rId144" display="541-10.0HCT-ND"/>
    <hyperlink ref="V43" r:id="rId145" display="1469751"/>
    <hyperlink ref="AF43" r:id="rId146" display="71CRCW060310E3"/>
    <hyperlink ref="AK43" r:id="rId147" display="61M5338"/>
    <hyperlink ref="AP43" r:id="rId148" display="6789695"/>
    <hyperlink ref="AU43" r:id="rId149" display="CRCW060310R0FKEA"/>
    <hyperlink ref="Q44" r:id="rId150" display="541-0.0WCT-ND"/>
    <hyperlink ref="V44" r:id="rId151" display="1653190"/>
    <hyperlink ref="AF44" r:id="rId152" display="71CRCW20100E3"/>
    <hyperlink ref="AK44" r:id="rId153" display="53K3572"/>
    <hyperlink ref="AP44" r:id="rId154" display="2508363712"/>
    <hyperlink ref="Q45" r:id="rId155" display="541-3.90HHCT-ND"/>
    <hyperlink ref="AF45" r:id="rId156" display="71CRCW06033R90FKEA"/>
    <hyperlink ref="AK45" r:id="rId157" display="47P3575"/>
    <hyperlink ref="Q46" r:id="rId158" display="541-4170-1-ND"/>
    <hyperlink ref="AF46" r:id="rId159" display="71CRCW12060000Z0EAC"/>
    <hyperlink ref="AK46" r:id="rId160" display="45AC9214"/>
    <hyperlink ref="Q47" r:id="rId161" display="541-5.76KHCT-ND"/>
    <hyperlink ref="V47" r:id="rId162" display="2138406"/>
    <hyperlink ref="AF47" r:id="rId163" display="71CRCW06035.76KE3"/>
    <hyperlink ref="AK47" r:id="rId164" display="52K8580"/>
    <hyperlink ref="AP47" r:id="rId165" display="8306570"/>
    <hyperlink ref="Q48" r:id="rId166" display="541-30.1HCT-ND"/>
    <hyperlink ref="V48" r:id="rId167" display="1151926"/>
    <hyperlink ref="AF48" r:id="rId168" display="71CRCW060330.1E3"/>
    <hyperlink ref="AK48" r:id="rId169" display="52K8406"/>
    <hyperlink ref="AP48" r:id="rId170" display="8306347"/>
    <hyperlink ref="Q49" r:id="rId171" display="541-100KHCT-ND"/>
    <hyperlink ref="V49" r:id="rId172" display="1469649"/>
    <hyperlink ref="AF49" r:id="rId173" display="71CRCW0603100KE3"/>
    <hyperlink ref="AK49" r:id="rId174" display="62M4094"/>
    <hyperlink ref="AP49" r:id="rId175" display="6789673"/>
    <hyperlink ref="AU49" r:id="rId176" display="CRCW0603100KFKEA"/>
    <hyperlink ref="D50" r:id="rId177" display="DLPC3437CZEZ"/>
    <hyperlink ref="Q50" r:id="rId178" display="296-48356-ND"/>
    <hyperlink ref="V50" r:id="rId179" display="2851315"/>
    <hyperlink ref="AF50" r:id="rId180" display="595DLPC3437CZEZ"/>
    <hyperlink ref="D51" r:id="rId181" display="ASDMB-24.000MHZ-LC-T"/>
    <hyperlink ref="Q51" r:id="rId182" display="535-11728-1-ND"/>
    <hyperlink ref="V51" r:id="rId183" display="2467879RL"/>
    <hyperlink ref="AF51" r:id="rId184" display="815ASDMB24MHZLC"/>
    <hyperlink ref="AK51" r:id="rId185" display="56AC7552"/>
    <hyperlink ref="AP51" r:id="rId186" display="1712729"/>
    <hyperlink ref="D52" r:id="rId187" display="W25Q64JVSSIQ"/>
    <hyperlink ref="Q52" r:id="rId188" display="W25Q64JVSSIQ-ND"/>
    <hyperlink ref="AP52" r:id="rId189" display="1882704"/>
    <hyperlink ref="D53" r:id="rId190" display="DLPA3000DPFD"/>
    <hyperlink ref="Q53" r:id="rId191" display="296-42431-5-ND"/>
    <hyperlink ref="AF53" r:id="rId192" display="595DLPA3000DPFD"/>
    <hyperlink ref="D54" r:id="rId193" display="DLP3310AFQM"/>
    <hyperlink ref="Q54" r:id="rId194" display="DLP3310AFQM-ND"/>
    <hyperlink ref="AF54" r:id="rId195" display="595DLP3310AFQM"/>
    <hyperlink ref="Q55" r:id="rId196" display="945-3254-1-ND"/>
    <hyperlink ref="V55" r:id="rId197" display="2966059"/>
    <hyperlink ref="AF55" r:id="rId198" display="919RPM5.03.0"/>
    <hyperlink ref="AK55" r:id="rId199" display="72AC4064"/>
    <hyperlink ref="AU55" r:id="rId200" display="RPM5.03.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2020-04-05T12:05:25Z</dcterms:created>
  <dc:creator/>
  <dc:description/>
  <dc:language>en-GB</dc:language>
  <cp:lastModifiedBy/>
  <dcterms:modified xsi:type="dcterms:W3CDTF">2020-04-05T14:46:23Z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